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juanj\Documents\0. CODING\ETABS_API\Tables and Reports\"/>
    </mc:Choice>
  </mc:AlternateContent>
  <xr:revisionPtr revIDLastSave="0" documentId="13_ncr:1_{85D73A6C-A6B0-44E1-93AC-36F556A4037F}" xr6:coauthVersionLast="47" xr6:coauthVersionMax="47" xr10:uidLastSave="{00000000-0000-0000-0000-000000000000}"/>
  <bookViews>
    <workbookView xWindow="-13056" yWindow="0" windowWidth="13152" windowHeight="11616" firstSheet="7" activeTab="8" xr2:uid="{1711A257-54EF-4D3F-8B58-DB4D1381A09B}"/>
  </bookViews>
  <sheets>
    <sheet name="0. HOJA BÁSICA" sheetId="3" state="hidden" r:id="rId1"/>
    <sheet name="0. PORTADA" sheetId="15" r:id="rId2"/>
    <sheet name="0. CARTA RESPONSABILIDAD" sheetId="26" r:id="rId3"/>
    <sheet name="0. INICIO" sheetId="1" r:id="rId4"/>
    <sheet name="1. AVALÚO DE CARGAS" sheetId="9" r:id="rId5"/>
    <sheet name="2. CONFIGURACIÓN" sheetId="13" r:id="rId6"/>
    <sheet name="3. ESPECTRO" sheetId="5" r:id="rId7"/>
    <sheet name="4. MASA (MODELO)" sheetId="10" r:id="rId8"/>
    <sheet name="5. IRREGULARIDADES" sheetId="4" r:id="rId9"/>
    <sheet name="6. PERIODOS Y MASA EXCITADA" sheetId="11" r:id="rId10"/>
    <sheet name="7. FHE Y AJUSTE DE SISMO" sheetId="12" r:id="rId11"/>
    <sheet name="8. CHEQUEO DE DERIVAS" sheetId="14" r:id="rId12"/>
    <sheet name="9. REPORTE ETABS" sheetId="22" state="hidden" r:id="rId13"/>
    <sheet name="ENE" sheetId="27" state="hidden" r:id="rId14"/>
    <sheet name="10. CIMENTACIÓN" sheetId="28" state="hidden" r:id="rId15"/>
    <sheet name="9. DISEÑO VIGAS" sheetId="16" state="hidden" r:id="rId16"/>
    <sheet name="10. DISEÑO COLUMNAS" sheetId="17" r:id="rId17"/>
    <sheet name="11. CARGA DE VIENTO" sheetId="32" state="hidden" r:id="rId18"/>
    <sheet name="12. CORREAS DE CUBIERTA" sheetId="29" state="hidden" r:id="rId19"/>
    <sheet name="11. ZAPATAS" sheetId="34" state="hidden" r:id="rId20"/>
    <sheet name="11. ZAPATAS (3)" sheetId="36" state="hidden" r:id="rId21"/>
    <sheet name="11. ZAPATAS (2)" sheetId="35" state="hidden" r:id="rId22"/>
    <sheet name="11. ZAPATAS (V2)" sheetId="37" r:id="rId23"/>
    <sheet name="13. REPORTE DE DISEÑO ETABS" sheetId="31" r:id="rId24"/>
    <sheet name="ANÁLISIS DE VIGAS SIMPLES" sheetId="24" state="hidden" r:id="rId25"/>
  </sheets>
  <externalReferences>
    <externalReference r:id="rId26"/>
    <externalReference r:id="rId27"/>
    <externalReference r:id="rId28"/>
    <externalReference r:id="rId29"/>
  </externalReferences>
  <definedNames>
    <definedName name="_xlnm._FilterDatabase" localSheetId="19" hidden="1">'11. ZAPATAS'!$M$12:$AJ$44</definedName>
    <definedName name="_xlnm._FilterDatabase" localSheetId="21" hidden="1">'11. ZAPATAS (2)'!$M$12:$AJ$44</definedName>
    <definedName name="_xlnm._FilterDatabase" localSheetId="20" hidden="1">'11. ZAPATAS (3)'!$M$12:$AJ$44</definedName>
    <definedName name="_xlnm._FilterDatabase" localSheetId="22" hidden="1">'11. ZAPATAS (V2)'!$M$12:$AJ$44</definedName>
    <definedName name="A" localSheetId="19">#REF!</definedName>
    <definedName name="A" localSheetId="21">#REF!</definedName>
    <definedName name="A" localSheetId="20">#REF!</definedName>
    <definedName name="A" localSheetId="22">#REF!</definedName>
    <definedName name="A">#REF!</definedName>
    <definedName name="Aa" localSheetId="19">#REF!</definedName>
    <definedName name="Aa" localSheetId="21">#REF!</definedName>
    <definedName name="Aa" localSheetId="20">#REF!</definedName>
    <definedName name="Aa" localSheetId="22">#REF!</definedName>
    <definedName name="Aa">#REF!</definedName>
    <definedName name="AB">[1]CG!$CA$9</definedName>
    <definedName name="Ad">[1]A.12!$AM$10</definedName>
    <definedName name="Ag">#REF!</definedName>
    <definedName name="alfa">[1]A.4!$AA$13</definedName>
    <definedName name="An">#REF!</definedName>
    <definedName name="Anchobloque">#REF!</definedName>
    <definedName name="_xlnm.Print_Area" localSheetId="2">'0. CARTA RESPONSABILIDAD'!$A$1:$U$65</definedName>
    <definedName name="_xlnm.Print_Area" localSheetId="0">'0. HOJA BÁSICA'!$A$1:$U$65</definedName>
    <definedName name="_xlnm.Print_Area" localSheetId="3">'0. INICIO'!$A$1:$U$189</definedName>
    <definedName name="_xlnm.Print_Area" localSheetId="1">'0. PORTADA'!$A$1:$U$65</definedName>
    <definedName name="_xlnm.Print_Area" localSheetId="4">'1. AVALÚO DE CARGAS'!$A$1:$U$65</definedName>
    <definedName name="_xlnm.Print_Area" localSheetId="14">'10. CIMENTACIÓN'!$A$1:$U$65</definedName>
    <definedName name="_xlnm.Print_Area" localSheetId="16">'10. DISEÑO COLUMNAS'!$A$1:$AB$47</definedName>
    <definedName name="_xlnm.Print_Area" localSheetId="17">'11. CARGA DE VIENTO'!$A$1:$U$65</definedName>
    <definedName name="_xlnm.Print_Area" localSheetId="19">'11. ZAPATAS'!$A$1:$CU$84</definedName>
    <definedName name="_xlnm.Print_Area" localSheetId="21">'11. ZAPATAS (2)'!$A$1:$CU$84</definedName>
    <definedName name="_xlnm.Print_Area" localSheetId="20">'11. ZAPATAS (3)'!$A$1:$CU$84</definedName>
    <definedName name="_xlnm.Print_Area" localSheetId="22">'11. ZAPATAS (V2)'!$A$1:$CR$84</definedName>
    <definedName name="_xlnm.Print_Area" localSheetId="18">'12. CORREAS DE CUBIERTA'!$A$1:$U$65</definedName>
    <definedName name="_xlnm.Print_Area" localSheetId="23">'13. REPORTE DE DISEÑO ETABS'!$A$1:$U$65</definedName>
    <definedName name="_xlnm.Print_Area" localSheetId="5">'2. CONFIGURACIÓN'!$A$1:$U$190</definedName>
    <definedName name="_xlnm.Print_Area" localSheetId="6">'3. ESPECTRO'!$A$1:$U$65</definedName>
    <definedName name="_xlnm.Print_Area" localSheetId="7">'4. MASA (MODELO)'!$A$1:$U$65</definedName>
    <definedName name="_xlnm.Print_Area" localSheetId="8">'5. IRREGULARIDADES'!$A$1:$U$189</definedName>
    <definedName name="_xlnm.Print_Area" localSheetId="9">'6. PERIODOS Y MASA EXCITADA'!$A$1:$U$65</definedName>
    <definedName name="_xlnm.Print_Area" localSheetId="10">'7. FHE Y AJUSTE DE SISMO'!$A$1:$U$65</definedName>
    <definedName name="_xlnm.Print_Area" localSheetId="11">'8. CHEQUEO DE DERIVAS'!$A$1:$U$65</definedName>
    <definedName name="_xlnm.Print_Area" localSheetId="15">'9. DISEÑO VIGAS'!$A$1:$U$65</definedName>
    <definedName name="_xlnm.Print_Area" localSheetId="12">'9. REPORTE ETABS'!$A$1:$U$65</definedName>
    <definedName name="_xlnm.Print_Area" localSheetId="24">'ANÁLISIS DE VIGAS SIMPLES'!$A$1:$U$65</definedName>
    <definedName name="_xlnm.Print_Area" localSheetId="13">ENE!$A$1:$U$65</definedName>
    <definedName name="As">[2]BALCONES!$N$32</definedName>
    <definedName name="Av">[1]A.2!$AC$11</definedName>
    <definedName name="_xlnm.Database" localSheetId="19">#REF!</definedName>
    <definedName name="_xlnm.Database" localSheetId="21">#REF!</definedName>
    <definedName name="_xlnm.Database" localSheetId="20">#REF!</definedName>
    <definedName name="_xlnm.Database" localSheetId="22">#REF!</definedName>
    <definedName name="_xlnm.Database">#REF!</definedName>
    <definedName name="bc_1" localSheetId="19">#REF!</definedName>
    <definedName name="bc_1" localSheetId="21">#REF!</definedName>
    <definedName name="bc_1" localSheetId="20">#REF!</definedName>
    <definedName name="bc_1" localSheetId="22">#REF!</definedName>
    <definedName name="bc_1">#REF!</definedName>
    <definedName name="bc_2" localSheetId="19">#REF!</definedName>
    <definedName name="bc_2" localSheetId="21">#REF!</definedName>
    <definedName name="bc_2" localSheetId="20">#REF!</definedName>
    <definedName name="bc_2" localSheetId="22">#REF!</definedName>
    <definedName name="bc_2">#REF!</definedName>
    <definedName name="bw" localSheetId="19">[2]ALIGERADA!$AD$20</definedName>
    <definedName name="bw" localSheetId="21">[2]ALIGERADA!$AD$20</definedName>
    <definedName name="bw" localSheetId="20">[2]ALIGERADA!$AD$20</definedName>
    <definedName name="bw" localSheetId="22">[2]ALIGERADA!$AD$20</definedName>
    <definedName name="bw">#REF!</definedName>
    <definedName name="Ct">[1]A.4!$U$13</definedName>
    <definedName name="Ctx">[1]CG!$BA$56</definedName>
    <definedName name="Cty">[1]CG!$BA$163</definedName>
    <definedName name="Cu">[1]A.4!$J$21</definedName>
    <definedName name="dp">[2]DX!$G$23</definedName>
    <definedName name="e" localSheetId="19">[2]ALIGERADA!$AM$37</definedName>
    <definedName name="e" localSheetId="21">[2]ALIGERADA!$AM$37</definedName>
    <definedName name="e" localSheetId="20">[2]ALIGERADA!$AM$37</definedName>
    <definedName name="e" localSheetId="22">[2]ALIGERADA!$AM$37</definedName>
    <definedName name="E">#REF!</definedName>
    <definedName name="E_Y1">[1]CG!$BR$55</definedName>
    <definedName name="E2X">[1]A.4!#REF!</definedName>
    <definedName name="E2Y">[1]A.4!#REF!</definedName>
    <definedName name="E3X">[1]A.4!#REF!</definedName>
    <definedName name="E3Y">[1]A.4!#REF!</definedName>
    <definedName name="E4X">[1]A.4!$AC$32</definedName>
    <definedName name="E4Y">[1]A.4!#REF!</definedName>
    <definedName name="E5X">[1]A.4!#REF!</definedName>
    <definedName name="E5Y">[1]A.4!#REF!</definedName>
    <definedName name="Ebloque">#REF!</definedName>
    <definedName name="ec">[2]DX!$G$29</definedName>
    <definedName name="Eestria" localSheetId="19">#REF!</definedName>
    <definedName name="Eestria" localSheetId="21">#REF!</definedName>
    <definedName name="Eestria" localSheetId="20">#REF!</definedName>
    <definedName name="Eestria" localSheetId="22">#REF!</definedName>
    <definedName name="Eestria">#REF!</definedName>
    <definedName name="Em">[1]INFO.!$BY$44</definedName>
    <definedName name="Es">[2]DX!$G$31</definedName>
    <definedName name="f_a">[1]A.3!$BH$60</definedName>
    <definedName name="f_c" localSheetId="19">[2]BALCONES!$G$12</definedName>
    <definedName name="f_c" localSheetId="21">[2]BALCONES!$G$12</definedName>
    <definedName name="f_c" localSheetId="20">[2]BALCONES!$G$12</definedName>
    <definedName name="f_c" localSheetId="22">[2]BALCONES!$G$12</definedName>
    <definedName name="f_c">[1]INFO.!$BF$11</definedName>
    <definedName name="f_cp">[1]INFO.!$BF$15</definedName>
    <definedName name="f_r">[1]A.3!$CZ$54</definedName>
    <definedName name="Fa">[1]A.2!$AI$61</definedName>
    <definedName name="FC_1">[1]A.5!$AL$28</definedName>
    <definedName name="FC_2">[1]A.5!$AL$29</definedName>
    <definedName name="fcc">[1]INFO.!$BF$12</definedName>
    <definedName name="fcp">[1]INFO.!$CA$29</definedName>
    <definedName name="fcr">[1]INFO.!$CA$30</definedName>
    <definedName name="fcu">[1]INFO.!$BF$30</definedName>
    <definedName name="fm">[1]INFO.!$BF$29</definedName>
    <definedName name="fp">[1]A.3!$X$60</definedName>
    <definedName name="fr">[2]DX!$G$32</definedName>
    <definedName name="Fv">[1]A.2!$AK$76</definedName>
    <definedName name="fy" localSheetId="19">[2]BALCONES!$G$13</definedName>
    <definedName name="fy" localSheetId="21">[2]BALCONES!$G$13</definedName>
    <definedName name="fy" localSheetId="20">[2]BALCONES!$G$13</definedName>
    <definedName name="fy" localSheetId="22">[2]BALCONES!$G$13</definedName>
    <definedName name="FY">[1]INFO.!$BF$20</definedName>
    <definedName name="g">[1]W!$AN$8</definedName>
    <definedName name="gconcreto">[1]INFO.!$BP$52</definedName>
    <definedName name="H" localSheetId="19">[2]ALIGERADA!$AM$18</definedName>
    <definedName name="H" localSheetId="21">[2]ALIGERADA!$AM$18</definedName>
    <definedName name="H" localSheetId="20">[2]ALIGERADA!$AM$18</definedName>
    <definedName name="H" localSheetId="22">[2]ALIGERADA!$AM$18</definedName>
    <definedName name="h">[1]INFO.!$V$15</definedName>
    <definedName name="hb">[1]INFO.!$BF$33</definedName>
    <definedName name="hbloque" localSheetId="19">#REF!</definedName>
    <definedName name="hbloque" localSheetId="21">#REF!</definedName>
    <definedName name="hbloque" localSheetId="20">#REF!</definedName>
    <definedName name="hbloque" localSheetId="22">#REF!</definedName>
    <definedName name="hbloque">#REF!</definedName>
    <definedName name="I" localSheetId="19">#REF!</definedName>
    <definedName name="I" localSheetId="21">#REF!</definedName>
    <definedName name="I" localSheetId="20">#REF!</definedName>
    <definedName name="I" localSheetId="22">#REF!</definedName>
    <definedName name="I">#REF!</definedName>
    <definedName name="ic">[2]DX!$G$39</definedName>
    <definedName name="Icr">[2]DX!$G$38</definedName>
    <definedName name="ig">[2]DX!$G$27</definedName>
    <definedName name="Importancia">[1]INFO.!$V$12</definedName>
    <definedName name="k">[2]BALCONES!$N$30</definedName>
    <definedName name="Kp">[1]INFO.!$CA$33</definedName>
    <definedName name="kx">[1]A.4!$D$29</definedName>
    <definedName name="l">[2]DX!$G$20</definedName>
    <definedName name="Lbloque">[1]INFO.!$CA$32</definedName>
    <definedName name="Lx">[1]INFO.!$AK$50</definedName>
    <definedName name="Ly">[1]INFO.!$AK$51</definedName>
    <definedName name="mcr">[2]DX!$G$33</definedName>
    <definedName name="Mir_1">[1]CG!$BR$63</definedName>
    <definedName name="Mx">[1]A.4!$AH$33</definedName>
    <definedName name="My">[1]A.4!#REF!</definedName>
    <definedName name="p">[2]DX!$N$45</definedName>
    <definedName name="PERFIL">[1]INFO.!$V$20</definedName>
    <definedName name="PM_X1">[1]CG!$BN$9</definedName>
    <definedName name="Proyecto">[1]PORTADA!$AN$13</definedName>
    <definedName name="Pz">[1]CIMENTACION!$R$8</definedName>
    <definedName name="q">'[3]VIENTO COMPLETO'!$C$33</definedName>
    <definedName name="qa">[1]INFO.!$V$21</definedName>
    <definedName name="Reductor">[1]A.3!$BW$60</definedName>
    <definedName name="rel">[1]INFO.!$BF$32</definedName>
    <definedName name="RENDIMEINTO" localSheetId="19">#REF!</definedName>
    <definedName name="RENDIMEINTO" localSheetId="21">#REF!</definedName>
    <definedName name="RENDIMEINTO" localSheetId="20">#REF!</definedName>
    <definedName name="RENDIMEINTO" localSheetId="22">#REF!</definedName>
    <definedName name="RENDIMEINTO">#REF!</definedName>
    <definedName name="Rm">[1]INFO.!$BN$37</definedName>
    <definedName name="ro" localSheetId="19">[2]DX!$G$26</definedName>
    <definedName name="ro" localSheetId="21">[2]DX!$G$26</definedName>
    <definedName name="ro" localSheetId="20">[2]DX!$G$26</definedName>
    <definedName name="ro" localSheetId="22">[2]DX!$G$26</definedName>
    <definedName name="Ro">[1]INFO.!$AK$29</definedName>
    <definedName name="rs">[2]BALCONES!$N$31</definedName>
    <definedName name="S" localSheetId="19">[2]ALIGERADA!$AM$22</definedName>
    <definedName name="S" localSheetId="21">[2]ALIGERADA!$AM$22</definedName>
    <definedName name="S" localSheetId="20">[2]ALIGERADA!$AM$22</definedName>
    <definedName name="S" localSheetId="22">[2]ALIGERADA!$AM$22</definedName>
    <definedName name="S">#REF!</definedName>
    <definedName name="S_1">'[3]VIENTO COMPLETO'!$C$19</definedName>
    <definedName name="S_2">'[3]VIENTO COMPLETO'!$C$21</definedName>
    <definedName name="S_3">'[3]VIENTO COMPLETO'!$C$23</definedName>
    <definedName name="S_4">'[3]VIENTO COMPLETO'!$C$25</definedName>
    <definedName name="Sa">[1]A.4!$AF$22</definedName>
    <definedName name="sad">[1]A.12!$AF$138</definedName>
    <definedName name="Sax">#REF!</definedName>
    <definedName name="Saz">#REF!</definedName>
    <definedName name="Sm">#REF!</definedName>
    <definedName name="Ta">[1]A.4!$AF$13</definedName>
    <definedName name="TABLA3">#REF!</definedName>
    <definedName name="Tax">[1]A.4!$AM$18</definedName>
    <definedName name="Tay">[1]A.4!$AM$19</definedName>
    <definedName name="TC">#REF!</definedName>
    <definedName name="_xlnm.Print_Titles" localSheetId="2">'0. CARTA RESPONSABILIDAD'!$1:$3</definedName>
    <definedName name="_xlnm.Print_Titles" localSheetId="0">'0. HOJA BÁSICA'!$1:$3</definedName>
    <definedName name="_xlnm.Print_Titles" localSheetId="3">'0. INICIO'!$1:$3</definedName>
    <definedName name="_xlnm.Print_Titles" localSheetId="1">'0. PORTADA'!$1:$3</definedName>
    <definedName name="_xlnm.Print_Titles" localSheetId="4">'1. AVALÚO DE CARGAS'!$1:$3</definedName>
    <definedName name="_xlnm.Print_Titles" localSheetId="14">'10. CIMENTACIÓN'!$1:$3</definedName>
    <definedName name="_xlnm.Print_Titles" localSheetId="16">'10. DISEÑO COLUMNAS'!$1:$3</definedName>
    <definedName name="_xlnm.Print_Titles" localSheetId="17">'11. CARGA DE VIENTO'!$1:$3</definedName>
    <definedName name="_xlnm.Print_Titles" localSheetId="18">'12. CORREAS DE CUBIERTA'!$1:$3</definedName>
    <definedName name="_xlnm.Print_Titles" localSheetId="23">'13. REPORTE DE DISEÑO ETABS'!$1:$3</definedName>
    <definedName name="_xlnm.Print_Titles" localSheetId="5">'2. CONFIGURACIÓN'!$1:$3</definedName>
    <definedName name="_xlnm.Print_Titles" localSheetId="6">'3. ESPECTRO'!$1:$3</definedName>
    <definedName name="_xlnm.Print_Titles" localSheetId="7">'4. MASA (MODELO)'!$1:$3</definedName>
    <definedName name="_xlnm.Print_Titles" localSheetId="8">'5. IRREGULARIDADES'!$1:$3</definedName>
    <definedName name="_xlnm.Print_Titles" localSheetId="9">'6. PERIODOS Y MASA EXCITADA'!$1:$3</definedName>
    <definedName name="_xlnm.Print_Titles" localSheetId="10">'7. FHE Y AJUSTE DE SISMO'!$1:$3</definedName>
    <definedName name="_xlnm.Print_Titles" localSheetId="11">'8. CHEQUEO DE DERIVAS'!$1:$3</definedName>
    <definedName name="_xlnm.Print_Titles" localSheetId="15">'9. DISEÑO VIGAS'!$1:$3</definedName>
    <definedName name="_xlnm.Print_Titles" localSheetId="12">'9. REPORTE ETABS'!$1:$3</definedName>
    <definedName name="_xlnm.Print_Titles" localSheetId="24">'ANÁLISIS DE VIGAS SIMPLES'!$1:$3</definedName>
    <definedName name="_xlnm.Print_Titles" localSheetId="13">ENE!$1:$3</definedName>
    <definedName name="TL" localSheetId="19">#REF!</definedName>
    <definedName name="TL" localSheetId="21">#REF!</definedName>
    <definedName name="TL" localSheetId="20">#REF!</definedName>
    <definedName name="TL" localSheetId="22">#REF!</definedName>
    <definedName name="TL">#REF!</definedName>
    <definedName name="To">[1]A.2!$Z$96</definedName>
    <definedName name="Tx" localSheetId="19">#REF!</definedName>
    <definedName name="Tx" localSheetId="21">#REF!</definedName>
    <definedName name="Tx" localSheetId="20">#REF!</definedName>
    <definedName name="Tx" localSheetId="22">#REF!</definedName>
    <definedName name="Tx">#REF!</definedName>
    <definedName name="Ty" localSheetId="19">#REF!</definedName>
    <definedName name="Ty" localSheetId="21">#REF!</definedName>
    <definedName name="Ty" localSheetId="20">#REF!</definedName>
    <definedName name="Ty" localSheetId="22">#REF!</definedName>
    <definedName name="Ty">#REF!</definedName>
    <definedName name="V">'[3]VIENTO COMPLETO'!$C$16</definedName>
    <definedName name="Vs">'[3]VIENTO COMPLETO'!$C$28</definedName>
    <definedName name="w" localSheetId="19">[2]DX!$N$53</definedName>
    <definedName name="w" localSheetId="21">[2]DX!$N$53</definedName>
    <definedName name="w" localSheetId="20">[2]DX!$N$53</definedName>
    <definedName name="w" localSheetId="22">[2]DX!$N$53</definedName>
    <definedName name="W">#REF!</definedName>
    <definedName name="W_RM" localSheetId="19">'[4]C.9'!#REF!</definedName>
    <definedName name="W_RM" localSheetId="21">'[4]C.9'!#REF!</definedName>
    <definedName name="W_RM" localSheetId="20">'[4]C.9'!#REF!</definedName>
    <definedName name="W_RM" localSheetId="22">'[4]C.9'!#REF!</definedName>
    <definedName name="W_RM">'[4]C.9'!#REF!</definedName>
    <definedName name="YCR1">[1]CG!$BK$55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50" i="12" l="1"/>
  <c r="AB51" i="12"/>
  <c r="AB52" i="12"/>
  <c r="AB53" i="12"/>
  <c r="N37" i="12"/>
  <c r="P12" i="12"/>
  <c r="Z24" i="10"/>
  <c r="Z23" i="10"/>
  <c r="AI16" i="5"/>
  <c r="AI17" i="5"/>
  <c r="AI18" i="5"/>
  <c r="AI19" i="5"/>
  <c r="AI20" i="5"/>
  <c r="CG1" i="37"/>
  <c r="BU1" i="37"/>
  <c r="BI1" i="37"/>
  <c r="D1" i="17"/>
  <c r="B105" i="37"/>
  <c r="C105" i="37"/>
  <c r="D105" i="37"/>
  <c r="E105" i="37"/>
  <c r="F105" i="37"/>
  <c r="B106" i="37"/>
  <c r="C106" i="37"/>
  <c r="D106" i="37"/>
  <c r="E106" i="37"/>
  <c r="F106" i="37"/>
  <c r="T21" i="37" s="1"/>
  <c r="P59" i="37" s="1"/>
  <c r="B107" i="37"/>
  <c r="C107" i="37"/>
  <c r="D107" i="37"/>
  <c r="E107" i="37"/>
  <c r="F107" i="37"/>
  <c r="B108" i="37"/>
  <c r="C108" i="37"/>
  <c r="D108" i="37"/>
  <c r="E108" i="37"/>
  <c r="F108" i="37"/>
  <c r="B109" i="37"/>
  <c r="C109" i="37"/>
  <c r="D109" i="37"/>
  <c r="E109" i="37"/>
  <c r="F109" i="37"/>
  <c r="B110" i="37"/>
  <c r="C110" i="37"/>
  <c r="D110" i="37"/>
  <c r="E110" i="37"/>
  <c r="F110" i="37"/>
  <c r="B111" i="37"/>
  <c r="C111" i="37"/>
  <c r="D111" i="37"/>
  <c r="E111" i="37"/>
  <c r="F111" i="37"/>
  <c r="B112" i="37"/>
  <c r="C112" i="37"/>
  <c r="D112" i="37"/>
  <c r="E112" i="37"/>
  <c r="F112" i="37"/>
  <c r="B113" i="37"/>
  <c r="C113" i="37"/>
  <c r="D113" i="37"/>
  <c r="E113" i="37"/>
  <c r="F113" i="37"/>
  <c r="B114" i="37"/>
  <c r="C114" i="37"/>
  <c r="D114" i="37"/>
  <c r="E114" i="37"/>
  <c r="F114" i="37"/>
  <c r="B115" i="37"/>
  <c r="C115" i="37"/>
  <c r="D115" i="37"/>
  <c r="E115" i="37"/>
  <c r="F115" i="37"/>
  <c r="F104" i="37"/>
  <c r="C104" i="37"/>
  <c r="Q19" i="37" s="1"/>
  <c r="D104" i="37"/>
  <c r="R19" i="37" s="1"/>
  <c r="E104" i="37"/>
  <c r="S19" i="37" s="1"/>
  <c r="O57" i="37" s="1"/>
  <c r="B104" i="37"/>
  <c r="P19" i="37" s="1"/>
  <c r="P20" i="37"/>
  <c r="Q20" i="37"/>
  <c r="R20" i="37"/>
  <c r="S20" i="37"/>
  <c r="T20" i="37"/>
  <c r="P21" i="37"/>
  <c r="Q21" i="37"/>
  <c r="R21" i="37"/>
  <c r="S21" i="37"/>
  <c r="P22" i="37"/>
  <c r="Q22" i="37"/>
  <c r="R22" i="37"/>
  <c r="S22" i="37"/>
  <c r="T22" i="37"/>
  <c r="P60" i="37" s="1"/>
  <c r="P23" i="37"/>
  <c r="Q23" i="37"/>
  <c r="R23" i="37"/>
  <c r="S23" i="37"/>
  <c r="O61" i="37" s="1"/>
  <c r="T23" i="37"/>
  <c r="P61" i="37" s="1"/>
  <c r="P24" i="37"/>
  <c r="Q24" i="37"/>
  <c r="R24" i="37"/>
  <c r="S24" i="37"/>
  <c r="O62" i="37" s="1"/>
  <c r="T24" i="37"/>
  <c r="P25" i="37"/>
  <c r="Q25" i="37"/>
  <c r="R25" i="37"/>
  <c r="S25" i="37"/>
  <c r="O63" i="37" s="1"/>
  <c r="T25" i="37"/>
  <c r="P63" i="37" s="1"/>
  <c r="P26" i="37"/>
  <c r="Q26" i="37"/>
  <c r="R26" i="37"/>
  <c r="S26" i="37"/>
  <c r="O64" i="37" s="1"/>
  <c r="T26" i="37"/>
  <c r="P64" i="37" s="1"/>
  <c r="P27" i="37"/>
  <c r="Q27" i="37"/>
  <c r="R27" i="37"/>
  <c r="S27" i="37"/>
  <c r="T27" i="37"/>
  <c r="P65" i="37" s="1"/>
  <c r="P28" i="37"/>
  <c r="Q28" i="37"/>
  <c r="R28" i="37"/>
  <c r="S28" i="37"/>
  <c r="O66" i="37" s="1"/>
  <c r="T28" i="37"/>
  <c r="P66" i="37" s="1"/>
  <c r="P29" i="37"/>
  <c r="Q29" i="37"/>
  <c r="R29" i="37"/>
  <c r="S29" i="37"/>
  <c r="T29" i="37"/>
  <c r="P30" i="37"/>
  <c r="Q30" i="37"/>
  <c r="R30" i="37"/>
  <c r="S30" i="37"/>
  <c r="T30" i="37"/>
  <c r="P68" i="37" s="1"/>
  <c r="T19" i="37"/>
  <c r="P57" i="37" s="1"/>
  <c r="T6" i="37"/>
  <c r="N13" i="17"/>
  <c r="L13" i="17"/>
  <c r="R13" i="17" s="1"/>
  <c r="E13" i="17"/>
  <c r="F13" i="17" s="1"/>
  <c r="N12" i="17"/>
  <c r="L12" i="17"/>
  <c r="R12" i="17" s="1"/>
  <c r="E12" i="17"/>
  <c r="F12" i="17" s="1"/>
  <c r="V13" i="37"/>
  <c r="H30" i="9"/>
  <c r="O52" i="37"/>
  <c r="P52" i="37"/>
  <c r="O53" i="37"/>
  <c r="P53" i="37"/>
  <c r="O54" i="37"/>
  <c r="P54" i="37"/>
  <c r="O55" i="37"/>
  <c r="P55" i="37"/>
  <c r="O56" i="37"/>
  <c r="P56" i="37"/>
  <c r="O58" i="37"/>
  <c r="P58" i="37"/>
  <c r="O59" i="37"/>
  <c r="O60" i="37"/>
  <c r="P62" i="37"/>
  <c r="O65" i="37"/>
  <c r="O67" i="37"/>
  <c r="P67" i="37"/>
  <c r="O68" i="37"/>
  <c r="O69" i="37"/>
  <c r="P69" i="37"/>
  <c r="O70" i="37"/>
  <c r="P70" i="37"/>
  <c r="O71" i="37"/>
  <c r="P71" i="37"/>
  <c r="O72" i="37"/>
  <c r="P72" i="37"/>
  <c r="O73" i="37"/>
  <c r="P73" i="37"/>
  <c r="O74" i="37"/>
  <c r="P74" i="37"/>
  <c r="O51" i="37"/>
  <c r="P51" i="37"/>
  <c r="P13" i="17" l="1"/>
  <c r="P12" i="17"/>
  <c r="T6" i="34"/>
  <c r="Z22" i="10"/>
  <c r="Z21" i="10"/>
  <c r="AP46" i="9"/>
  <c r="AK6" i="35"/>
  <c r="AK6" i="36"/>
  <c r="BF51" i="37"/>
  <c r="BG51" i="37" s="1"/>
  <c r="CY13" i="37" s="1"/>
  <c r="O126" i="37"/>
  <c r="O122" i="37"/>
  <c r="Z120" i="37"/>
  <c r="Y120" i="37"/>
  <c r="Z119" i="37"/>
  <c r="Y119" i="37"/>
  <c r="Z118" i="37"/>
  <c r="Y118" i="37"/>
  <c r="Z117" i="37"/>
  <c r="Y117" i="37"/>
  <c r="Z116" i="37"/>
  <c r="Y116" i="37"/>
  <c r="Z115" i="37"/>
  <c r="Y115" i="37"/>
  <c r="Z114" i="37"/>
  <c r="Y114" i="37"/>
  <c r="Z113" i="37"/>
  <c r="Y113" i="37"/>
  <c r="O109" i="37"/>
  <c r="O110" i="37" s="1"/>
  <c r="O107" i="37"/>
  <c r="S120" i="37" s="1"/>
  <c r="O106" i="37"/>
  <c r="O105" i="37"/>
  <c r="S119" i="37" s="1"/>
  <c r="O104" i="37"/>
  <c r="U102" i="37"/>
  <c r="T102" i="37"/>
  <c r="O102" i="37"/>
  <c r="U101" i="37"/>
  <c r="T101" i="37"/>
  <c r="O101" i="37"/>
  <c r="U100" i="37"/>
  <c r="T100" i="37"/>
  <c r="O100" i="37"/>
  <c r="U99" i="37"/>
  <c r="T99" i="37"/>
  <c r="O99" i="37"/>
  <c r="U98" i="37"/>
  <c r="T98" i="37"/>
  <c r="O98" i="37"/>
  <c r="U97" i="37"/>
  <c r="T97" i="37"/>
  <c r="O97" i="37"/>
  <c r="U96" i="37"/>
  <c r="T96" i="37"/>
  <c r="O96" i="37"/>
  <c r="U95" i="37"/>
  <c r="T95" i="37"/>
  <c r="BD59" i="37" s="1"/>
  <c r="O95" i="37"/>
  <c r="U94" i="37"/>
  <c r="T94" i="37"/>
  <c r="O94" i="37"/>
  <c r="U93" i="37"/>
  <c r="T93" i="37"/>
  <c r="O93" i="37"/>
  <c r="U92" i="37"/>
  <c r="T92" i="37"/>
  <c r="O92" i="37"/>
  <c r="U91" i="37"/>
  <c r="T91" i="37"/>
  <c r="O91" i="37"/>
  <c r="CH74" i="37"/>
  <c r="CI74" i="37" s="1"/>
  <c r="BO74" i="37"/>
  <c r="BJ74" i="37"/>
  <c r="BL74" i="37" s="1"/>
  <c r="BM74" i="37" s="1"/>
  <c r="BF74" i="37"/>
  <c r="BG74" i="37" s="1"/>
  <c r="CY36" i="37" s="1"/>
  <c r="BD74" i="37"/>
  <c r="AT74" i="37"/>
  <c r="AQ74" i="37"/>
  <c r="BK36" i="37" s="1"/>
  <c r="AM74" i="37"/>
  <c r="AL74" i="37"/>
  <c r="V74" i="37"/>
  <c r="S74" i="37"/>
  <c r="R74" i="37"/>
  <c r="Q74" i="37"/>
  <c r="CH73" i="37"/>
  <c r="CI73" i="37" s="1"/>
  <c r="BO73" i="37"/>
  <c r="BJ73" i="37"/>
  <c r="BL73" i="37" s="1"/>
  <c r="BM73" i="37" s="1"/>
  <c r="BF73" i="37"/>
  <c r="BG73" i="37" s="1"/>
  <c r="CY35" i="37" s="1"/>
  <c r="BD73" i="37"/>
  <c r="AT73" i="37"/>
  <c r="AQ73" i="37"/>
  <c r="AM73" i="37"/>
  <c r="AL73" i="37"/>
  <c r="V73" i="37"/>
  <c r="S73" i="37"/>
  <c r="R73" i="37"/>
  <c r="Q73" i="37"/>
  <c r="CH35" i="37"/>
  <c r="CH72" i="37"/>
  <c r="CI72" i="37" s="1"/>
  <c r="BO72" i="37"/>
  <c r="BJ72" i="37"/>
  <c r="BL72" i="37" s="1"/>
  <c r="BM72" i="37" s="1"/>
  <c r="BF72" i="37"/>
  <c r="BG72" i="37" s="1"/>
  <c r="CY34" i="37" s="1"/>
  <c r="BD72" i="37"/>
  <c r="AT72" i="37"/>
  <c r="AQ72" i="37"/>
  <c r="BK34" i="37" s="1"/>
  <c r="AM72" i="37"/>
  <c r="AN72" i="37" s="1"/>
  <c r="AO72" i="37" s="1"/>
  <c r="AL72" i="37"/>
  <c r="V72" i="37"/>
  <c r="S72" i="37"/>
  <c r="R72" i="37"/>
  <c r="Q72" i="37"/>
  <c r="CH34" i="37"/>
  <c r="CH71" i="37"/>
  <c r="CI71" i="37" s="1"/>
  <c r="BO71" i="37"/>
  <c r="BJ71" i="37"/>
  <c r="BL71" i="37" s="1"/>
  <c r="BM71" i="37" s="1"/>
  <c r="BF71" i="37"/>
  <c r="BG71" i="37" s="1"/>
  <c r="CY33" i="37" s="1"/>
  <c r="BD71" i="37"/>
  <c r="AT71" i="37"/>
  <c r="AQ71" i="37"/>
  <c r="AM71" i="37"/>
  <c r="AL71" i="37"/>
  <c r="V71" i="37"/>
  <c r="S71" i="37"/>
  <c r="R71" i="37"/>
  <c r="Q71" i="37"/>
  <c r="CH70" i="37"/>
  <c r="CI70" i="37" s="1"/>
  <c r="BO70" i="37"/>
  <c r="BJ70" i="37"/>
  <c r="BL70" i="37" s="1"/>
  <c r="BM70" i="37" s="1"/>
  <c r="BF70" i="37"/>
  <c r="BG70" i="37" s="1"/>
  <c r="CY32" i="37" s="1"/>
  <c r="BD70" i="37"/>
  <c r="AT70" i="37"/>
  <c r="AQ70" i="37"/>
  <c r="BJ32" i="37" s="1"/>
  <c r="AM70" i="37"/>
  <c r="AN70" i="37" s="1"/>
  <c r="AO70" i="37" s="1"/>
  <c r="AL70" i="37"/>
  <c r="V70" i="37"/>
  <c r="S70" i="37"/>
  <c r="R70" i="37"/>
  <c r="Q70" i="37"/>
  <c r="CH32" i="37"/>
  <c r="CH69" i="37"/>
  <c r="CI69" i="37" s="1"/>
  <c r="BO69" i="37"/>
  <c r="BJ69" i="37"/>
  <c r="BL69" i="37" s="1"/>
  <c r="BM69" i="37" s="1"/>
  <c r="BF69" i="37"/>
  <c r="BG69" i="37" s="1"/>
  <c r="CY31" i="37" s="1"/>
  <c r="BD69" i="37"/>
  <c r="AT69" i="37"/>
  <c r="AQ69" i="37"/>
  <c r="BK31" i="37" s="1"/>
  <c r="AM69" i="37"/>
  <c r="AL69" i="37"/>
  <c r="V69" i="37"/>
  <c r="S69" i="37"/>
  <c r="R69" i="37"/>
  <c r="Q69" i="37"/>
  <c r="CH68" i="37"/>
  <c r="CI68" i="37" s="1"/>
  <c r="BO68" i="37"/>
  <c r="BJ68" i="37"/>
  <c r="BL68" i="37" s="1"/>
  <c r="BM68" i="37" s="1"/>
  <c r="BF68" i="37"/>
  <c r="BG68" i="37" s="1"/>
  <c r="CY30" i="37" s="1"/>
  <c r="AT68" i="37"/>
  <c r="AQ68" i="37"/>
  <c r="BJ30" i="37" s="1"/>
  <c r="AM68" i="37"/>
  <c r="AL68" i="37"/>
  <c r="V68" i="37"/>
  <c r="S68" i="37"/>
  <c r="R68" i="37"/>
  <c r="Q68" i="37"/>
  <c r="CH67" i="37"/>
  <c r="CI67" i="37" s="1"/>
  <c r="BO67" i="37"/>
  <c r="BJ67" i="37"/>
  <c r="BL67" i="37" s="1"/>
  <c r="BM67" i="37" s="1"/>
  <c r="BF67" i="37"/>
  <c r="BG67" i="37" s="1"/>
  <c r="CY29" i="37" s="1"/>
  <c r="AT67" i="37"/>
  <c r="AQ67" i="37"/>
  <c r="BJ29" i="37" s="1"/>
  <c r="AM67" i="37"/>
  <c r="AL67" i="37"/>
  <c r="V67" i="37"/>
  <c r="S67" i="37"/>
  <c r="R67" i="37"/>
  <c r="Q67" i="37"/>
  <c r="CH66" i="37"/>
  <c r="CI66" i="37" s="1"/>
  <c r="BO66" i="37"/>
  <c r="BJ66" i="37"/>
  <c r="BL66" i="37" s="1"/>
  <c r="BM66" i="37" s="1"/>
  <c r="BF66" i="37"/>
  <c r="BG66" i="37" s="1"/>
  <c r="CY28" i="37" s="1"/>
  <c r="AT66" i="37"/>
  <c r="AQ66" i="37"/>
  <c r="CI28" i="37" s="1"/>
  <c r="AM66" i="37"/>
  <c r="AL66" i="37"/>
  <c r="V66" i="37"/>
  <c r="S66" i="37"/>
  <c r="R66" i="37"/>
  <c r="Q66" i="37"/>
  <c r="CH65" i="37"/>
  <c r="CI65" i="37" s="1"/>
  <c r="BO65" i="37"/>
  <c r="BJ65" i="37"/>
  <c r="BL65" i="37" s="1"/>
  <c r="BM65" i="37" s="1"/>
  <c r="BF65" i="37"/>
  <c r="BG65" i="37" s="1"/>
  <c r="CY27" i="37" s="1"/>
  <c r="AT65" i="37"/>
  <c r="AQ65" i="37"/>
  <c r="BK27" i="37" s="1"/>
  <c r="AM65" i="37"/>
  <c r="AL65" i="37"/>
  <c r="V65" i="37"/>
  <c r="S65" i="37"/>
  <c r="R65" i="37"/>
  <c r="Q65" i="37"/>
  <c r="CH64" i="37"/>
  <c r="CI64" i="37" s="1"/>
  <c r="BO64" i="37"/>
  <c r="BJ64" i="37"/>
  <c r="BL64" i="37" s="1"/>
  <c r="BM64" i="37" s="1"/>
  <c r="BF64" i="37"/>
  <c r="BG64" i="37" s="1"/>
  <c r="CY26" i="37" s="1"/>
  <c r="AT64" i="37"/>
  <c r="AQ64" i="37"/>
  <c r="AM64" i="37"/>
  <c r="AL64" i="37"/>
  <c r="V64" i="37"/>
  <c r="S64" i="37"/>
  <c r="R64" i="37"/>
  <c r="Q64" i="37"/>
  <c r="CH63" i="37"/>
  <c r="CI63" i="37" s="1"/>
  <c r="BO63" i="37"/>
  <c r="BJ63" i="37"/>
  <c r="BL63" i="37" s="1"/>
  <c r="BM63" i="37" s="1"/>
  <c r="BF63" i="37"/>
  <c r="BG63" i="37" s="1"/>
  <c r="CY25" i="37" s="1"/>
  <c r="AT63" i="37"/>
  <c r="AQ63" i="37"/>
  <c r="BK25" i="37" s="1"/>
  <c r="AM63" i="37"/>
  <c r="AL63" i="37"/>
  <c r="V63" i="37"/>
  <c r="S63" i="37"/>
  <c r="R63" i="37"/>
  <c r="Q63" i="37"/>
  <c r="CH62" i="37"/>
  <c r="CI62" i="37" s="1"/>
  <c r="BO62" i="37"/>
  <c r="BJ62" i="37"/>
  <c r="BL62" i="37" s="1"/>
  <c r="BM62" i="37" s="1"/>
  <c r="BF62" i="37"/>
  <c r="BG62" i="37" s="1"/>
  <c r="CY24" i="37" s="1"/>
  <c r="AT62" i="37"/>
  <c r="AQ62" i="37"/>
  <c r="BK24" i="37" s="1"/>
  <c r="AM62" i="37"/>
  <c r="AL62" i="37"/>
  <c r="V62" i="37"/>
  <c r="S62" i="37"/>
  <c r="R62" i="37"/>
  <c r="Q62" i="37"/>
  <c r="CH61" i="37"/>
  <c r="CI61" i="37" s="1"/>
  <c r="BO61" i="37"/>
  <c r="BJ61" i="37"/>
  <c r="BL61" i="37" s="1"/>
  <c r="BM61" i="37" s="1"/>
  <c r="BF61" i="37"/>
  <c r="BG61" i="37" s="1"/>
  <c r="CY23" i="37" s="1"/>
  <c r="AT61" i="37"/>
  <c r="AQ61" i="37"/>
  <c r="AM61" i="37"/>
  <c r="AL61" i="37"/>
  <c r="V61" i="37"/>
  <c r="S61" i="37"/>
  <c r="R61" i="37"/>
  <c r="Q61" i="37"/>
  <c r="CH60" i="37"/>
  <c r="CI60" i="37" s="1"/>
  <c r="BO60" i="37"/>
  <c r="BJ60" i="37"/>
  <c r="BL60" i="37" s="1"/>
  <c r="BM60" i="37" s="1"/>
  <c r="BF60" i="37"/>
  <c r="BG60" i="37" s="1"/>
  <c r="CY22" i="37" s="1"/>
  <c r="AT60" i="37"/>
  <c r="AQ60" i="37"/>
  <c r="CI22" i="37" s="1"/>
  <c r="AM60" i="37"/>
  <c r="AL60" i="37"/>
  <c r="V60" i="37"/>
  <c r="S60" i="37"/>
  <c r="R60" i="37"/>
  <c r="Q60" i="37"/>
  <c r="CH22" i="37"/>
  <c r="CH59" i="37"/>
  <c r="CI59" i="37" s="1"/>
  <c r="BO59" i="37"/>
  <c r="BJ59" i="37"/>
  <c r="BL59" i="37" s="1"/>
  <c r="BM59" i="37" s="1"/>
  <c r="BF59" i="37"/>
  <c r="BG59" i="37" s="1"/>
  <c r="CY21" i="37" s="1"/>
  <c r="AT59" i="37"/>
  <c r="AQ59" i="37"/>
  <c r="BP59" i="37" s="1"/>
  <c r="AM59" i="37"/>
  <c r="AL59" i="37"/>
  <c r="V59" i="37"/>
  <c r="S59" i="37"/>
  <c r="R59" i="37"/>
  <c r="Q59" i="37"/>
  <c r="CH58" i="37"/>
  <c r="CI58" i="37" s="1"/>
  <c r="BO58" i="37"/>
  <c r="BJ58" i="37"/>
  <c r="BL58" i="37" s="1"/>
  <c r="BM58" i="37" s="1"/>
  <c r="BF58" i="37"/>
  <c r="BG58" i="37" s="1"/>
  <c r="CY20" i="37" s="1"/>
  <c r="AT58" i="37"/>
  <c r="AQ58" i="37"/>
  <c r="BJ20" i="37" s="1"/>
  <c r="AM58" i="37"/>
  <c r="AL58" i="37"/>
  <c r="V58" i="37"/>
  <c r="S58" i="37"/>
  <c r="R58" i="37"/>
  <c r="Q58" i="37"/>
  <c r="CH57" i="37"/>
  <c r="CI57" i="37" s="1"/>
  <c r="BO57" i="37"/>
  <c r="BJ57" i="37"/>
  <c r="BL57" i="37" s="1"/>
  <c r="BM57" i="37" s="1"/>
  <c r="BF57" i="37"/>
  <c r="BG57" i="37" s="1"/>
  <c r="CY19" i="37" s="1"/>
  <c r="AT57" i="37"/>
  <c r="AQ57" i="37"/>
  <c r="BK19" i="37" s="1"/>
  <c r="AM57" i="37"/>
  <c r="AL57" i="37"/>
  <c r="V57" i="37"/>
  <c r="S57" i="37"/>
  <c r="R57" i="37"/>
  <c r="Q57" i="37"/>
  <c r="CH56" i="37"/>
  <c r="CI56" i="37" s="1"/>
  <c r="BO56" i="37"/>
  <c r="BJ56" i="37"/>
  <c r="BL56" i="37" s="1"/>
  <c r="BM56" i="37" s="1"/>
  <c r="BF56" i="37"/>
  <c r="BG56" i="37" s="1"/>
  <c r="CY18" i="37" s="1"/>
  <c r="BD56" i="37"/>
  <c r="AT56" i="37"/>
  <c r="AQ56" i="37"/>
  <c r="AM56" i="37"/>
  <c r="AL56" i="37"/>
  <c r="V56" i="37"/>
  <c r="S56" i="37"/>
  <c r="R56" i="37"/>
  <c r="Q56" i="37"/>
  <c r="CH55" i="37"/>
  <c r="CI55" i="37" s="1"/>
  <c r="BO55" i="37"/>
  <c r="BJ55" i="37"/>
  <c r="BL55" i="37" s="1"/>
  <c r="BM55" i="37" s="1"/>
  <c r="BF55" i="37"/>
  <c r="BG55" i="37" s="1"/>
  <c r="CY17" i="37" s="1"/>
  <c r="BD55" i="37"/>
  <c r="AT55" i="37"/>
  <c r="AQ55" i="37"/>
  <c r="BJ17" i="37" s="1"/>
  <c r="AM55" i="37"/>
  <c r="AL55" i="37"/>
  <c r="V55" i="37"/>
  <c r="S55" i="37"/>
  <c r="R55" i="37"/>
  <c r="Q55" i="37"/>
  <c r="CH54" i="37"/>
  <c r="CI54" i="37" s="1"/>
  <c r="BO54" i="37"/>
  <c r="BJ54" i="37"/>
  <c r="BL54" i="37" s="1"/>
  <c r="BM54" i="37" s="1"/>
  <c r="BF54" i="37"/>
  <c r="BG54" i="37" s="1"/>
  <c r="CY16" i="37" s="1"/>
  <c r="BD54" i="37"/>
  <c r="AT54" i="37"/>
  <c r="AQ54" i="37"/>
  <c r="AM54" i="37"/>
  <c r="AL54" i="37"/>
  <c r="V54" i="37"/>
  <c r="S54" i="37"/>
  <c r="R54" i="37"/>
  <c r="Q54" i="37"/>
  <c r="CH53" i="37"/>
  <c r="CI53" i="37" s="1"/>
  <c r="BO53" i="37"/>
  <c r="BJ53" i="37"/>
  <c r="BL53" i="37" s="1"/>
  <c r="BM53" i="37" s="1"/>
  <c r="BF53" i="37"/>
  <c r="BG53" i="37" s="1"/>
  <c r="CY15" i="37" s="1"/>
  <c r="BD53" i="37"/>
  <c r="AT53" i="37"/>
  <c r="AQ53" i="37"/>
  <c r="BK15" i="37" s="1"/>
  <c r="AM53" i="37"/>
  <c r="AL53" i="37"/>
  <c r="V53" i="37"/>
  <c r="S53" i="37"/>
  <c r="R53" i="37"/>
  <c r="Q53" i="37"/>
  <c r="CH52" i="37"/>
  <c r="CI52" i="37" s="1"/>
  <c r="BO52" i="37"/>
  <c r="BJ52" i="37"/>
  <c r="BL52" i="37" s="1"/>
  <c r="BM52" i="37" s="1"/>
  <c r="BF52" i="37"/>
  <c r="BG52" i="37" s="1"/>
  <c r="CY14" i="37" s="1"/>
  <c r="BD52" i="37"/>
  <c r="AT52" i="37"/>
  <c r="AQ52" i="37"/>
  <c r="BK14" i="37" s="1"/>
  <c r="AM52" i="37"/>
  <c r="AL52" i="37"/>
  <c r="V52" i="37"/>
  <c r="S52" i="37"/>
  <c r="R52" i="37"/>
  <c r="Q52" i="37"/>
  <c r="CH51" i="37"/>
  <c r="CI51" i="37" s="1"/>
  <c r="BO51" i="37"/>
  <c r="BJ51" i="37"/>
  <c r="BL51" i="37" s="1"/>
  <c r="BM51" i="37" s="1"/>
  <c r="BD51" i="37"/>
  <c r="AT51" i="37"/>
  <c r="AQ51" i="37"/>
  <c r="BK13" i="37" s="1"/>
  <c r="AM51" i="37"/>
  <c r="AL51" i="37"/>
  <c r="V51" i="37"/>
  <c r="R51" i="37"/>
  <c r="Q51" i="37"/>
  <c r="M43" i="37"/>
  <c r="M81" i="37" s="1"/>
  <c r="M41" i="37"/>
  <c r="M79" i="37" s="1"/>
  <c r="M39" i="37"/>
  <c r="M77" i="37" s="1"/>
  <c r="M37" i="37"/>
  <c r="M75" i="37" s="1"/>
  <c r="CW36" i="37"/>
  <c r="CV36" i="37"/>
  <c r="CU36" i="37"/>
  <c r="BV36" i="37"/>
  <c r="BW36" i="37" s="1"/>
  <c r="BQ36" i="37"/>
  <c r="BR36" i="37" s="1"/>
  <c r="BF36" i="37"/>
  <c r="BG36" i="37" s="1"/>
  <c r="CX36" i="37" s="1"/>
  <c r="BD36" i="37"/>
  <c r="AH36" i="37"/>
  <c r="AJ36" i="37" s="1"/>
  <c r="X36" i="37"/>
  <c r="W36" i="37"/>
  <c r="V36" i="37"/>
  <c r="AU36" i="37" s="1"/>
  <c r="CW35" i="37"/>
  <c r="CV35" i="37"/>
  <c r="CU35" i="37"/>
  <c r="BV35" i="37"/>
  <c r="BW35" i="37" s="1"/>
  <c r="BQ35" i="37"/>
  <c r="BR35" i="37" s="1"/>
  <c r="BF35" i="37"/>
  <c r="BG35" i="37" s="1"/>
  <c r="CX35" i="37" s="1"/>
  <c r="BD35" i="37"/>
  <c r="AK35" i="37"/>
  <c r="AW35" i="37" s="1"/>
  <c r="AH35" i="37"/>
  <c r="AJ35" i="37" s="1"/>
  <c r="X35" i="37"/>
  <c r="W35" i="37"/>
  <c r="V35" i="37"/>
  <c r="AT35" i="37" s="1"/>
  <c r="M35" i="37"/>
  <c r="M73" i="37" s="1"/>
  <c r="Y73" i="37" s="1"/>
  <c r="AK73" i="37" s="1"/>
  <c r="AW73" i="37" s="1"/>
  <c r="BI73" i="37" s="1"/>
  <c r="CW34" i="37"/>
  <c r="CV34" i="37"/>
  <c r="CU34" i="37"/>
  <c r="CK34" i="37"/>
  <c r="CJ34" i="37"/>
  <c r="BV34" i="37"/>
  <c r="BW34" i="37" s="1"/>
  <c r="BQ34" i="37"/>
  <c r="BR34" i="37" s="1"/>
  <c r="BF34" i="37"/>
  <c r="BG34" i="37" s="1"/>
  <c r="CX34" i="37" s="1"/>
  <c r="BD34" i="37"/>
  <c r="AJ34" i="37"/>
  <c r="AI34" i="37"/>
  <c r="Z34" i="37"/>
  <c r="X34" i="37"/>
  <c r="W34" i="37"/>
  <c r="V34" i="37"/>
  <c r="AU34" i="37" s="1"/>
  <c r="CW33" i="37"/>
  <c r="CV33" i="37"/>
  <c r="CU33" i="37"/>
  <c r="CK33" i="37"/>
  <c r="CJ33" i="37"/>
  <c r="BV33" i="37"/>
  <c r="BW33" i="37" s="1"/>
  <c r="BQ33" i="37"/>
  <c r="BR33" i="37" s="1"/>
  <c r="BF33" i="37"/>
  <c r="BG33" i="37" s="1"/>
  <c r="CX33" i="37" s="1"/>
  <c r="BD33" i="37"/>
  <c r="AK33" i="37"/>
  <c r="AW33" i="37" s="1"/>
  <c r="AJ33" i="37"/>
  <c r="AI33" i="37"/>
  <c r="Z33" i="37"/>
  <c r="X33" i="37"/>
  <c r="W33" i="37"/>
  <c r="V33" i="37"/>
  <c r="T71" i="37" s="1"/>
  <c r="AO33" i="37" s="1"/>
  <c r="M33" i="37"/>
  <c r="M71" i="37" s="1"/>
  <c r="Y71" i="37" s="1"/>
  <c r="AK71" i="37" s="1"/>
  <c r="AW71" i="37" s="1"/>
  <c r="BI71" i="37" s="1"/>
  <c r="CW32" i="37"/>
  <c r="CV32" i="37"/>
  <c r="CU32" i="37"/>
  <c r="BV32" i="37"/>
  <c r="BW32" i="37" s="1"/>
  <c r="BQ32" i="37"/>
  <c r="BR32" i="37" s="1"/>
  <c r="BK32" i="37"/>
  <c r="BF32" i="37"/>
  <c r="BG32" i="37" s="1"/>
  <c r="CX32" i="37" s="1"/>
  <c r="BD32" i="37"/>
  <c r="AH32" i="37"/>
  <c r="AJ32" i="37" s="1"/>
  <c r="X32" i="37"/>
  <c r="W32" i="37"/>
  <c r="V32" i="37"/>
  <c r="CW31" i="37"/>
  <c r="CV31" i="37"/>
  <c r="CU31" i="37"/>
  <c r="CH31" i="37"/>
  <c r="BV31" i="37"/>
  <c r="BW31" i="37" s="1"/>
  <c r="BQ31" i="37"/>
  <c r="BR31" i="37" s="1"/>
  <c r="BF31" i="37"/>
  <c r="BG31" i="37" s="1"/>
  <c r="CX31" i="37" s="1"/>
  <c r="BD31" i="37"/>
  <c r="AK31" i="37"/>
  <c r="AW31" i="37" s="1"/>
  <c r="BI31" i="37" s="1"/>
  <c r="BU31" i="37" s="1"/>
  <c r="CG31" i="37" s="1"/>
  <c r="CG69" i="37" s="1"/>
  <c r="AH31" i="37"/>
  <c r="AJ31" i="37" s="1"/>
  <c r="X31" i="37"/>
  <c r="W31" i="37"/>
  <c r="V31" i="37"/>
  <c r="T69" i="37" s="1"/>
  <c r="M31" i="37"/>
  <c r="M69" i="37" s="1"/>
  <c r="Y69" i="37" s="1"/>
  <c r="AK69" i="37" s="1"/>
  <c r="AW69" i="37" s="1"/>
  <c r="BI69" i="37" s="1"/>
  <c r="CW30" i="37"/>
  <c r="CV30" i="37"/>
  <c r="CU30" i="37"/>
  <c r="CK30" i="37"/>
  <c r="CJ30" i="37"/>
  <c r="CH30" i="37"/>
  <c r="BV30" i="37"/>
  <c r="BW30" i="37" s="1"/>
  <c r="BQ30" i="37"/>
  <c r="BR30" i="37" s="1"/>
  <c r="BF30" i="37"/>
  <c r="BG30" i="37" s="1"/>
  <c r="CX30" i="37" s="1"/>
  <c r="BD30" i="37"/>
  <c r="AJ30" i="37"/>
  <c r="AI30" i="37"/>
  <c r="Z30" i="37"/>
  <c r="X30" i="37"/>
  <c r="W30" i="37"/>
  <c r="V30" i="37"/>
  <c r="AU30" i="37" s="1"/>
  <c r="CW29" i="37"/>
  <c r="CV29" i="37"/>
  <c r="CU29" i="37"/>
  <c r="CK29" i="37"/>
  <c r="CJ29" i="37"/>
  <c r="BV29" i="37"/>
  <c r="BW29" i="37" s="1"/>
  <c r="BQ29" i="37"/>
  <c r="BR29" i="37" s="1"/>
  <c r="BF29" i="37"/>
  <c r="BG29" i="37" s="1"/>
  <c r="CX29" i="37" s="1"/>
  <c r="BD29" i="37"/>
  <c r="AK29" i="37"/>
  <c r="AW29" i="37" s="1"/>
  <c r="BI29" i="37" s="1"/>
  <c r="BU29" i="37" s="1"/>
  <c r="CG29" i="37" s="1"/>
  <c r="CG67" i="37" s="1"/>
  <c r="AJ29" i="37"/>
  <c r="AI29" i="37"/>
  <c r="Z29" i="37"/>
  <c r="X29" i="37"/>
  <c r="W29" i="37"/>
  <c r="V29" i="37"/>
  <c r="T67" i="37" s="1"/>
  <c r="AO29" i="37" s="1"/>
  <c r="M29" i="37"/>
  <c r="M67" i="37" s="1"/>
  <c r="Y67" i="37" s="1"/>
  <c r="AK67" i="37" s="1"/>
  <c r="AW67" i="37" s="1"/>
  <c r="BI67" i="37" s="1"/>
  <c r="CW28" i="37"/>
  <c r="CV28" i="37"/>
  <c r="CU28" i="37"/>
  <c r="CK28" i="37"/>
  <c r="CJ28" i="37"/>
  <c r="BV28" i="37"/>
  <c r="BW28" i="37" s="1"/>
  <c r="BQ28" i="37"/>
  <c r="BR28" i="37" s="1"/>
  <c r="BK28" i="37"/>
  <c r="BF28" i="37"/>
  <c r="BG28" i="37" s="1"/>
  <c r="CX28" i="37" s="1"/>
  <c r="BD28" i="37"/>
  <c r="AH28" i="37"/>
  <c r="AI28" i="37" s="1"/>
  <c r="X28" i="37"/>
  <c r="W28" i="37"/>
  <c r="V28" i="37"/>
  <c r="CW27" i="37"/>
  <c r="CV27" i="37"/>
  <c r="CU27" i="37"/>
  <c r="CK27" i="37"/>
  <c r="CJ27" i="37"/>
  <c r="BV27" i="37"/>
  <c r="BW27" i="37" s="1"/>
  <c r="BQ27" i="37"/>
  <c r="BR27" i="37" s="1"/>
  <c r="BF27" i="37"/>
  <c r="BG27" i="37" s="1"/>
  <c r="CX27" i="37" s="1"/>
  <c r="AK27" i="37"/>
  <c r="AW27" i="37" s="1"/>
  <c r="AH27" i="37"/>
  <c r="X27" i="37"/>
  <c r="W27" i="37"/>
  <c r="V27" i="37"/>
  <c r="AU27" i="37" s="1"/>
  <c r="M27" i="37"/>
  <c r="M65" i="37" s="1"/>
  <c r="Y65" i="37" s="1"/>
  <c r="AK65" i="37" s="1"/>
  <c r="AW65" i="37" s="1"/>
  <c r="BI65" i="37" s="1"/>
  <c r="CW26" i="37"/>
  <c r="CV26" i="37"/>
  <c r="CU26" i="37"/>
  <c r="CK26" i="37"/>
  <c r="CJ26" i="37"/>
  <c r="CH26" i="37"/>
  <c r="BV26" i="37"/>
  <c r="BW26" i="37" s="1"/>
  <c r="BQ26" i="37"/>
  <c r="BR26" i="37" s="1"/>
  <c r="BF26" i="37"/>
  <c r="BG26" i="37" s="1"/>
  <c r="CX26" i="37" s="1"/>
  <c r="BD26" i="37"/>
  <c r="AJ26" i="37"/>
  <c r="AI26" i="37"/>
  <c r="Z26" i="37"/>
  <c r="X26" i="37"/>
  <c r="W26" i="37"/>
  <c r="V26" i="37"/>
  <c r="AU26" i="37" s="1"/>
  <c r="CW25" i="37"/>
  <c r="CV25" i="37"/>
  <c r="CU25" i="37"/>
  <c r="CK25" i="37"/>
  <c r="CJ25" i="37"/>
  <c r="BV25" i="37"/>
  <c r="BW25" i="37" s="1"/>
  <c r="BQ25" i="37"/>
  <c r="BR25" i="37" s="1"/>
  <c r="BF25" i="37"/>
  <c r="BG25" i="37" s="1"/>
  <c r="CX25" i="37" s="1"/>
  <c r="BD25" i="37"/>
  <c r="AK25" i="37"/>
  <c r="AW25" i="37" s="1"/>
  <c r="BI25" i="37" s="1"/>
  <c r="BU25" i="37" s="1"/>
  <c r="CG25" i="37" s="1"/>
  <c r="CG63" i="37" s="1"/>
  <c r="AJ25" i="37"/>
  <c r="AI25" i="37"/>
  <c r="Z25" i="37"/>
  <c r="X25" i="37"/>
  <c r="W25" i="37"/>
  <c r="V25" i="37"/>
  <c r="AU25" i="37" s="1"/>
  <c r="M25" i="37"/>
  <c r="M63" i="37" s="1"/>
  <c r="Y63" i="37" s="1"/>
  <c r="AK63" i="37" s="1"/>
  <c r="AW63" i="37" s="1"/>
  <c r="BI63" i="37" s="1"/>
  <c r="CW24" i="37"/>
  <c r="CV24" i="37"/>
  <c r="CU24" i="37"/>
  <c r="CK24" i="37"/>
  <c r="CJ24" i="37"/>
  <c r="BV24" i="37"/>
  <c r="BW24" i="37" s="1"/>
  <c r="BQ24" i="37"/>
  <c r="BR24" i="37" s="1"/>
  <c r="BF24" i="37"/>
  <c r="BG24" i="37" s="1"/>
  <c r="CX24" i="37" s="1"/>
  <c r="BD24" i="37"/>
  <c r="AJ24" i="37"/>
  <c r="AI24" i="37"/>
  <c r="Z24" i="37"/>
  <c r="X24" i="37"/>
  <c r="W24" i="37"/>
  <c r="V24" i="37"/>
  <c r="AT24" i="37" s="1"/>
  <c r="CW23" i="37"/>
  <c r="CV23" i="37"/>
  <c r="CU23" i="37"/>
  <c r="CK23" i="37"/>
  <c r="CJ23" i="37"/>
  <c r="BV23" i="37"/>
  <c r="BW23" i="37" s="1"/>
  <c r="BQ23" i="37"/>
  <c r="BR23" i="37" s="1"/>
  <c r="BF23" i="37"/>
  <c r="BG23" i="37" s="1"/>
  <c r="CX23" i="37" s="1"/>
  <c r="AK23" i="37"/>
  <c r="AW23" i="37" s="1"/>
  <c r="AJ23" i="37"/>
  <c r="AI23" i="37"/>
  <c r="Z23" i="37"/>
  <c r="X23" i="37"/>
  <c r="W23" i="37"/>
  <c r="V23" i="37"/>
  <c r="AU23" i="37" s="1"/>
  <c r="M23" i="37"/>
  <c r="M61" i="37" s="1"/>
  <c r="Y61" i="37" s="1"/>
  <c r="AK61" i="37" s="1"/>
  <c r="AW61" i="37" s="1"/>
  <c r="BI61" i="37" s="1"/>
  <c r="CW22" i="37"/>
  <c r="CV22" i="37"/>
  <c r="CU22" i="37"/>
  <c r="CK22" i="37"/>
  <c r="CJ22" i="37"/>
  <c r="BV22" i="37"/>
  <c r="BW22" i="37" s="1"/>
  <c r="BQ22" i="37"/>
  <c r="BR22" i="37" s="1"/>
  <c r="BF22" i="37"/>
  <c r="BG22" i="37" s="1"/>
  <c r="CX22" i="37" s="1"/>
  <c r="AH22" i="37"/>
  <c r="AJ22" i="37" s="1"/>
  <c r="X22" i="37"/>
  <c r="W22" i="37"/>
  <c r="V22" i="37"/>
  <c r="CW21" i="37"/>
  <c r="CV21" i="37"/>
  <c r="CU21" i="37"/>
  <c r="CK21" i="37"/>
  <c r="CJ21" i="37"/>
  <c r="CH21" i="37"/>
  <c r="BV21" i="37"/>
  <c r="BW21" i="37" s="1"/>
  <c r="BQ21" i="37"/>
  <c r="BR21" i="37" s="1"/>
  <c r="BL21" i="37"/>
  <c r="BM21" i="37" s="1"/>
  <c r="BQ59" i="37" s="1"/>
  <c r="BK21" i="37"/>
  <c r="BJ21" i="37"/>
  <c r="BF21" i="37"/>
  <c r="BG21" i="37" s="1"/>
  <c r="CX21" i="37" s="1"/>
  <c r="AK21" i="37"/>
  <c r="AW21" i="37" s="1"/>
  <c r="AH21" i="37"/>
  <c r="AI21" i="37" s="1"/>
  <c r="X21" i="37"/>
  <c r="W21" i="37"/>
  <c r="V21" i="37"/>
  <c r="M21" i="37"/>
  <c r="M59" i="37" s="1"/>
  <c r="Y59" i="37" s="1"/>
  <c r="AK59" i="37" s="1"/>
  <c r="AW59" i="37" s="1"/>
  <c r="BI59" i="37" s="1"/>
  <c r="CW20" i="37"/>
  <c r="CV20" i="37"/>
  <c r="CU20" i="37"/>
  <c r="CK20" i="37"/>
  <c r="CJ20" i="37"/>
  <c r="BV20" i="37"/>
  <c r="BW20" i="37" s="1"/>
  <c r="BQ20" i="37"/>
  <c r="BR20" i="37" s="1"/>
  <c r="BF20" i="37"/>
  <c r="BG20" i="37" s="1"/>
  <c r="CX20" i="37" s="1"/>
  <c r="BD20" i="37"/>
  <c r="AJ20" i="37"/>
  <c r="AI20" i="37"/>
  <c r="Z20" i="37"/>
  <c r="X20" i="37"/>
  <c r="W20" i="37"/>
  <c r="V20" i="37"/>
  <c r="T58" i="37" s="1"/>
  <c r="AO20" i="37" s="1"/>
  <c r="CW19" i="37"/>
  <c r="CV19" i="37"/>
  <c r="CU19" i="37"/>
  <c r="CK19" i="37"/>
  <c r="CJ19" i="37"/>
  <c r="CH19" i="37"/>
  <c r="BV19" i="37"/>
  <c r="BW19" i="37" s="1"/>
  <c r="BQ19" i="37"/>
  <c r="BR19" i="37" s="1"/>
  <c r="BF19" i="37"/>
  <c r="BG19" i="37" s="1"/>
  <c r="CX19" i="37" s="1"/>
  <c r="BD19" i="37"/>
  <c r="AK19" i="37"/>
  <c r="AW19" i="37" s="1"/>
  <c r="AJ19" i="37"/>
  <c r="AI19" i="37"/>
  <c r="Z19" i="37"/>
  <c r="X19" i="37"/>
  <c r="W19" i="37"/>
  <c r="V19" i="37"/>
  <c r="AT19" i="37" s="1"/>
  <c r="M19" i="37"/>
  <c r="M57" i="37" s="1"/>
  <c r="Y57" i="37" s="1"/>
  <c r="AK57" i="37" s="1"/>
  <c r="AW57" i="37" s="1"/>
  <c r="BI57" i="37" s="1"/>
  <c r="CW18" i="37"/>
  <c r="CV18" i="37"/>
  <c r="CU18" i="37"/>
  <c r="CH18" i="37"/>
  <c r="BV18" i="37"/>
  <c r="BW18" i="37" s="1"/>
  <c r="BQ18" i="37"/>
  <c r="BR18" i="37" s="1"/>
  <c r="BF18" i="37"/>
  <c r="BG18" i="37" s="1"/>
  <c r="CX18" i="37" s="1"/>
  <c r="BD18" i="37"/>
  <c r="AH18" i="37"/>
  <c r="X18" i="37"/>
  <c r="W18" i="37"/>
  <c r="V18" i="37"/>
  <c r="AU18" i="37" s="1"/>
  <c r="CW17" i="37"/>
  <c r="CV17" i="37"/>
  <c r="CU17" i="37"/>
  <c r="BV17" i="37"/>
  <c r="BW17" i="37" s="1"/>
  <c r="BQ17" i="37"/>
  <c r="BR17" i="37" s="1"/>
  <c r="BF17" i="37"/>
  <c r="BG17" i="37" s="1"/>
  <c r="CX17" i="37" s="1"/>
  <c r="BD17" i="37"/>
  <c r="AK17" i="37"/>
  <c r="AW17" i="37" s="1"/>
  <c r="BI17" i="37" s="1"/>
  <c r="BU17" i="37" s="1"/>
  <c r="CG17" i="37" s="1"/>
  <c r="CG55" i="37" s="1"/>
  <c r="AH17" i="37"/>
  <c r="AI17" i="37" s="1"/>
  <c r="X17" i="37"/>
  <c r="W17" i="37"/>
  <c r="V17" i="37"/>
  <c r="M17" i="37"/>
  <c r="M55" i="37" s="1"/>
  <c r="Y55" i="37" s="1"/>
  <c r="AK55" i="37" s="1"/>
  <c r="AW55" i="37" s="1"/>
  <c r="BI55" i="37" s="1"/>
  <c r="CW16" i="37"/>
  <c r="CV16" i="37"/>
  <c r="CU16" i="37"/>
  <c r="CK16" i="37"/>
  <c r="CJ16" i="37"/>
  <c r="CH16" i="37"/>
  <c r="BV16" i="37"/>
  <c r="BW16" i="37" s="1"/>
  <c r="BQ16" i="37"/>
  <c r="BR16" i="37" s="1"/>
  <c r="BF16" i="37"/>
  <c r="BG16" i="37" s="1"/>
  <c r="CX16" i="37" s="1"/>
  <c r="BD16" i="37"/>
  <c r="AJ16" i="37"/>
  <c r="AI16" i="37"/>
  <c r="Z16" i="37"/>
  <c r="X16" i="37"/>
  <c r="W16" i="37"/>
  <c r="V16" i="37"/>
  <c r="T54" i="37" s="1"/>
  <c r="CW15" i="37"/>
  <c r="CV15" i="37"/>
  <c r="CU15" i="37"/>
  <c r="CK15" i="37"/>
  <c r="CJ15" i="37"/>
  <c r="BV15" i="37"/>
  <c r="BW15" i="37" s="1"/>
  <c r="BQ15" i="37"/>
  <c r="BR15" i="37" s="1"/>
  <c r="BF15" i="37"/>
  <c r="BG15" i="37" s="1"/>
  <c r="CX15" i="37" s="1"/>
  <c r="BD15" i="37"/>
  <c r="AK15" i="37"/>
  <c r="AW15" i="37" s="1"/>
  <c r="BI15" i="37" s="1"/>
  <c r="BU15" i="37" s="1"/>
  <c r="CG15" i="37" s="1"/>
  <c r="CG53" i="37" s="1"/>
  <c r="AJ15" i="37"/>
  <c r="AI15" i="37"/>
  <c r="Z15" i="37"/>
  <c r="X15" i="37"/>
  <c r="W15" i="37"/>
  <c r="V15" i="37"/>
  <c r="T53" i="37" s="1"/>
  <c r="AO15" i="37" s="1"/>
  <c r="M15" i="37"/>
  <c r="M53" i="37" s="1"/>
  <c r="Y53" i="37" s="1"/>
  <c r="AK53" i="37" s="1"/>
  <c r="AW53" i="37" s="1"/>
  <c r="BI53" i="37" s="1"/>
  <c r="CW14" i="37"/>
  <c r="CV14" i="37"/>
  <c r="CU14" i="37"/>
  <c r="CH14" i="37"/>
  <c r="BV14" i="37"/>
  <c r="BW14" i="37" s="1"/>
  <c r="BQ14" i="37"/>
  <c r="BR14" i="37" s="1"/>
  <c r="BF14" i="37"/>
  <c r="BG14" i="37" s="1"/>
  <c r="CX14" i="37" s="1"/>
  <c r="BD14" i="37"/>
  <c r="AH14" i="37"/>
  <c r="X14" i="37"/>
  <c r="W14" i="37"/>
  <c r="V14" i="37"/>
  <c r="AU14" i="37" s="1"/>
  <c r="CV13" i="37"/>
  <c r="CU13" i="37"/>
  <c r="CH13" i="37"/>
  <c r="BV13" i="37"/>
  <c r="BW13" i="37" s="1"/>
  <c r="BQ13" i="37"/>
  <c r="BR13" i="37" s="1"/>
  <c r="BF13" i="37"/>
  <c r="BG13" i="37" s="1"/>
  <c r="CX13" i="37" s="1"/>
  <c r="BD13" i="37"/>
  <c r="AK13" i="37"/>
  <c r="AW13" i="37" s="1"/>
  <c r="AH13" i="37"/>
  <c r="AJ13" i="37" s="1"/>
  <c r="W13" i="37"/>
  <c r="AU13" i="37"/>
  <c r="M13" i="37"/>
  <c r="M51" i="37" s="1"/>
  <c r="Y51" i="37" s="1"/>
  <c r="AK51" i="37" s="1"/>
  <c r="AW51" i="37" s="1"/>
  <c r="BI51" i="37" s="1"/>
  <c r="O8" i="37"/>
  <c r="J4" i="37"/>
  <c r="V4" i="37" s="1"/>
  <c r="AT4" i="37" s="1"/>
  <c r="V3" i="37"/>
  <c r="AT3" i="37" s="1"/>
  <c r="E3" i="37"/>
  <c r="Q3" i="37" s="1"/>
  <c r="E1" i="37"/>
  <c r="Q1" i="37" s="1"/>
  <c r="AC3" i="37" l="1"/>
  <c r="BA3" i="37" s="1"/>
  <c r="BM3" i="37" s="1"/>
  <c r="BY3" i="37" s="1"/>
  <c r="CK3" i="37" s="1"/>
  <c r="AO3" i="37"/>
  <c r="AN51" i="37"/>
  <c r="AO51" i="37" s="1"/>
  <c r="AN52" i="37"/>
  <c r="AO52" i="37" s="1"/>
  <c r="BD60" i="37"/>
  <c r="AN63" i="37"/>
  <c r="AO63" i="37" s="1"/>
  <c r="AN53" i="37"/>
  <c r="AO53" i="37" s="1"/>
  <c r="BD61" i="37"/>
  <c r="AN64" i="37"/>
  <c r="AO64" i="37" s="1"/>
  <c r="AN54" i="37"/>
  <c r="AO54" i="37" s="1"/>
  <c r="BD62" i="37"/>
  <c r="AN65" i="37"/>
  <c r="AO65" i="37" s="1"/>
  <c r="AN74" i="37"/>
  <c r="AO74" i="37" s="1"/>
  <c r="BD63" i="37"/>
  <c r="BD64" i="37"/>
  <c r="AN67" i="37"/>
  <c r="AO67" i="37" s="1"/>
  <c r="O111" i="37"/>
  <c r="BD65" i="37"/>
  <c r="CI21" i="37"/>
  <c r="AN58" i="37"/>
  <c r="BD66" i="37"/>
  <c r="AN69" i="37"/>
  <c r="AN59" i="37"/>
  <c r="AO59" i="37" s="1"/>
  <c r="BD67" i="37"/>
  <c r="AN66" i="37"/>
  <c r="AO66" i="37" s="1"/>
  <c r="AN56" i="37"/>
  <c r="AO56" i="37" s="1"/>
  <c r="BD57" i="37"/>
  <c r="BD68" i="37"/>
  <c r="BD58" i="37"/>
  <c r="AN60" i="37"/>
  <c r="AO60" i="37" s="1"/>
  <c r="BD21" i="37"/>
  <c r="BD27" i="37"/>
  <c r="BL27" i="37"/>
  <c r="BM27" i="37" s="1"/>
  <c r="BQ65" i="37" s="1"/>
  <c r="CM27" i="37" s="1"/>
  <c r="BJ24" i="37"/>
  <c r="BJ14" i="37"/>
  <c r="BJ25" i="37"/>
  <c r="AI36" i="37"/>
  <c r="BJ36" i="37"/>
  <c r="AI32" i="37"/>
  <c r="BJ31" i="37"/>
  <c r="AI35" i="37"/>
  <c r="AJ28" i="37"/>
  <c r="BJ34" i="37"/>
  <c r="BJ13" i="37"/>
  <c r="CT15" i="37"/>
  <c r="BJ19" i="37"/>
  <c r="BJ28" i="37"/>
  <c r="AJ17" i="37"/>
  <c r="AI22" i="37"/>
  <c r="CT29" i="37"/>
  <c r="CT35" i="37"/>
  <c r="BI35" i="37"/>
  <c r="BU35" i="37" s="1"/>
  <c r="CG35" i="37" s="1"/>
  <c r="BI13" i="37"/>
  <c r="BU13" i="37" s="1"/>
  <c r="CG13" i="37" s="1"/>
  <c r="CG51" i="37" s="1"/>
  <c r="CT13" i="37"/>
  <c r="BI33" i="37"/>
  <c r="BU33" i="37" s="1"/>
  <c r="CG33" i="37" s="1"/>
  <c r="CT33" i="37"/>
  <c r="CT17" i="37"/>
  <c r="X13" i="37"/>
  <c r="N51" i="37" s="1"/>
  <c r="S51" i="37"/>
  <c r="CW13" i="37"/>
  <c r="N52" i="37"/>
  <c r="CL26" i="37"/>
  <c r="N53" i="37"/>
  <c r="AE15" i="37" s="1"/>
  <c r="AG15" i="37" s="1"/>
  <c r="N56" i="37"/>
  <c r="AX18" i="37" s="1"/>
  <c r="AY18" i="37" s="1"/>
  <c r="AZ18" i="37" s="1"/>
  <c r="BA18" i="37" s="1"/>
  <c r="BH18" i="37" s="1"/>
  <c r="CL24" i="37"/>
  <c r="N73" i="37"/>
  <c r="AL35" i="37" s="1"/>
  <c r="CL34" i="37"/>
  <c r="CL15" i="37"/>
  <c r="N60" i="37"/>
  <c r="AL22" i="37" s="1"/>
  <c r="N59" i="37"/>
  <c r="AX59" i="37" s="1"/>
  <c r="AY59" i="37" s="1"/>
  <c r="AZ59" i="37" s="1"/>
  <c r="BA59" i="37" s="1"/>
  <c r="BH59" i="37" s="1"/>
  <c r="N55" i="37"/>
  <c r="AL17" i="37" s="1"/>
  <c r="N61" i="37"/>
  <c r="AB23" i="37" s="1"/>
  <c r="T57" i="37"/>
  <c r="AO19" i="37" s="1"/>
  <c r="AU19" i="37"/>
  <c r="AT26" i="37"/>
  <c r="CL25" i="37"/>
  <c r="N65" i="37"/>
  <c r="AX65" i="37" s="1"/>
  <c r="AY65" i="37" s="1"/>
  <c r="AZ65" i="37" s="1"/>
  <c r="BA65" i="37" s="1"/>
  <c r="T73" i="37"/>
  <c r="AO35" i="37" s="1"/>
  <c r="CL22" i="37"/>
  <c r="N68" i="37"/>
  <c r="AS30" i="37" s="1"/>
  <c r="N70" i="37"/>
  <c r="BL32" i="37" s="1"/>
  <c r="BM32" i="37" s="1"/>
  <c r="BQ70" i="37" s="1"/>
  <c r="CM32" i="37" s="1"/>
  <c r="AO69" i="37"/>
  <c r="N67" i="37"/>
  <c r="AX29" i="37" s="1"/>
  <c r="AY29" i="37" s="1"/>
  <c r="AZ29" i="37" s="1"/>
  <c r="BA29" i="37" s="1"/>
  <c r="AU35" i="37"/>
  <c r="CL19" i="37"/>
  <c r="CL29" i="37"/>
  <c r="N74" i="37"/>
  <c r="N72" i="37"/>
  <c r="AP72" i="37" s="1"/>
  <c r="CL20" i="37"/>
  <c r="AT25" i="37"/>
  <c r="AT34" i="37"/>
  <c r="AT15" i="37"/>
  <c r="AT20" i="37"/>
  <c r="AU15" i="37"/>
  <c r="AU20" i="37"/>
  <c r="N64" i="37"/>
  <c r="AG64" i="37" s="1"/>
  <c r="T63" i="37"/>
  <c r="AM25" i="37" s="1"/>
  <c r="T72" i="37"/>
  <c r="AM34" i="37" s="1"/>
  <c r="T68" i="37"/>
  <c r="T74" i="37"/>
  <c r="AO36" i="37" s="1"/>
  <c r="AT33" i="37"/>
  <c r="AN20" i="37"/>
  <c r="AN29" i="37"/>
  <c r="AT29" i="37"/>
  <c r="AU33" i="37"/>
  <c r="AM20" i="37"/>
  <c r="AN15" i="37"/>
  <c r="AT16" i="37"/>
  <c r="AU29" i="37"/>
  <c r="AN33" i="37"/>
  <c r="N69" i="37"/>
  <c r="AE31" i="37" s="1"/>
  <c r="AM15" i="37"/>
  <c r="N54" i="37"/>
  <c r="AS16" i="37" s="1"/>
  <c r="N66" i="37"/>
  <c r="AM29" i="37"/>
  <c r="AU16" i="37"/>
  <c r="N57" i="37"/>
  <c r="CL21" i="37"/>
  <c r="N63" i="37"/>
  <c r="AE25" i="37" s="1"/>
  <c r="AG25" i="37" s="1"/>
  <c r="AT30" i="37"/>
  <c r="AT36" i="37"/>
  <c r="AM33" i="37"/>
  <c r="S104" i="37"/>
  <c r="CM21" i="37"/>
  <c r="BX21" i="37"/>
  <c r="CL27" i="37"/>
  <c r="CH25" i="37"/>
  <c r="CL33" i="37"/>
  <c r="CL16" i="37"/>
  <c r="CH28" i="37"/>
  <c r="BS21" i="37"/>
  <c r="BI23" i="37"/>
  <c r="BU23" i="37" s="1"/>
  <c r="CG23" i="37" s="1"/>
  <c r="CG61" i="37" s="1"/>
  <c r="CT23" i="37"/>
  <c r="CT21" i="37"/>
  <c r="BI21" i="37"/>
  <c r="BU21" i="37" s="1"/>
  <c r="CG21" i="37" s="1"/>
  <c r="CG59" i="37" s="1"/>
  <c r="AI18" i="37"/>
  <c r="AJ18" i="37"/>
  <c r="T60" i="37"/>
  <c r="AN22" i="37" s="1"/>
  <c r="AU22" i="37"/>
  <c r="AT22" i="37"/>
  <c r="AM31" i="37"/>
  <c r="AO31" i="37"/>
  <c r="CH33" i="37"/>
  <c r="AI27" i="37"/>
  <c r="AJ27" i="37"/>
  <c r="T66" i="37"/>
  <c r="AN28" i="37" s="1"/>
  <c r="AU28" i="37"/>
  <c r="AT28" i="37"/>
  <c r="CH27" i="37"/>
  <c r="AO1" i="37"/>
  <c r="AC1" i="37"/>
  <c r="BA1" i="37" s="1"/>
  <c r="BM1" i="37" s="1"/>
  <c r="BY1" i="37" s="1"/>
  <c r="CK1" i="37" s="1"/>
  <c r="AI31" i="37"/>
  <c r="AU32" i="37"/>
  <c r="T70" i="37"/>
  <c r="AO32" i="37" s="1"/>
  <c r="AT32" i="37"/>
  <c r="BK33" i="37"/>
  <c r="BI19" i="37"/>
  <c r="BU19" i="37" s="1"/>
  <c r="CG19" i="37" s="1"/>
  <c r="CG57" i="37" s="1"/>
  <c r="CT19" i="37"/>
  <c r="AJ21" i="37"/>
  <c r="BK26" i="37"/>
  <c r="BJ26" i="37"/>
  <c r="AN57" i="37"/>
  <c r="AO57" i="37" s="1"/>
  <c r="AO58" i="37"/>
  <c r="CH20" i="37"/>
  <c r="CH29" i="37"/>
  <c r="CT25" i="37"/>
  <c r="BK17" i="37"/>
  <c r="CH17" i="37"/>
  <c r="AT23" i="37"/>
  <c r="T61" i="37"/>
  <c r="AU31" i="37"/>
  <c r="AT31" i="37"/>
  <c r="AN31" i="37"/>
  <c r="BK16" i="37"/>
  <c r="BJ16" i="37"/>
  <c r="AH4" i="37"/>
  <c r="BF4" i="37" s="1"/>
  <c r="BR4" i="37" s="1"/>
  <c r="CD4" i="37" s="1"/>
  <c r="CP4" i="37" s="1"/>
  <c r="BJ15" i="37"/>
  <c r="T55" i="37"/>
  <c r="AN17" i="37" s="1"/>
  <c r="AU17" i="37"/>
  <c r="AT17" i="37"/>
  <c r="CT31" i="37"/>
  <c r="BL22" i="37"/>
  <c r="BM22" i="37" s="1"/>
  <c r="BQ60" i="37" s="1"/>
  <c r="CM22" i="37" s="1"/>
  <c r="CJ60" i="37" s="1"/>
  <c r="BP60" i="37"/>
  <c r="BK22" i="37"/>
  <c r="BJ22" i="37"/>
  <c r="CH24" i="37"/>
  <c r="BP65" i="37"/>
  <c r="CI27" i="37"/>
  <c r="BJ27" i="37"/>
  <c r="AN68" i="37"/>
  <c r="AO68" i="37" s="1"/>
  <c r="AI14" i="37"/>
  <c r="AJ14" i="37"/>
  <c r="T59" i="37"/>
  <c r="AN21" i="37" s="1"/>
  <c r="AU21" i="37"/>
  <c r="CT27" i="37"/>
  <c r="BI27" i="37"/>
  <c r="BU27" i="37" s="1"/>
  <c r="CG27" i="37" s="1"/>
  <c r="CG65" i="37" s="1"/>
  <c r="BK18" i="37"/>
  <c r="BJ18" i="37"/>
  <c r="BK20" i="37"/>
  <c r="CH23" i="37"/>
  <c r="AN61" i="37"/>
  <c r="AO61" i="37" s="1"/>
  <c r="T64" i="37"/>
  <c r="AO26" i="37" s="1"/>
  <c r="AO16" i="37"/>
  <c r="AM16" i="37"/>
  <c r="AN16" i="37"/>
  <c r="AN62" i="37"/>
  <c r="AO62" i="37" s="1"/>
  <c r="AN71" i="37"/>
  <c r="AO71" i="37" s="1"/>
  <c r="BJ33" i="37"/>
  <c r="AN73" i="37"/>
  <c r="AO73" i="37" s="1"/>
  <c r="AH3" i="37"/>
  <c r="BF3" i="37" s="1"/>
  <c r="BR3" i="37" s="1"/>
  <c r="CD3" i="37" s="1"/>
  <c r="CP3" i="37" s="1"/>
  <c r="CL28" i="37"/>
  <c r="AI13" i="37"/>
  <c r="AT18" i="37"/>
  <c r="AT21" i="37"/>
  <c r="CL23" i="37"/>
  <c r="T65" i="37"/>
  <c r="AO27" i="37" s="1"/>
  <c r="AT27" i="37"/>
  <c r="T56" i="37"/>
  <c r="S118" i="37"/>
  <c r="S122" i="37" s="1"/>
  <c r="Q124" i="37" s="1"/>
  <c r="S112" i="37"/>
  <c r="T51" i="37"/>
  <c r="AN13" i="37" s="1"/>
  <c r="AT13" i="37"/>
  <c r="BJ23" i="37"/>
  <c r="T62" i="37"/>
  <c r="AO24" i="37" s="1"/>
  <c r="AU24" i="37"/>
  <c r="BJ35" i="37"/>
  <c r="AT14" i="37"/>
  <c r="T52" i="37"/>
  <c r="AO14" i="37" s="1"/>
  <c r="N58" i="37"/>
  <c r="BK23" i="37"/>
  <c r="N62" i="37"/>
  <c r="AD24" i="37" s="1"/>
  <c r="CL30" i="37"/>
  <c r="N71" i="37"/>
  <c r="AD33" i="37" s="1"/>
  <c r="BK35" i="37"/>
  <c r="CH15" i="37"/>
  <c r="CH36" i="37"/>
  <c r="AN55" i="37"/>
  <c r="AO55" i="37" s="1"/>
  <c r="BK30" i="37"/>
  <c r="BL28" i="37"/>
  <c r="BM28" i="37" s="1"/>
  <c r="BQ66" i="37" s="1"/>
  <c r="CM28" i="37" s="1"/>
  <c r="CJ66" i="37" s="1"/>
  <c r="BP66" i="37"/>
  <c r="BK29" i="37"/>
  <c r="BD23" i="37"/>
  <c r="BD22" i="37"/>
  <c r="BG33" i="34"/>
  <c r="AB7" i="34"/>
  <c r="V64" i="35"/>
  <c r="T64" i="35"/>
  <c r="S64" i="35"/>
  <c r="R64" i="35"/>
  <c r="Q64" i="35"/>
  <c r="P64" i="35"/>
  <c r="O64" i="35"/>
  <c r="Y63" i="35"/>
  <c r="V63" i="35"/>
  <c r="T63" i="35"/>
  <c r="AR25" i="35" s="1"/>
  <c r="S63" i="35"/>
  <c r="R63" i="35"/>
  <c r="Q63" i="35"/>
  <c r="P63" i="35"/>
  <c r="O63" i="35"/>
  <c r="V62" i="35"/>
  <c r="S62" i="35"/>
  <c r="R62" i="35"/>
  <c r="Q62" i="35"/>
  <c r="P62" i="35"/>
  <c r="O62" i="35"/>
  <c r="Y61" i="35"/>
  <c r="V61" i="35"/>
  <c r="T61" i="35"/>
  <c r="S61" i="35"/>
  <c r="R61" i="35"/>
  <c r="Q61" i="35"/>
  <c r="P61" i="35"/>
  <c r="CK23" i="35" s="1"/>
  <c r="O61" i="35"/>
  <c r="V60" i="35"/>
  <c r="S60" i="35"/>
  <c r="R60" i="35"/>
  <c r="Q60" i="35"/>
  <c r="P60" i="35"/>
  <c r="O60" i="35"/>
  <c r="Y59" i="35"/>
  <c r="V59" i="35"/>
  <c r="S59" i="35"/>
  <c r="R59" i="35"/>
  <c r="Q59" i="35"/>
  <c r="P59" i="35"/>
  <c r="O59" i="35"/>
  <c r="V58" i="35"/>
  <c r="T58" i="35"/>
  <c r="S58" i="35"/>
  <c r="R58" i="35"/>
  <c r="Q58" i="35"/>
  <c r="P58" i="35"/>
  <c r="O58" i="35"/>
  <c r="CK20" i="35" s="1"/>
  <c r="Y57" i="35"/>
  <c r="V57" i="35"/>
  <c r="T57" i="35"/>
  <c r="S57" i="35"/>
  <c r="R57" i="35"/>
  <c r="Q57" i="35"/>
  <c r="P57" i="35"/>
  <c r="O57" i="35"/>
  <c r="V56" i="35"/>
  <c r="S56" i="35"/>
  <c r="R56" i="35"/>
  <c r="Q56" i="35"/>
  <c r="P56" i="35"/>
  <c r="O56" i="35"/>
  <c r="N56" i="35"/>
  <c r="AG56" i="35" s="1"/>
  <c r="AH56" i="35" s="1"/>
  <c r="AL18" i="35" s="1"/>
  <c r="Y55" i="35"/>
  <c r="V55" i="35"/>
  <c r="S55" i="35"/>
  <c r="R55" i="35"/>
  <c r="Q55" i="35"/>
  <c r="P55" i="35"/>
  <c r="O55" i="35"/>
  <c r="V54" i="35"/>
  <c r="S54" i="35"/>
  <c r="R54" i="35"/>
  <c r="Q54" i="35"/>
  <c r="P54" i="35"/>
  <c r="O54" i="35"/>
  <c r="Y53" i="35"/>
  <c r="V53" i="35"/>
  <c r="S53" i="35"/>
  <c r="R53" i="35"/>
  <c r="Q53" i="35"/>
  <c r="P53" i="35"/>
  <c r="O53" i="35"/>
  <c r="N53" i="35"/>
  <c r="AE15" i="35" s="1"/>
  <c r="Z15" i="35" s="1"/>
  <c r="AJ26" i="35"/>
  <c r="AH26" i="35"/>
  <c r="AI26" i="35" s="1"/>
  <c r="X26" i="35"/>
  <c r="W26" i="35"/>
  <c r="N64" i="35" s="1"/>
  <c r="AI64" i="35" s="1"/>
  <c r="AJ64" i="35" s="1"/>
  <c r="AM26" i="35" s="1"/>
  <c r="V26" i="35"/>
  <c r="AH25" i="35"/>
  <c r="AJ25" i="35" s="1"/>
  <c r="X25" i="35"/>
  <c r="W25" i="35"/>
  <c r="N63" i="35" s="1"/>
  <c r="V25" i="35"/>
  <c r="AX25" i="35" s="1"/>
  <c r="AH24" i="35"/>
  <c r="AJ24" i="35" s="1"/>
  <c r="X24" i="35"/>
  <c r="W24" i="35"/>
  <c r="V24" i="35"/>
  <c r="AX24" i="35" s="1"/>
  <c r="AH23" i="35"/>
  <c r="AJ23" i="35" s="1"/>
  <c r="X23" i="35"/>
  <c r="W23" i="35"/>
  <c r="V23" i="35"/>
  <c r="AX23" i="35" s="1"/>
  <c r="AJ22" i="35"/>
  <c r="AH22" i="35"/>
  <c r="AI22" i="35" s="1"/>
  <c r="X22" i="35"/>
  <c r="W22" i="35"/>
  <c r="N60" i="35" s="1"/>
  <c r="V22" i="35"/>
  <c r="AX22" i="35" s="1"/>
  <c r="AH21" i="35"/>
  <c r="AJ21" i="35" s="1"/>
  <c r="X21" i="35"/>
  <c r="W21" i="35"/>
  <c r="V21" i="35"/>
  <c r="T59" i="35" s="1"/>
  <c r="AH20" i="35"/>
  <c r="AI20" i="35" s="1"/>
  <c r="X20" i="35"/>
  <c r="W20" i="35"/>
  <c r="N58" i="35" s="1"/>
  <c r="V20" i="35"/>
  <c r="AW20" i="35" s="1"/>
  <c r="AH19" i="35"/>
  <c r="AJ19" i="35" s="1"/>
  <c r="X19" i="35"/>
  <c r="W19" i="35"/>
  <c r="N57" i="35" s="1"/>
  <c r="AI57" i="35" s="1"/>
  <c r="AJ57" i="35" s="1"/>
  <c r="AM19" i="35" s="1"/>
  <c r="V19" i="35"/>
  <c r="AJ18" i="35"/>
  <c r="AH18" i="35"/>
  <c r="AI18" i="35" s="1"/>
  <c r="X18" i="35"/>
  <c r="W18" i="35"/>
  <c r="V18" i="35"/>
  <c r="T56" i="35" s="1"/>
  <c r="AR18" i="35" s="1"/>
  <c r="AH17" i="35"/>
  <c r="AJ17" i="35" s="1"/>
  <c r="X17" i="35"/>
  <c r="W17" i="35"/>
  <c r="V17" i="35"/>
  <c r="T55" i="35" s="1"/>
  <c r="AR17" i="35" s="1"/>
  <c r="AH16" i="35"/>
  <c r="AJ16" i="35" s="1"/>
  <c r="X16" i="35"/>
  <c r="N54" i="35" s="1"/>
  <c r="W16" i="35"/>
  <c r="V16" i="35"/>
  <c r="T54" i="35" s="1"/>
  <c r="AH15" i="35"/>
  <c r="AJ15" i="35" s="1"/>
  <c r="X15" i="35"/>
  <c r="W15" i="35"/>
  <c r="V15" i="35"/>
  <c r="AW15" i="35" s="1"/>
  <c r="O126" i="36"/>
  <c r="O122" i="36"/>
  <c r="S120" i="36"/>
  <c r="S119" i="36"/>
  <c r="O111" i="36"/>
  <c r="O110" i="36"/>
  <c r="O109" i="36"/>
  <c r="O107" i="36"/>
  <c r="O106" i="36"/>
  <c r="O105" i="36"/>
  <c r="O104" i="36"/>
  <c r="S118" i="36" s="1"/>
  <c r="U102" i="36"/>
  <c r="T102" i="36"/>
  <c r="O102" i="36"/>
  <c r="U101" i="36"/>
  <c r="T101" i="36"/>
  <c r="O101" i="36"/>
  <c r="U100" i="36"/>
  <c r="T100" i="36"/>
  <c r="O100" i="36"/>
  <c r="U99" i="36"/>
  <c r="T99" i="36"/>
  <c r="O99" i="36"/>
  <c r="U98" i="36"/>
  <c r="T98" i="36"/>
  <c r="O98" i="36"/>
  <c r="U97" i="36"/>
  <c r="T97" i="36"/>
  <c r="O97" i="36"/>
  <c r="U96" i="36"/>
  <c r="T96" i="36"/>
  <c r="O96" i="36"/>
  <c r="U95" i="36"/>
  <c r="T95" i="36"/>
  <c r="O95" i="36"/>
  <c r="U94" i="36"/>
  <c r="T94" i="36"/>
  <c r="O94" i="36"/>
  <c r="U93" i="36"/>
  <c r="T93" i="36"/>
  <c r="O93" i="36"/>
  <c r="U92" i="36"/>
  <c r="T92" i="36"/>
  <c r="O92" i="36"/>
  <c r="U91" i="36"/>
  <c r="T91" i="36"/>
  <c r="O91" i="36"/>
  <c r="V82" i="36"/>
  <c r="S82" i="36"/>
  <c r="R82" i="36"/>
  <c r="Q82" i="36"/>
  <c r="P82" i="36"/>
  <c r="O82" i="36"/>
  <c r="V81" i="36"/>
  <c r="S81" i="36"/>
  <c r="R81" i="36"/>
  <c r="Q81" i="36"/>
  <c r="P81" i="36"/>
  <c r="O81" i="36"/>
  <c r="V80" i="36"/>
  <c r="S80" i="36"/>
  <c r="R80" i="36"/>
  <c r="Q80" i="36"/>
  <c r="P80" i="36"/>
  <c r="O80" i="36"/>
  <c r="V79" i="36"/>
  <c r="S79" i="36"/>
  <c r="R79" i="36"/>
  <c r="Q79" i="36"/>
  <c r="P79" i="36"/>
  <c r="O79" i="36"/>
  <c r="V78" i="36"/>
  <c r="S78" i="36"/>
  <c r="R78" i="36"/>
  <c r="Q78" i="36"/>
  <c r="P78" i="36"/>
  <c r="O78" i="36"/>
  <c r="V77" i="36"/>
  <c r="S77" i="36"/>
  <c r="R77" i="36"/>
  <c r="Q77" i="36"/>
  <c r="P77" i="36"/>
  <c r="O77" i="36"/>
  <c r="V76" i="36"/>
  <c r="S76" i="36"/>
  <c r="R76" i="36"/>
  <c r="Q76" i="36"/>
  <c r="P76" i="36"/>
  <c r="O76" i="36"/>
  <c r="V75" i="36"/>
  <c r="S75" i="36"/>
  <c r="R75" i="36"/>
  <c r="Q75" i="36"/>
  <c r="P75" i="36"/>
  <c r="O75" i="36"/>
  <c r="CK74" i="36"/>
  <c r="CL74" i="36" s="1"/>
  <c r="BR74" i="36"/>
  <c r="BM74" i="36"/>
  <c r="BO74" i="36" s="1"/>
  <c r="BP74" i="36" s="1"/>
  <c r="BI74" i="36"/>
  <c r="BJ74" i="36" s="1"/>
  <c r="DB36" i="36" s="1"/>
  <c r="BG74" i="36"/>
  <c r="AW74" i="36"/>
  <c r="AT74" i="36"/>
  <c r="BS74" i="36" s="1"/>
  <c r="AP74" i="36"/>
  <c r="AO74" i="36"/>
  <c r="AQ74" i="36" s="1"/>
  <c r="AR74" i="36" s="1"/>
  <c r="V74" i="36"/>
  <c r="S74" i="36"/>
  <c r="R74" i="36"/>
  <c r="AP36" i="36" s="1"/>
  <c r="Q74" i="36"/>
  <c r="P74" i="36"/>
  <c r="O74" i="36"/>
  <c r="CK73" i="36"/>
  <c r="CL73" i="36" s="1"/>
  <c r="BS73" i="36"/>
  <c r="BR73" i="36"/>
  <c r="BM73" i="36"/>
  <c r="BO73" i="36" s="1"/>
  <c r="BP73" i="36" s="1"/>
  <c r="BI73" i="36"/>
  <c r="BJ73" i="36" s="1"/>
  <c r="BG73" i="36"/>
  <c r="AW73" i="36"/>
  <c r="AT73" i="36"/>
  <c r="AP73" i="36"/>
  <c r="AQ73" i="36" s="1"/>
  <c r="AO73" i="36"/>
  <c r="Y73" i="36"/>
  <c r="AN73" i="36" s="1"/>
  <c r="AZ73" i="36" s="1"/>
  <c r="BL73" i="36" s="1"/>
  <c r="V73" i="36"/>
  <c r="S73" i="36"/>
  <c r="R73" i="36"/>
  <c r="Q73" i="36"/>
  <c r="P73" i="36"/>
  <c r="O73" i="36"/>
  <c r="CK35" i="36" s="1"/>
  <c r="CK72" i="36"/>
  <c r="CL72" i="36" s="1"/>
  <c r="BR72" i="36"/>
  <c r="BM72" i="36"/>
  <c r="BO72" i="36" s="1"/>
  <c r="BP72" i="36" s="1"/>
  <c r="BI72" i="36"/>
  <c r="BJ72" i="36" s="1"/>
  <c r="DB34" i="36" s="1"/>
  <c r="BG72" i="36"/>
  <c r="AW72" i="36"/>
  <c r="AT72" i="36"/>
  <c r="AP72" i="36"/>
  <c r="AQ72" i="36" s="1"/>
  <c r="AR72" i="36" s="1"/>
  <c r="AO72" i="36"/>
  <c r="V72" i="36"/>
  <c r="S72" i="36"/>
  <c r="R72" i="36"/>
  <c r="Q72" i="36"/>
  <c r="P72" i="36"/>
  <c r="O72" i="36"/>
  <c r="CK71" i="36"/>
  <c r="CL71" i="36" s="1"/>
  <c r="BR71" i="36"/>
  <c r="BM71" i="36"/>
  <c r="BO71" i="36" s="1"/>
  <c r="BP71" i="36" s="1"/>
  <c r="BI71" i="36"/>
  <c r="BJ71" i="36" s="1"/>
  <c r="DB33" i="36" s="1"/>
  <c r="BG71" i="36"/>
  <c r="AW71" i="36"/>
  <c r="AT71" i="36"/>
  <c r="BS71" i="36" s="1"/>
  <c r="AP71" i="36"/>
  <c r="AQ71" i="36" s="1"/>
  <c r="AR71" i="36" s="1"/>
  <c r="AO71" i="36"/>
  <c r="V71" i="36"/>
  <c r="S71" i="36"/>
  <c r="R71" i="36"/>
  <c r="Q71" i="36"/>
  <c r="P71" i="36"/>
  <c r="O71" i="36"/>
  <c r="CK70" i="36"/>
  <c r="CL70" i="36" s="1"/>
  <c r="BR70" i="36"/>
  <c r="BM70" i="36"/>
  <c r="BO70" i="36" s="1"/>
  <c r="BP70" i="36" s="1"/>
  <c r="BI70" i="36"/>
  <c r="BJ70" i="36" s="1"/>
  <c r="DB32" i="36" s="1"/>
  <c r="BG70" i="36"/>
  <c r="AW70" i="36"/>
  <c r="AT70" i="36"/>
  <c r="BS70" i="36" s="1"/>
  <c r="AP70" i="36"/>
  <c r="AQ70" i="36" s="1"/>
  <c r="AO70" i="36"/>
  <c r="V70" i="36"/>
  <c r="S70" i="36"/>
  <c r="R70" i="36"/>
  <c r="Q70" i="36"/>
  <c r="P70" i="36"/>
  <c r="O70" i="36"/>
  <c r="CL69" i="36"/>
  <c r="CK69" i="36"/>
  <c r="BS69" i="36"/>
  <c r="BR69" i="36"/>
  <c r="BM69" i="36"/>
  <c r="BO69" i="36" s="1"/>
  <c r="BP69" i="36" s="1"/>
  <c r="BI69" i="36"/>
  <c r="BJ69" i="36" s="1"/>
  <c r="DB31" i="36" s="1"/>
  <c r="BG69" i="36"/>
  <c r="AW69" i="36"/>
  <c r="AT69" i="36"/>
  <c r="AP69" i="36"/>
  <c r="AO69" i="36"/>
  <c r="Y69" i="36"/>
  <c r="AN69" i="36" s="1"/>
  <c r="AZ69" i="36" s="1"/>
  <c r="BL69" i="36" s="1"/>
  <c r="V69" i="36"/>
  <c r="S69" i="36"/>
  <c r="R69" i="36"/>
  <c r="Q69" i="36"/>
  <c r="P69" i="36"/>
  <c r="O69" i="36"/>
  <c r="CK68" i="36"/>
  <c r="CL68" i="36" s="1"/>
  <c r="BS68" i="36"/>
  <c r="BR68" i="36"/>
  <c r="BM68" i="36"/>
  <c r="BO68" i="36" s="1"/>
  <c r="BP68" i="36" s="1"/>
  <c r="BI68" i="36"/>
  <c r="BJ68" i="36" s="1"/>
  <c r="DB30" i="36" s="1"/>
  <c r="BG68" i="36"/>
  <c r="AW68" i="36"/>
  <c r="AT68" i="36"/>
  <c r="AP68" i="36"/>
  <c r="AQ68" i="36" s="1"/>
  <c r="AO68" i="36"/>
  <c r="AR68" i="36" s="1"/>
  <c r="V68" i="36"/>
  <c r="S68" i="36"/>
  <c r="R68" i="36"/>
  <c r="Q68" i="36"/>
  <c r="P68" i="36"/>
  <c r="O68" i="36"/>
  <c r="CL67" i="36"/>
  <c r="CK67" i="36"/>
  <c r="BS67" i="36"/>
  <c r="BR67" i="36"/>
  <c r="BM67" i="36"/>
  <c r="BO67" i="36" s="1"/>
  <c r="BP67" i="36" s="1"/>
  <c r="BI67" i="36"/>
  <c r="BJ67" i="36" s="1"/>
  <c r="DB29" i="36" s="1"/>
  <c r="BG67" i="36"/>
  <c r="AW67" i="36"/>
  <c r="AT67" i="36"/>
  <c r="AP67" i="36"/>
  <c r="AO67" i="36"/>
  <c r="AN67" i="36"/>
  <c r="AZ67" i="36" s="1"/>
  <c r="BL67" i="36" s="1"/>
  <c r="V67" i="36"/>
  <c r="S67" i="36"/>
  <c r="R67" i="36"/>
  <c r="Q67" i="36"/>
  <c r="P67" i="36"/>
  <c r="O67" i="36"/>
  <c r="CK66" i="36"/>
  <c r="CL66" i="36" s="1"/>
  <c r="BS66" i="36"/>
  <c r="BR66" i="36"/>
  <c r="BM66" i="36"/>
  <c r="BO66" i="36" s="1"/>
  <c r="BP66" i="36" s="1"/>
  <c r="BI66" i="36"/>
  <c r="BJ66" i="36" s="1"/>
  <c r="DB28" i="36" s="1"/>
  <c r="BG66" i="36"/>
  <c r="AW66" i="36"/>
  <c r="AT66" i="36"/>
  <c r="AP66" i="36"/>
  <c r="AQ66" i="36" s="1"/>
  <c r="AO66" i="36"/>
  <c r="V66" i="36"/>
  <c r="S66" i="36"/>
  <c r="R66" i="36"/>
  <c r="Q66" i="36"/>
  <c r="P66" i="36"/>
  <c r="O66" i="36"/>
  <c r="CL65" i="36"/>
  <c r="CK65" i="36"/>
  <c r="BR65" i="36"/>
  <c r="BM65" i="36"/>
  <c r="BO65" i="36" s="1"/>
  <c r="BP65" i="36" s="1"/>
  <c r="BI65" i="36"/>
  <c r="BJ65" i="36" s="1"/>
  <c r="BG65" i="36"/>
  <c r="AW65" i="36"/>
  <c r="AT65" i="36"/>
  <c r="BS65" i="36" s="1"/>
  <c r="AP65" i="36"/>
  <c r="AQ65" i="36" s="1"/>
  <c r="AR65" i="36" s="1"/>
  <c r="AO65" i="36"/>
  <c r="V65" i="36"/>
  <c r="S65" i="36"/>
  <c r="R65" i="36"/>
  <c r="Q65" i="36"/>
  <c r="P65" i="36"/>
  <c r="O65" i="36"/>
  <c r="CK64" i="36"/>
  <c r="CL64" i="36" s="1"/>
  <c r="BR64" i="36"/>
  <c r="BM64" i="36"/>
  <c r="BO64" i="36" s="1"/>
  <c r="BP64" i="36" s="1"/>
  <c r="BI64" i="36"/>
  <c r="BJ64" i="36" s="1"/>
  <c r="DB26" i="36" s="1"/>
  <c r="BG64" i="36"/>
  <c r="AW64" i="36"/>
  <c r="AT64" i="36"/>
  <c r="BS64" i="36" s="1"/>
  <c r="AP64" i="36"/>
  <c r="AQ64" i="36" s="1"/>
  <c r="AO64" i="36"/>
  <c r="V64" i="36"/>
  <c r="S64" i="36"/>
  <c r="R64" i="36"/>
  <c r="Q64" i="36"/>
  <c r="P64" i="36"/>
  <c r="O64" i="36"/>
  <c r="CL63" i="36"/>
  <c r="CK63" i="36"/>
  <c r="BS63" i="36"/>
  <c r="BR63" i="36"/>
  <c r="BM63" i="36"/>
  <c r="BO63" i="36" s="1"/>
  <c r="BP63" i="36" s="1"/>
  <c r="BI63" i="36"/>
  <c r="BJ63" i="36" s="1"/>
  <c r="DB25" i="36" s="1"/>
  <c r="BG63" i="36"/>
  <c r="AW63" i="36"/>
  <c r="AT63" i="36"/>
  <c r="AP63" i="36"/>
  <c r="AO63" i="36"/>
  <c r="V63" i="36"/>
  <c r="S63" i="36"/>
  <c r="R63" i="36"/>
  <c r="Q63" i="36"/>
  <c r="P63" i="36"/>
  <c r="O63" i="36"/>
  <c r="CK62" i="36"/>
  <c r="CL62" i="36" s="1"/>
  <c r="BS62" i="36"/>
  <c r="CA24" i="36" s="1"/>
  <c r="BR62" i="36"/>
  <c r="BO62" i="36"/>
  <c r="BP62" i="36" s="1"/>
  <c r="BM62" i="36"/>
  <c r="BI62" i="36"/>
  <c r="BJ62" i="36" s="1"/>
  <c r="BG62" i="36"/>
  <c r="AW62" i="36"/>
  <c r="AT62" i="36"/>
  <c r="AP62" i="36"/>
  <c r="AO62" i="36"/>
  <c r="V62" i="36"/>
  <c r="S62" i="36"/>
  <c r="R62" i="36"/>
  <c r="Q62" i="36"/>
  <c r="P62" i="36"/>
  <c r="O62" i="36"/>
  <c r="CL61" i="36"/>
  <c r="CK61" i="36"/>
  <c r="BS61" i="36"/>
  <c r="BR61" i="36"/>
  <c r="BM61" i="36"/>
  <c r="BO61" i="36" s="1"/>
  <c r="BP61" i="36" s="1"/>
  <c r="BI61" i="36"/>
  <c r="BJ61" i="36" s="1"/>
  <c r="DB23" i="36" s="1"/>
  <c r="BG61" i="36"/>
  <c r="AW61" i="36"/>
  <c r="AT61" i="36"/>
  <c r="AP61" i="36"/>
  <c r="AQ61" i="36" s="1"/>
  <c r="AR61" i="36" s="1"/>
  <c r="AO61" i="36"/>
  <c r="V61" i="36"/>
  <c r="S61" i="36"/>
  <c r="R61" i="36"/>
  <c r="Q61" i="36"/>
  <c r="P61" i="36"/>
  <c r="O61" i="36"/>
  <c r="CK60" i="36"/>
  <c r="CL60" i="36" s="1"/>
  <c r="BR60" i="36"/>
  <c r="BM60" i="36"/>
  <c r="BO60" i="36" s="1"/>
  <c r="BP60" i="36" s="1"/>
  <c r="BI60" i="36"/>
  <c r="BJ60" i="36" s="1"/>
  <c r="DB22" i="36" s="1"/>
  <c r="BG60" i="36"/>
  <c r="AW60" i="36"/>
  <c r="AT60" i="36"/>
  <c r="BS60" i="36" s="1"/>
  <c r="AP60" i="36"/>
  <c r="AQ60" i="36" s="1"/>
  <c r="AO60" i="36"/>
  <c r="V60" i="36"/>
  <c r="S60" i="36"/>
  <c r="R60" i="36"/>
  <c r="Q60" i="36"/>
  <c r="P60" i="36"/>
  <c r="O60" i="36"/>
  <c r="CL59" i="36"/>
  <c r="CK59" i="36"/>
  <c r="BR59" i="36"/>
  <c r="BM59" i="36"/>
  <c r="BO59" i="36" s="1"/>
  <c r="BP59" i="36" s="1"/>
  <c r="BI59" i="36"/>
  <c r="BJ59" i="36" s="1"/>
  <c r="BG59" i="36"/>
  <c r="AW59" i="36"/>
  <c r="AT59" i="36"/>
  <c r="BS59" i="36" s="1"/>
  <c r="AP59" i="36"/>
  <c r="AO59" i="36"/>
  <c r="V59" i="36"/>
  <c r="S59" i="36"/>
  <c r="R59" i="36"/>
  <c r="Q59" i="36"/>
  <c r="P59" i="36"/>
  <c r="O59" i="36"/>
  <c r="CK58" i="36"/>
  <c r="CL58" i="36" s="1"/>
  <c r="BR58" i="36"/>
  <c r="BM58" i="36"/>
  <c r="BO58" i="36" s="1"/>
  <c r="BP58" i="36" s="1"/>
  <c r="BI58" i="36"/>
  <c r="BJ58" i="36" s="1"/>
  <c r="DB20" i="36" s="1"/>
  <c r="BG58" i="36"/>
  <c r="AW58" i="36"/>
  <c r="AT58" i="36"/>
  <c r="BS58" i="36" s="1"/>
  <c r="AP58" i="36"/>
  <c r="AQ58" i="36" s="1"/>
  <c r="AO58" i="36"/>
  <c r="V58" i="36"/>
  <c r="S58" i="36"/>
  <c r="R58" i="36"/>
  <c r="Q58" i="36"/>
  <c r="P58" i="36"/>
  <c r="O58" i="36"/>
  <c r="CL57" i="36"/>
  <c r="CK57" i="36"/>
  <c r="BS57" i="36"/>
  <c r="BR57" i="36"/>
  <c r="BM57" i="36"/>
  <c r="BO57" i="36" s="1"/>
  <c r="BP57" i="36" s="1"/>
  <c r="BI57" i="36"/>
  <c r="BJ57" i="36" s="1"/>
  <c r="DB19" i="36" s="1"/>
  <c r="BG57" i="36"/>
  <c r="AW57" i="36"/>
  <c r="AT57" i="36"/>
  <c r="AP57" i="36"/>
  <c r="AO57" i="36"/>
  <c r="AQ57" i="36" s="1"/>
  <c r="AR57" i="36" s="1"/>
  <c r="V57" i="36"/>
  <c r="S57" i="36"/>
  <c r="R57" i="36"/>
  <c r="Q57" i="36"/>
  <c r="P57" i="36"/>
  <c r="O57" i="36"/>
  <c r="CK56" i="36"/>
  <c r="CL56" i="36" s="1"/>
  <c r="BR56" i="36"/>
  <c r="BM56" i="36"/>
  <c r="BO56" i="36" s="1"/>
  <c r="BP56" i="36" s="1"/>
  <c r="BI56" i="36"/>
  <c r="BJ56" i="36" s="1"/>
  <c r="DB18" i="36" s="1"/>
  <c r="BG56" i="36"/>
  <c r="AW56" i="36"/>
  <c r="AT56" i="36"/>
  <c r="BS56" i="36" s="1"/>
  <c r="AP56" i="36"/>
  <c r="AO56" i="36"/>
  <c r="V56" i="36"/>
  <c r="S56" i="36"/>
  <c r="R56" i="36"/>
  <c r="Q56" i="36"/>
  <c r="P56" i="36"/>
  <c r="O56" i="36"/>
  <c r="CL55" i="36"/>
  <c r="CK55" i="36"/>
  <c r="BS55" i="36"/>
  <c r="BR55" i="36"/>
  <c r="BM55" i="36"/>
  <c r="BO55" i="36" s="1"/>
  <c r="BP55" i="36" s="1"/>
  <c r="BI55" i="36"/>
  <c r="BJ55" i="36" s="1"/>
  <c r="DB17" i="36" s="1"/>
  <c r="BG55" i="36"/>
  <c r="AW55" i="36"/>
  <c r="AT55" i="36"/>
  <c r="AP55" i="36"/>
  <c r="AQ55" i="36" s="1"/>
  <c r="AR55" i="36" s="1"/>
  <c r="AO55" i="36"/>
  <c r="V55" i="36"/>
  <c r="S55" i="36"/>
  <c r="R55" i="36"/>
  <c r="Q55" i="36"/>
  <c r="P55" i="36"/>
  <c r="O55" i="36"/>
  <c r="CK54" i="36"/>
  <c r="CL54" i="36" s="1"/>
  <c r="BS54" i="36"/>
  <c r="BR54" i="36"/>
  <c r="BM54" i="36"/>
  <c r="BO54" i="36" s="1"/>
  <c r="BP54" i="36" s="1"/>
  <c r="BI54" i="36"/>
  <c r="BJ54" i="36" s="1"/>
  <c r="DB16" i="36" s="1"/>
  <c r="BG54" i="36"/>
  <c r="AW54" i="36"/>
  <c r="AT54" i="36"/>
  <c r="AP54" i="36"/>
  <c r="AQ54" i="36" s="1"/>
  <c r="AO54" i="36"/>
  <c r="V54" i="36"/>
  <c r="S54" i="36"/>
  <c r="R54" i="36"/>
  <c r="Q54" i="36"/>
  <c r="P54" i="36"/>
  <c r="O54" i="36"/>
  <c r="CL53" i="36"/>
  <c r="CK53" i="36"/>
  <c r="BR53" i="36"/>
  <c r="BM53" i="36"/>
  <c r="BO53" i="36" s="1"/>
  <c r="BP53" i="36" s="1"/>
  <c r="BI53" i="36"/>
  <c r="BJ53" i="36" s="1"/>
  <c r="BG53" i="36"/>
  <c r="AW53" i="36"/>
  <c r="AT53" i="36"/>
  <c r="BS53" i="36" s="1"/>
  <c r="AP53" i="36"/>
  <c r="AQ53" i="36" s="1"/>
  <c r="AR53" i="36" s="1"/>
  <c r="AO53" i="36"/>
  <c r="V53" i="36"/>
  <c r="T53" i="36"/>
  <c r="AR15" i="36" s="1"/>
  <c r="S53" i="36"/>
  <c r="R53" i="36"/>
  <c r="Q53" i="36"/>
  <c r="P53" i="36"/>
  <c r="O53" i="36"/>
  <c r="CK52" i="36"/>
  <c r="CL52" i="36" s="1"/>
  <c r="BR52" i="36"/>
  <c r="BM52" i="36"/>
  <c r="BO52" i="36" s="1"/>
  <c r="BP52" i="36" s="1"/>
  <c r="BI52" i="36"/>
  <c r="BJ52" i="36" s="1"/>
  <c r="DB14" i="36" s="1"/>
  <c r="BG52" i="36"/>
  <c r="AW52" i="36"/>
  <c r="AT52" i="36"/>
  <c r="BS52" i="36" s="1"/>
  <c r="AP52" i="36"/>
  <c r="AQ52" i="36" s="1"/>
  <c r="AR52" i="36" s="1"/>
  <c r="AO52" i="36"/>
  <c r="V52" i="36"/>
  <c r="S52" i="36"/>
  <c r="R52" i="36"/>
  <c r="Q52" i="36"/>
  <c r="P52" i="36"/>
  <c r="O52" i="36"/>
  <c r="CL51" i="36"/>
  <c r="CK51" i="36"/>
  <c r="BS51" i="36"/>
  <c r="BR51" i="36"/>
  <c r="BP51" i="36"/>
  <c r="BO51" i="36"/>
  <c r="BM51" i="36"/>
  <c r="BI51" i="36"/>
  <c r="BJ51" i="36" s="1"/>
  <c r="BG51" i="36"/>
  <c r="AW51" i="36"/>
  <c r="AT51" i="36"/>
  <c r="AP51" i="36"/>
  <c r="AQ51" i="36" s="1"/>
  <c r="AR51" i="36" s="1"/>
  <c r="AO51" i="36"/>
  <c r="V51" i="36"/>
  <c r="S51" i="36"/>
  <c r="R51" i="36"/>
  <c r="Q51" i="36"/>
  <c r="P51" i="36"/>
  <c r="O51" i="36"/>
  <c r="AJ44" i="36"/>
  <c r="AI44" i="36"/>
  <c r="AH44" i="36"/>
  <c r="X44" i="36"/>
  <c r="W44" i="36"/>
  <c r="V44" i="36"/>
  <c r="T82" i="36" s="1"/>
  <c r="AJ43" i="36"/>
  <c r="AH43" i="36"/>
  <c r="AI43" i="36" s="1"/>
  <c r="X43" i="36"/>
  <c r="W43" i="36"/>
  <c r="V43" i="36"/>
  <c r="T81" i="36" s="1"/>
  <c r="M43" i="36"/>
  <c r="M81" i="36" s="1"/>
  <c r="Y81" i="36" s="1"/>
  <c r="AH42" i="36"/>
  <c r="X42" i="36"/>
  <c r="W42" i="36"/>
  <c r="N80" i="36" s="1"/>
  <c r="AE42" i="36" s="1"/>
  <c r="V42" i="36"/>
  <c r="T80" i="36" s="1"/>
  <c r="AH41" i="36"/>
  <c r="X41" i="36"/>
  <c r="W41" i="36"/>
  <c r="N79" i="36" s="1"/>
  <c r="V41" i="36"/>
  <c r="T79" i="36" s="1"/>
  <c r="M41" i="36"/>
  <c r="M79" i="36" s="1"/>
  <c r="Y79" i="36" s="1"/>
  <c r="AH40" i="36"/>
  <c r="X40" i="36"/>
  <c r="W40" i="36"/>
  <c r="V40" i="36"/>
  <c r="T78" i="36" s="1"/>
  <c r="AH39" i="36"/>
  <c r="AI39" i="36" s="1"/>
  <c r="X39" i="36"/>
  <c r="W39" i="36"/>
  <c r="V39" i="36"/>
  <c r="T77" i="36" s="1"/>
  <c r="M39" i="36"/>
  <c r="M77" i="36" s="1"/>
  <c r="Y77" i="36" s="1"/>
  <c r="AJ38" i="36"/>
  <c r="AH38" i="36"/>
  <c r="AI38" i="36" s="1"/>
  <c r="X38" i="36"/>
  <c r="W38" i="36"/>
  <c r="N76" i="36" s="1"/>
  <c r="V38" i="36"/>
  <c r="T76" i="36" s="1"/>
  <c r="AH37" i="36"/>
  <c r="X37" i="36"/>
  <c r="W37" i="36"/>
  <c r="V37" i="36"/>
  <c r="T75" i="36" s="1"/>
  <c r="M37" i="36"/>
  <c r="M75" i="36" s="1"/>
  <c r="CZ36" i="36"/>
  <c r="CY36" i="36"/>
  <c r="CX36" i="36"/>
  <c r="CN36" i="36"/>
  <c r="CM36" i="36"/>
  <c r="CL36" i="36"/>
  <c r="CK36" i="36"/>
  <c r="BY36" i="36"/>
  <c r="BZ36" i="36" s="1"/>
  <c r="BT36" i="36"/>
  <c r="BU36" i="36" s="1"/>
  <c r="BO36" i="36"/>
  <c r="BP36" i="36" s="1"/>
  <c r="BT74" i="36" s="1"/>
  <c r="CP36" i="36" s="1"/>
  <c r="BN36" i="36"/>
  <c r="BM36" i="36"/>
  <c r="BI36" i="36"/>
  <c r="BJ36" i="36" s="1"/>
  <c r="DA36" i="36" s="1"/>
  <c r="BG36" i="36"/>
  <c r="AW36" i="36"/>
  <c r="AR36" i="36"/>
  <c r="AQ36" i="36"/>
  <c r="AH36" i="36"/>
  <c r="X36" i="36"/>
  <c r="W36" i="36"/>
  <c r="V36" i="36"/>
  <c r="T74" i="36" s="1"/>
  <c r="DB35" i="36"/>
  <c r="CZ35" i="36"/>
  <c r="CY35" i="36"/>
  <c r="CX35" i="36"/>
  <c r="CN35" i="36"/>
  <c r="CM35" i="36"/>
  <c r="CL35" i="36"/>
  <c r="BY35" i="36"/>
  <c r="BZ35" i="36" s="1"/>
  <c r="BT35" i="36"/>
  <c r="BU35" i="36" s="1"/>
  <c r="BO35" i="36"/>
  <c r="BP35" i="36" s="1"/>
  <c r="BT73" i="36" s="1"/>
  <c r="BN35" i="36"/>
  <c r="BM35" i="36"/>
  <c r="BI35" i="36"/>
  <c r="BJ35" i="36" s="1"/>
  <c r="DA35" i="36" s="1"/>
  <c r="BG35" i="36"/>
  <c r="AN35" i="36"/>
  <c r="AZ35" i="36" s="1"/>
  <c r="BL35" i="36" s="1"/>
  <c r="BX35" i="36" s="1"/>
  <c r="CJ35" i="36" s="1"/>
  <c r="AH35" i="36"/>
  <c r="X35" i="36"/>
  <c r="W35" i="36"/>
  <c r="V35" i="36"/>
  <c r="AW35" i="36" s="1"/>
  <c r="M35" i="36"/>
  <c r="M73" i="36" s="1"/>
  <c r="CZ34" i="36"/>
  <c r="CY34" i="36"/>
  <c r="CX34" i="36"/>
  <c r="CN34" i="36"/>
  <c r="CM34" i="36"/>
  <c r="BZ34" i="36"/>
  <c r="BY34" i="36"/>
  <c r="BT34" i="36"/>
  <c r="BU34" i="36" s="1"/>
  <c r="BO34" i="36"/>
  <c r="BM34" i="36"/>
  <c r="BI34" i="36"/>
  <c r="BJ34" i="36" s="1"/>
  <c r="DA34" i="36" s="1"/>
  <c r="BG34" i="36"/>
  <c r="AJ34" i="36"/>
  <c r="AI34" i="36"/>
  <c r="X34" i="36"/>
  <c r="W34" i="36"/>
  <c r="N72" i="36" s="1"/>
  <c r="V34" i="36"/>
  <c r="AW34" i="36" s="1"/>
  <c r="CZ33" i="36"/>
  <c r="CY33" i="36"/>
  <c r="CX33" i="36"/>
  <c r="CN33" i="36"/>
  <c r="CM33" i="36"/>
  <c r="CL33" i="36"/>
  <c r="CK33" i="36"/>
  <c r="BY33" i="36"/>
  <c r="BZ33" i="36" s="1"/>
  <c r="BU33" i="36"/>
  <c r="BT33" i="36"/>
  <c r="BO33" i="36"/>
  <c r="BP33" i="36" s="1"/>
  <c r="BT71" i="36" s="1"/>
  <c r="CP33" i="36" s="1"/>
  <c r="BN33" i="36"/>
  <c r="BM33" i="36"/>
  <c r="BI33" i="36"/>
  <c r="BJ33" i="36" s="1"/>
  <c r="DA33" i="36" s="1"/>
  <c r="BG33" i="36"/>
  <c r="AZ33" i="36"/>
  <c r="BL33" i="36" s="1"/>
  <c r="BX33" i="36" s="1"/>
  <c r="CJ33" i="36" s="1"/>
  <c r="AW33" i="36"/>
  <c r="AN33" i="36"/>
  <c r="AJ33" i="36"/>
  <c r="AI33" i="36"/>
  <c r="X33" i="36"/>
  <c r="W33" i="36"/>
  <c r="N71" i="36" s="1"/>
  <c r="AV33" i="36" s="1"/>
  <c r="V33" i="36"/>
  <c r="T71" i="36" s="1"/>
  <c r="AR33" i="36" s="1"/>
  <c r="M33" i="36"/>
  <c r="M71" i="36" s="1"/>
  <c r="Y71" i="36" s="1"/>
  <c r="AN71" i="36" s="1"/>
  <c r="AZ71" i="36" s="1"/>
  <c r="BL71" i="36" s="1"/>
  <c r="CZ32" i="36"/>
  <c r="CY32" i="36"/>
  <c r="CX32" i="36"/>
  <c r="CN32" i="36"/>
  <c r="CM32" i="36"/>
  <c r="CL32" i="36"/>
  <c r="CK32" i="36"/>
  <c r="BZ32" i="36"/>
  <c r="BY32" i="36"/>
  <c r="BU32" i="36"/>
  <c r="BT32" i="36"/>
  <c r="BO32" i="36"/>
  <c r="BP32" i="36" s="1"/>
  <c r="BT70" i="36" s="1"/>
  <c r="CP32" i="36" s="1"/>
  <c r="BN32" i="36"/>
  <c r="BM32" i="36"/>
  <c r="BI32" i="36"/>
  <c r="BJ32" i="36" s="1"/>
  <c r="DA32" i="36" s="1"/>
  <c r="BG32" i="36"/>
  <c r="AH32" i="36"/>
  <c r="AJ32" i="36" s="1"/>
  <c r="X32" i="36"/>
  <c r="W32" i="36"/>
  <c r="V32" i="36"/>
  <c r="CZ31" i="36"/>
  <c r="CY31" i="36"/>
  <c r="CX31" i="36"/>
  <c r="CN31" i="36"/>
  <c r="CM31" i="36"/>
  <c r="CL31" i="36"/>
  <c r="CK31" i="36"/>
  <c r="BZ31" i="36"/>
  <c r="BY31" i="36"/>
  <c r="BU31" i="36"/>
  <c r="BT31" i="36"/>
  <c r="BO31" i="36"/>
  <c r="BP31" i="36" s="1"/>
  <c r="BT69" i="36" s="1"/>
  <c r="CP31" i="36" s="1"/>
  <c r="BN31" i="36"/>
  <c r="BM31" i="36"/>
  <c r="BI31" i="36"/>
  <c r="BJ31" i="36" s="1"/>
  <c r="DA31" i="36" s="1"/>
  <c r="BG31" i="36"/>
  <c r="AZ31" i="36"/>
  <c r="AN31" i="36"/>
  <c r="AJ31" i="36"/>
  <c r="AH31" i="36"/>
  <c r="AI31" i="36" s="1"/>
  <c r="X31" i="36"/>
  <c r="W31" i="36"/>
  <c r="V31" i="36"/>
  <c r="T69" i="36" s="1"/>
  <c r="M31" i="36"/>
  <c r="M69" i="36" s="1"/>
  <c r="CZ30" i="36"/>
  <c r="CY30" i="36"/>
  <c r="CX30" i="36"/>
  <c r="CN30" i="36"/>
  <c r="CM30" i="36"/>
  <c r="CL30" i="36"/>
  <c r="CK30" i="36"/>
  <c r="BZ30" i="36"/>
  <c r="BY30" i="36"/>
  <c r="BT30" i="36"/>
  <c r="BU30" i="36" s="1"/>
  <c r="BO30" i="36"/>
  <c r="BP30" i="36" s="1"/>
  <c r="BT68" i="36" s="1"/>
  <c r="CP30" i="36" s="1"/>
  <c r="BN30" i="36"/>
  <c r="BM30" i="36"/>
  <c r="BI30" i="36"/>
  <c r="BJ30" i="36" s="1"/>
  <c r="DA30" i="36" s="1"/>
  <c r="BG30" i="36"/>
  <c r="AJ30" i="36"/>
  <c r="AI30" i="36"/>
  <c r="X30" i="36"/>
  <c r="W30" i="36"/>
  <c r="V30" i="36"/>
  <c r="AW30" i="36" s="1"/>
  <c r="CZ29" i="36"/>
  <c r="CY29" i="36"/>
  <c r="CX29" i="36"/>
  <c r="CN29" i="36"/>
  <c r="CM29" i="36"/>
  <c r="CO29" i="36" s="1"/>
  <c r="CL29" i="36"/>
  <c r="CK29" i="36"/>
  <c r="BY29" i="36"/>
  <c r="BZ29" i="36" s="1"/>
  <c r="BT29" i="36"/>
  <c r="BU29" i="36" s="1"/>
  <c r="BO29" i="36"/>
  <c r="BP29" i="36" s="1"/>
  <c r="BT67" i="36" s="1"/>
  <c r="CP29" i="36" s="1"/>
  <c r="BN29" i="36"/>
  <c r="BM29" i="36"/>
  <c r="BL29" i="36"/>
  <c r="BX29" i="36" s="1"/>
  <c r="CJ29" i="36" s="1"/>
  <c r="CJ67" i="36" s="1"/>
  <c r="BJ29" i="36"/>
  <c r="DA29" i="36" s="1"/>
  <c r="BI29" i="36"/>
  <c r="BG29" i="36"/>
  <c r="AN29" i="36"/>
  <c r="AZ29" i="36" s="1"/>
  <c r="CW29" i="36" s="1"/>
  <c r="AJ29" i="36"/>
  <c r="AI29" i="36"/>
  <c r="X29" i="36"/>
  <c r="W29" i="36"/>
  <c r="N67" i="36" s="1"/>
  <c r="AD29" i="36" s="1"/>
  <c r="V29" i="36"/>
  <c r="M29" i="36"/>
  <c r="M67" i="36" s="1"/>
  <c r="Y67" i="36" s="1"/>
  <c r="CZ28" i="36"/>
  <c r="CY28" i="36"/>
  <c r="CX28" i="36"/>
  <c r="CN28" i="36"/>
  <c r="CM28" i="36"/>
  <c r="CO28" i="36" s="1"/>
  <c r="CL28" i="36"/>
  <c r="CK28" i="36"/>
  <c r="BZ28" i="36"/>
  <c r="BY28" i="36"/>
  <c r="BU28" i="36"/>
  <c r="BT28" i="36"/>
  <c r="BO28" i="36"/>
  <c r="BP28" i="36" s="1"/>
  <c r="BT66" i="36" s="1"/>
  <c r="CP28" i="36" s="1"/>
  <c r="BN28" i="36"/>
  <c r="BM28" i="36"/>
  <c r="BI28" i="36"/>
  <c r="BJ28" i="36" s="1"/>
  <c r="DA28" i="36" s="1"/>
  <c r="BG28" i="36"/>
  <c r="AH28" i="36"/>
  <c r="AI28" i="36" s="1"/>
  <c r="X28" i="36"/>
  <c r="W28" i="36"/>
  <c r="V28" i="36"/>
  <c r="DB27" i="36"/>
  <c r="CZ27" i="36"/>
  <c r="CY27" i="36"/>
  <c r="CX27" i="36"/>
  <c r="CN27" i="36"/>
  <c r="CM27" i="36"/>
  <c r="CL27" i="36"/>
  <c r="BZ27" i="36"/>
  <c r="BY27" i="36"/>
  <c r="BT27" i="36"/>
  <c r="BU27" i="36" s="1"/>
  <c r="BO27" i="36"/>
  <c r="BP27" i="36" s="1"/>
  <c r="BT65" i="36" s="1"/>
  <c r="CP27" i="36" s="1"/>
  <c r="BN27" i="36"/>
  <c r="BM27" i="36"/>
  <c r="BI27" i="36"/>
  <c r="BJ27" i="36" s="1"/>
  <c r="DA27" i="36" s="1"/>
  <c r="BG27" i="36"/>
  <c r="AZ27" i="36"/>
  <c r="AW27" i="36"/>
  <c r="AN27" i="36"/>
  <c r="AH27" i="36"/>
  <c r="X27" i="36"/>
  <c r="W27" i="36"/>
  <c r="V27" i="36"/>
  <c r="M27" i="36"/>
  <c r="M65" i="36" s="1"/>
  <c r="Y65" i="36" s="1"/>
  <c r="AN65" i="36" s="1"/>
  <c r="AZ65" i="36" s="1"/>
  <c r="BL65" i="36" s="1"/>
  <c r="CZ26" i="36"/>
  <c r="CY26" i="36"/>
  <c r="CX26" i="36"/>
  <c r="CN26" i="36"/>
  <c r="CM26" i="36"/>
  <c r="CL26" i="36"/>
  <c r="CK26" i="36"/>
  <c r="BY26" i="36"/>
  <c r="BZ26" i="36" s="1"/>
  <c r="BU26" i="36"/>
  <c r="BT26" i="36"/>
  <c r="BO26" i="36"/>
  <c r="BP26" i="36" s="1"/>
  <c r="BT64" i="36" s="1"/>
  <c r="BN26" i="36"/>
  <c r="BM26" i="36"/>
  <c r="BI26" i="36"/>
  <c r="BJ26" i="36" s="1"/>
  <c r="DA26" i="36" s="1"/>
  <c r="BG26" i="36"/>
  <c r="AX26" i="36"/>
  <c r="AW26" i="36"/>
  <c r="AJ26" i="36"/>
  <c r="AI26" i="36"/>
  <c r="X26" i="36"/>
  <c r="W26" i="36"/>
  <c r="V26" i="36"/>
  <c r="T64" i="36" s="1"/>
  <c r="CZ25" i="36"/>
  <c r="CY25" i="36"/>
  <c r="CX25" i="36"/>
  <c r="CN25" i="36"/>
  <c r="CM25" i="36"/>
  <c r="CL25" i="36"/>
  <c r="CK25" i="36"/>
  <c r="BY25" i="36"/>
  <c r="BZ25" i="36" s="1"/>
  <c r="BT25" i="36"/>
  <c r="BU25" i="36" s="1"/>
  <c r="BO25" i="36"/>
  <c r="BP25" i="36" s="1"/>
  <c r="BT63" i="36" s="1"/>
  <c r="CP25" i="36" s="1"/>
  <c r="BN25" i="36"/>
  <c r="BM25" i="36"/>
  <c r="BI25" i="36"/>
  <c r="BJ25" i="36" s="1"/>
  <c r="DA25" i="36" s="1"/>
  <c r="BG25" i="36"/>
  <c r="AZ25" i="36"/>
  <c r="BL25" i="36" s="1"/>
  <c r="BX25" i="36" s="1"/>
  <c r="CJ25" i="36" s="1"/>
  <c r="CJ63" i="36" s="1"/>
  <c r="AX25" i="36"/>
  <c r="AN25" i="36"/>
  <c r="AJ25" i="36"/>
  <c r="AI25" i="36"/>
  <c r="X25" i="36"/>
  <c r="W25" i="36"/>
  <c r="V25" i="36"/>
  <c r="M25" i="36"/>
  <c r="M63" i="36" s="1"/>
  <c r="Y63" i="36" s="1"/>
  <c r="AN63" i="36" s="1"/>
  <c r="AZ63" i="36" s="1"/>
  <c r="BL63" i="36" s="1"/>
  <c r="DB24" i="36"/>
  <c r="CZ24" i="36"/>
  <c r="CY24" i="36"/>
  <c r="CX24" i="36"/>
  <c r="CN24" i="36"/>
  <c r="CM24" i="36"/>
  <c r="CL24" i="36"/>
  <c r="CK24" i="36"/>
  <c r="BY24" i="36"/>
  <c r="BZ24" i="36" s="1"/>
  <c r="BU24" i="36"/>
  <c r="BT24" i="36"/>
  <c r="BO24" i="36"/>
  <c r="BP24" i="36" s="1"/>
  <c r="BT62" i="36" s="1"/>
  <c r="CP24" i="36" s="1"/>
  <c r="BN24" i="36"/>
  <c r="BM24" i="36"/>
  <c r="BI24" i="36"/>
  <c r="BJ24" i="36" s="1"/>
  <c r="DA24" i="36" s="1"/>
  <c r="BG24" i="36"/>
  <c r="AJ24" i="36"/>
  <c r="AI24" i="36"/>
  <c r="X24" i="36"/>
  <c r="W24" i="36"/>
  <c r="V24" i="36"/>
  <c r="T62" i="36" s="1"/>
  <c r="AR24" i="36" s="1"/>
  <c r="CZ23" i="36"/>
  <c r="CY23" i="36"/>
  <c r="CX23" i="36"/>
  <c r="CN23" i="36"/>
  <c r="CM23" i="36"/>
  <c r="CO23" i="36" s="1"/>
  <c r="CL23" i="36"/>
  <c r="CK23" i="36"/>
  <c r="BY23" i="36"/>
  <c r="BZ23" i="36" s="1"/>
  <c r="BU23" i="36"/>
  <c r="BT23" i="36"/>
  <c r="BO23" i="36"/>
  <c r="BP23" i="36" s="1"/>
  <c r="BT61" i="36" s="1"/>
  <c r="CP23" i="36" s="1"/>
  <c r="BN23" i="36"/>
  <c r="BM23" i="36"/>
  <c r="BI23" i="36"/>
  <c r="BJ23" i="36" s="1"/>
  <c r="DA23" i="36" s="1"/>
  <c r="BG23" i="36"/>
  <c r="AN23" i="36"/>
  <c r="AZ23" i="36" s="1"/>
  <c r="AJ23" i="36"/>
  <c r="AI23" i="36"/>
  <c r="X23" i="36"/>
  <c r="W23" i="36"/>
  <c r="N61" i="36" s="1"/>
  <c r="V23" i="36"/>
  <c r="M23" i="36"/>
  <c r="M61" i="36" s="1"/>
  <c r="Y61" i="36" s="1"/>
  <c r="AN61" i="36" s="1"/>
  <c r="AZ61" i="36" s="1"/>
  <c r="BL61" i="36" s="1"/>
  <c r="CZ22" i="36"/>
  <c r="CY22" i="36"/>
  <c r="CX22" i="36"/>
  <c r="CN22" i="36"/>
  <c r="CM22" i="36"/>
  <c r="CL22" i="36"/>
  <c r="CK22" i="36"/>
  <c r="BY22" i="36"/>
  <c r="BZ22" i="36" s="1"/>
  <c r="BU22" i="36"/>
  <c r="BT22" i="36"/>
  <c r="BO22" i="36"/>
  <c r="BP22" i="36" s="1"/>
  <c r="BT60" i="36" s="1"/>
  <c r="CP22" i="36" s="1"/>
  <c r="BN22" i="36"/>
  <c r="BM22" i="36"/>
  <c r="BI22" i="36"/>
  <c r="BJ22" i="36" s="1"/>
  <c r="DA22" i="36" s="1"/>
  <c r="BG22" i="36"/>
  <c r="AR22" i="36"/>
  <c r="AJ22" i="36"/>
  <c r="AH22" i="36"/>
  <c r="AI22" i="36" s="1"/>
  <c r="X22" i="36"/>
  <c r="W22" i="36"/>
  <c r="N60" i="36" s="1"/>
  <c r="V22" i="36"/>
  <c r="T60" i="36" s="1"/>
  <c r="AP22" i="36" s="1"/>
  <c r="DB21" i="36"/>
  <c r="CZ21" i="36"/>
  <c r="CY21" i="36"/>
  <c r="CX21" i="36"/>
  <c r="CW21" i="36"/>
  <c r="CN21" i="36"/>
  <c r="CM21" i="36"/>
  <c r="CL21" i="36"/>
  <c r="CK21" i="36"/>
  <c r="BY21" i="36"/>
  <c r="BZ21" i="36" s="1"/>
  <c r="BU21" i="36"/>
  <c r="BT21" i="36"/>
  <c r="BO21" i="36"/>
  <c r="BP21" i="36" s="1"/>
  <c r="BN21" i="36"/>
  <c r="BM21" i="36"/>
  <c r="BL21" i="36"/>
  <c r="BX21" i="36" s="1"/>
  <c r="CJ21" i="36" s="1"/>
  <c r="CJ59" i="36" s="1"/>
  <c r="BI21" i="36"/>
  <c r="BJ21" i="36" s="1"/>
  <c r="DA21" i="36" s="1"/>
  <c r="BG21" i="36"/>
  <c r="AZ21" i="36"/>
  <c r="AN21" i="36"/>
  <c r="AH21" i="36"/>
  <c r="AJ21" i="36" s="1"/>
  <c r="X21" i="36"/>
  <c r="W21" i="36"/>
  <c r="N59" i="36" s="1"/>
  <c r="AV21" i="36" s="1"/>
  <c r="V21" i="36"/>
  <c r="AX21" i="36" s="1"/>
  <c r="M21" i="36"/>
  <c r="M59" i="36" s="1"/>
  <c r="Y59" i="36" s="1"/>
  <c r="AN59" i="36" s="1"/>
  <c r="AZ59" i="36" s="1"/>
  <c r="BL59" i="36" s="1"/>
  <c r="CZ20" i="36"/>
  <c r="CY20" i="36"/>
  <c r="CX20" i="36"/>
  <c r="CN20" i="36"/>
  <c r="CM20" i="36"/>
  <c r="CL20" i="36"/>
  <c r="CK20" i="36"/>
  <c r="BY20" i="36"/>
  <c r="BZ20" i="36" s="1"/>
  <c r="BU20" i="36"/>
  <c r="BT20" i="36"/>
  <c r="BO20" i="36"/>
  <c r="BP20" i="36" s="1"/>
  <c r="BT58" i="36" s="1"/>
  <c r="CP20" i="36" s="1"/>
  <c r="BN20" i="36"/>
  <c r="BM20" i="36"/>
  <c r="BI20" i="36"/>
  <c r="BJ20" i="36" s="1"/>
  <c r="DA20" i="36" s="1"/>
  <c r="BG20" i="36"/>
  <c r="AJ20" i="36"/>
  <c r="AI20" i="36"/>
  <c r="X20" i="36"/>
  <c r="W20" i="36"/>
  <c r="V20" i="36"/>
  <c r="AX20" i="36" s="1"/>
  <c r="CZ19" i="36"/>
  <c r="CY19" i="36"/>
  <c r="CX19" i="36"/>
  <c r="CN19" i="36"/>
  <c r="CM19" i="36"/>
  <c r="CO19" i="36" s="1"/>
  <c r="CL19" i="36"/>
  <c r="CK19" i="36"/>
  <c r="BY19" i="36"/>
  <c r="BZ19" i="36" s="1"/>
  <c r="BT19" i="36"/>
  <c r="BU19" i="36" s="1"/>
  <c r="BO19" i="36"/>
  <c r="BP19" i="36" s="1"/>
  <c r="BT57" i="36" s="1"/>
  <c r="CP19" i="36" s="1"/>
  <c r="BN19" i="36"/>
  <c r="BM19" i="36"/>
  <c r="BI19" i="36"/>
  <c r="BJ19" i="36" s="1"/>
  <c r="DA19" i="36" s="1"/>
  <c r="BG19" i="36"/>
  <c r="AZ19" i="36"/>
  <c r="AN19" i="36"/>
  <c r="AJ19" i="36"/>
  <c r="AI19" i="36"/>
  <c r="X19" i="36"/>
  <c r="W19" i="36"/>
  <c r="V19" i="36"/>
  <c r="M19" i="36"/>
  <c r="M57" i="36" s="1"/>
  <c r="Y57" i="36" s="1"/>
  <c r="AN57" i="36" s="1"/>
  <c r="AZ57" i="36" s="1"/>
  <c r="BL57" i="36" s="1"/>
  <c r="CZ18" i="36"/>
  <c r="CY18" i="36"/>
  <c r="CX18" i="36"/>
  <c r="CN18" i="36"/>
  <c r="CM18" i="36"/>
  <c r="CL18" i="36"/>
  <c r="CK18" i="36"/>
  <c r="BZ18" i="36"/>
  <c r="BY18" i="36"/>
  <c r="BU18" i="36"/>
  <c r="BT18" i="36"/>
  <c r="BO18" i="36"/>
  <c r="BP18" i="36" s="1"/>
  <c r="BT56" i="36" s="1"/>
  <c r="CP18" i="36" s="1"/>
  <c r="BN18" i="36"/>
  <c r="BM18" i="36"/>
  <c r="BI18" i="36"/>
  <c r="BJ18" i="36" s="1"/>
  <c r="DA18" i="36" s="1"/>
  <c r="BG18" i="36"/>
  <c r="AX18" i="36"/>
  <c r="AW18" i="36"/>
  <c r="AJ18" i="36"/>
  <c r="AI18" i="36"/>
  <c r="AH18" i="36"/>
  <c r="X18" i="36"/>
  <c r="W18" i="36"/>
  <c r="V18" i="36"/>
  <c r="T56" i="36" s="1"/>
  <c r="AR18" i="36" s="1"/>
  <c r="CZ17" i="36"/>
  <c r="CY17" i="36"/>
  <c r="CX17" i="36"/>
  <c r="CN17" i="36"/>
  <c r="CM17" i="36"/>
  <c r="CO17" i="36" s="1"/>
  <c r="CL17" i="36"/>
  <c r="CK17" i="36"/>
  <c r="BZ17" i="36"/>
  <c r="BY17" i="36"/>
  <c r="BT17" i="36"/>
  <c r="BU17" i="36" s="1"/>
  <c r="BO17" i="36"/>
  <c r="BP17" i="36" s="1"/>
  <c r="BT55" i="36" s="1"/>
  <c r="BN17" i="36"/>
  <c r="BM17" i="36"/>
  <c r="BJ17" i="36"/>
  <c r="DA17" i="36" s="1"/>
  <c r="BI17" i="36"/>
  <c r="BG17" i="36"/>
  <c r="AZ17" i="36"/>
  <c r="CW17" i="36" s="1"/>
  <c r="AX17" i="36"/>
  <c r="AQ17" i="36"/>
  <c r="AN17" i="36"/>
  <c r="AJ17" i="36"/>
  <c r="AI17" i="36"/>
  <c r="AH17" i="36"/>
  <c r="X17" i="36"/>
  <c r="W17" i="36"/>
  <c r="V17" i="36"/>
  <c r="T55" i="36" s="1"/>
  <c r="AR17" i="36" s="1"/>
  <c r="M17" i="36"/>
  <c r="M55" i="36" s="1"/>
  <c r="Y55" i="36" s="1"/>
  <c r="AN55" i="36" s="1"/>
  <c r="AZ55" i="36" s="1"/>
  <c r="BL55" i="36" s="1"/>
  <c r="CZ16" i="36"/>
  <c r="CY16" i="36"/>
  <c r="CX16" i="36"/>
  <c r="CN16" i="36"/>
  <c r="CM16" i="36"/>
  <c r="CL16" i="36"/>
  <c r="CK16" i="36"/>
  <c r="BY16" i="36"/>
  <c r="BZ16" i="36" s="1"/>
  <c r="BT16" i="36"/>
  <c r="BU16" i="36" s="1"/>
  <c r="BO16" i="36"/>
  <c r="BP16" i="36" s="1"/>
  <c r="BT54" i="36" s="1"/>
  <c r="CP16" i="36" s="1"/>
  <c r="BN16" i="36"/>
  <c r="BM16" i="36"/>
  <c r="BI16" i="36"/>
  <c r="BJ16" i="36" s="1"/>
  <c r="DA16" i="36" s="1"/>
  <c r="BG16" i="36"/>
  <c r="AJ16" i="36"/>
  <c r="AI16" i="36"/>
  <c r="X16" i="36"/>
  <c r="W16" i="36"/>
  <c r="V16" i="36"/>
  <c r="AX16" i="36" s="1"/>
  <c r="DB15" i="36"/>
  <c r="CZ15" i="36"/>
  <c r="CY15" i="36"/>
  <c r="CX15" i="36"/>
  <c r="CN15" i="36"/>
  <c r="CM15" i="36"/>
  <c r="CO15" i="36" s="1"/>
  <c r="CL15" i="36"/>
  <c r="CK15" i="36"/>
  <c r="BY15" i="36"/>
  <c r="BZ15" i="36" s="1"/>
  <c r="BT15" i="36"/>
  <c r="BU15" i="36" s="1"/>
  <c r="BO15" i="36"/>
  <c r="BP15" i="36" s="1"/>
  <c r="BT53" i="36" s="1"/>
  <c r="CP15" i="36" s="1"/>
  <c r="BN15" i="36"/>
  <c r="BM15" i="36"/>
  <c r="BI15" i="36"/>
  <c r="BJ15" i="36" s="1"/>
  <c r="DA15" i="36" s="1"/>
  <c r="BG15" i="36"/>
  <c r="AN15" i="36"/>
  <c r="AZ15" i="36" s="1"/>
  <c r="AJ15" i="36"/>
  <c r="AI15" i="36"/>
  <c r="X15" i="36"/>
  <c r="W15" i="36"/>
  <c r="N53" i="36" s="1"/>
  <c r="V15" i="36"/>
  <c r="AX15" i="36" s="1"/>
  <c r="M15" i="36"/>
  <c r="M53" i="36" s="1"/>
  <c r="Y53" i="36" s="1"/>
  <c r="AN53" i="36" s="1"/>
  <c r="AZ53" i="36" s="1"/>
  <c r="BL53" i="36" s="1"/>
  <c r="CZ14" i="36"/>
  <c r="CY14" i="36"/>
  <c r="CX14" i="36"/>
  <c r="CN14" i="36"/>
  <c r="CM14" i="36"/>
  <c r="CL14" i="36"/>
  <c r="CK14" i="36"/>
  <c r="BY14" i="36"/>
  <c r="BZ14" i="36" s="1"/>
  <c r="BT14" i="36"/>
  <c r="BU14" i="36" s="1"/>
  <c r="BO14" i="36"/>
  <c r="BP14" i="36" s="1"/>
  <c r="BT52" i="36" s="1"/>
  <c r="CP14" i="36" s="1"/>
  <c r="BN14" i="36"/>
  <c r="BM14" i="36"/>
  <c r="BI14" i="36"/>
  <c r="BJ14" i="36" s="1"/>
  <c r="DA14" i="36" s="1"/>
  <c r="BG14" i="36"/>
  <c r="AJ14" i="36"/>
  <c r="AI14" i="36"/>
  <c r="AH14" i="36"/>
  <c r="X14" i="36"/>
  <c r="W14" i="36"/>
  <c r="V14" i="36"/>
  <c r="DB13" i="36"/>
  <c r="CZ13" i="36"/>
  <c r="CY13" i="36"/>
  <c r="CX13" i="36"/>
  <c r="CN13" i="36"/>
  <c r="CM13" i="36"/>
  <c r="CL13" i="36"/>
  <c r="CK13" i="36"/>
  <c r="BY13" i="36"/>
  <c r="BZ13" i="36" s="1"/>
  <c r="BU13" i="36"/>
  <c r="BT13" i="36"/>
  <c r="BO13" i="36"/>
  <c r="BP13" i="36" s="1"/>
  <c r="BT51" i="36" s="1"/>
  <c r="CP13" i="36" s="1"/>
  <c r="BN13" i="36"/>
  <c r="BM13" i="36"/>
  <c r="BI13" i="36"/>
  <c r="BJ13" i="36" s="1"/>
  <c r="DA13" i="36" s="1"/>
  <c r="BG13" i="36"/>
  <c r="AR13" i="36"/>
  <c r="AQ13" i="36"/>
  <c r="AN13" i="36"/>
  <c r="AZ13" i="36" s="1"/>
  <c r="AI13" i="36"/>
  <c r="AH13" i="36"/>
  <c r="AJ13" i="36" s="1"/>
  <c r="X13" i="36"/>
  <c r="W13" i="36"/>
  <c r="V13" i="36"/>
  <c r="T51" i="36" s="1"/>
  <c r="AP13" i="36" s="1"/>
  <c r="M13" i="36"/>
  <c r="M51" i="36" s="1"/>
  <c r="Y51" i="36" s="1"/>
  <c r="AN51" i="36" s="1"/>
  <c r="AZ51" i="36" s="1"/>
  <c r="BL51" i="36" s="1"/>
  <c r="O8" i="36"/>
  <c r="T6" i="36"/>
  <c r="BU4" i="36"/>
  <c r="CG4" i="36" s="1"/>
  <c r="CS4" i="36" s="1"/>
  <c r="BI4" i="36"/>
  <c r="AW4" i="36"/>
  <c r="AH4" i="36"/>
  <c r="V4" i="36"/>
  <c r="J4" i="36"/>
  <c r="BI3" i="36"/>
  <c r="BU3" i="36" s="1"/>
  <c r="CG3" i="36" s="1"/>
  <c r="CS3" i="36" s="1"/>
  <c r="BD3" i="36"/>
  <c r="BP3" i="36" s="1"/>
  <c r="CB3" i="36" s="1"/>
  <c r="CN3" i="36" s="1"/>
  <c r="AW3" i="36"/>
  <c r="V3" i="36"/>
  <c r="AH3" i="36" s="1"/>
  <c r="E3" i="36"/>
  <c r="Q3" i="36" s="1"/>
  <c r="AC3" i="36" s="1"/>
  <c r="AR1" i="36"/>
  <c r="E1" i="36"/>
  <c r="Q1" i="36" s="1"/>
  <c r="AC1" i="36" s="1"/>
  <c r="BD1" i="36" s="1"/>
  <c r="BP1" i="36" s="1"/>
  <c r="CB1" i="36" s="1"/>
  <c r="CN1" i="36" s="1"/>
  <c r="O126" i="35"/>
  <c r="O122" i="35"/>
  <c r="O109" i="35"/>
  <c r="O111" i="35" s="1"/>
  <c r="O107" i="35"/>
  <c r="S120" i="35" s="1"/>
  <c r="O106" i="35"/>
  <c r="O105" i="35"/>
  <c r="O104" i="35"/>
  <c r="S118" i="35" s="1"/>
  <c r="U102" i="35"/>
  <c r="T102" i="35"/>
  <c r="O102" i="35"/>
  <c r="U101" i="35"/>
  <c r="T101" i="35"/>
  <c r="O101" i="35"/>
  <c r="U100" i="35"/>
  <c r="T100" i="35"/>
  <c r="O100" i="35"/>
  <c r="U99" i="35"/>
  <c r="T99" i="35"/>
  <c r="O99" i="35"/>
  <c r="U98" i="35"/>
  <c r="T98" i="35"/>
  <c r="O98" i="35"/>
  <c r="U97" i="35"/>
  <c r="T97" i="35"/>
  <c r="O97" i="35"/>
  <c r="U96" i="35"/>
  <c r="T96" i="35"/>
  <c r="O96" i="35"/>
  <c r="U95" i="35"/>
  <c r="T95" i="35"/>
  <c r="O95" i="35"/>
  <c r="U94" i="35"/>
  <c r="T94" i="35"/>
  <c r="O94" i="35"/>
  <c r="U93" i="35"/>
  <c r="T93" i="35"/>
  <c r="O93" i="35"/>
  <c r="U92" i="35"/>
  <c r="T92" i="35"/>
  <c r="O92" i="35"/>
  <c r="U91" i="35"/>
  <c r="T91" i="35"/>
  <c r="O91" i="35"/>
  <c r="CK74" i="35"/>
  <c r="CL74" i="35" s="1"/>
  <c r="BR74" i="35"/>
  <c r="BM74" i="35"/>
  <c r="BO74" i="35" s="1"/>
  <c r="BP74" i="35" s="1"/>
  <c r="BI74" i="35"/>
  <c r="BJ74" i="35" s="1"/>
  <c r="DB36" i="35" s="1"/>
  <c r="BG74" i="35"/>
  <c r="AW74" i="35"/>
  <c r="AT74" i="35"/>
  <c r="BM36" i="35" s="1"/>
  <c r="AP74" i="35"/>
  <c r="AO74" i="35"/>
  <c r="CK73" i="35"/>
  <c r="CL73" i="35" s="1"/>
  <c r="BR73" i="35"/>
  <c r="BM73" i="35"/>
  <c r="BO73" i="35" s="1"/>
  <c r="BP73" i="35" s="1"/>
  <c r="BI73" i="35"/>
  <c r="BJ73" i="35" s="1"/>
  <c r="DB35" i="35" s="1"/>
  <c r="BG73" i="35"/>
  <c r="AW73" i="35"/>
  <c r="AT73" i="35"/>
  <c r="BM35" i="35" s="1"/>
  <c r="AP73" i="35"/>
  <c r="AO73" i="35"/>
  <c r="CK35" i="35"/>
  <c r="CK72" i="35"/>
  <c r="CL72" i="35" s="1"/>
  <c r="BR72" i="35"/>
  <c r="BM72" i="35"/>
  <c r="BO72" i="35" s="1"/>
  <c r="BP72" i="35" s="1"/>
  <c r="BI72" i="35"/>
  <c r="BJ72" i="35" s="1"/>
  <c r="BG72" i="35"/>
  <c r="AW72" i="35"/>
  <c r="AT72" i="35"/>
  <c r="BM34" i="35" s="1"/>
  <c r="AP72" i="35"/>
  <c r="AO72" i="35"/>
  <c r="CK34" i="35"/>
  <c r="CK71" i="35"/>
  <c r="CL71" i="35" s="1"/>
  <c r="BR71" i="35"/>
  <c r="BM71" i="35"/>
  <c r="BO71" i="35" s="1"/>
  <c r="BP71" i="35" s="1"/>
  <c r="BJ71" i="35"/>
  <c r="BI71" i="35"/>
  <c r="BG71" i="35"/>
  <c r="AW71" i="35"/>
  <c r="AT71" i="35"/>
  <c r="BM33" i="35" s="1"/>
  <c r="AP71" i="35"/>
  <c r="AO71" i="35"/>
  <c r="CK70" i="35"/>
  <c r="CL70" i="35" s="1"/>
  <c r="BR70" i="35"/>
  <c r="BM70" i="35"/>
  <c r="BO70" i="35" s="1"/>
  <c r="BP70" i="35" s="1"/>
  <c r="BI70" i="35"/>
  <c r="BJ70" i="35" s="1"/>
  <c r="DB32" i="35" s="1"/>
  <c r="BG70" i="35"/>
  <c r="AW70" i="35"/>
  <c r="AT70" i="35"/>
  <c r="AP70" i="35"/>
  <c r="AO70" i="35"/>
  <c r="CK32" i="35"/>
  <c r="CK69" i="35"/>
  <c r="CL69" i="35" s="1"/>
  <c r="BR69" i="35"/>
  <c r="BP69" i="35"/>
  <c r="BM69" i="35"/>
  <c r="BO69" i="35" s="1"/>
  <c r="BJ69" i="35"/>
  <c r="BI69" i="35"/>
  <c r="BG69" i="35"/>
  <c r="AW69" i="35"/>
  <c r="AT69" i="35"/>
  <c r="AP69" i="35"/>
  <c r="AO69" i="35"/>
  <c r="AN69" i="35"/>
  <c r="AZ69" i="35" s="1"/>
  <c r="BL69" i="35" s="1"/>
  <c r="AQ31" i="35"/>
  <c r="CK68" i="35"/>
  <c r="CL68" i="35" s="1"/>
  <c r="BR68" i="35"/>
  <c r="BM68" i="35"/>
  <c r="BO68" i="35" s="1"/>
  <c r="BP68" i="35" s="1"/>
  <c r="BI68" i="35"/>
  <c r="BJ68" i="35" s="1"/>
  <c r="DB30" i="35" s="1"/>
  <c r="BG68" i="35"/>
  <c r="AW68" i="35"/>
  <c r="AT68" i="35"/>
  <c r="BN30" i="35" s="1"/>
  <c r="AP68" i="35"/>
  <c r="AQ68" i="35" s="1"/>
  <c r="AR68" i="35" s="1"/>
  <c r="AO68" i="35"/>
  <c r="CK30" i="35"/>
  <c r="CK67" i="35"/>
  <c r="CL67" i="35" s="1"/>
  <c r="BR67" i="35"/>
  <c r="BM67" i="35"/>
  <c r="BO67" i="35" s="1"/>
  <c r="BP67" i="35" s="1"/>
  <c r="BI67" i="35"/>
  <c r="BJ67" i="35" s="1"/>
  <c r="DB29" i="35" s="1"/>
  <c r="BG67" i="35"/>
  <c r="AW67" i="35"/>
  <c r="AT67" i="35"/>
  <c r="BM29" i="35" s="1"/>
  <c r="AP67" i="35"/>
  <c r="AO67" i="35"/>
  <c r="CK29" i="35"/>
  <c r="CK66" i="35"/>
  <c r="CL66" i="35" s="1"/>
  <c r="BR66" i="35"/>
  <c r="BM66" i="35"/>
  <c r="BO66" i="35" s="1"/>
  <c r="BP66" i="35" s="1"/>
  <c r="BI66" i="35"/>
  <c r="BJ66" i="35" s="1"/>
  <c r="DB28" i="35" s="1"/>
  <c r="BG66" i="35"/>
  <c r="AW66" i="35"/>
  <c r="AT66" i="35"/>
  <c r="AP66" i="35"/>
  <c r="AO66" i="35"/>
  <c r="CK28" i="35"/>
  <c r="CK65" i="35"/>
  <c r="CL65" i="35" s="1"/>
  <c r="BR65" i="35"/>
  <c r="BM65" i="35"/>
  <c r="BO65" i="35" s="1"/>
  <c r="BP65" i="35" s="1"/>
  <c r="BI65" i="35"/>
  <c r="BJ65" i="35" s="1"/>
  <c r="DB27" i="35" s="1"/>
  <c r="BG65" i="35"/>
  <c r="AW65" i="35"/>
  <c r="AT65" i="35"/>
  <c r="AP65" i="35"/>
  <c r="AO65" i="35"/>
  <c r="CL64" i="35"/>
  <c r="CK64" i="35"/>
  <c r="BR64" i="35"/>
  <c r="BO64" i="35"/>
  <c r="BP64" i="35" s="1"/>
  <c r="BM64" i="35"/>
  <c r="BI64" i="35"/>
  <c r="BJ64" i="35" s="1"/>
  <c r="BG64" i="35"/>
  <c r="AW64" i="35"/>
  <c r="AT64" i="35"/>
  <c r="AP64" i="35"/>
  <c r="AO64" i="35"/>
  <c r="CK63" i="35"/>
  <c r="CL63" i="35" s="1"/>
  <c r="BR63" i="35"/>
  <c r="BM63" i="35"/>
  <c r="BO63" i="35" s="1"/>
  <c r="BP63" i="35" s="1"/>
  <c r="BI63" i="35"/>
  <c r="BJ63" i="35" s="1"/>
  <c r="DB25" i="35" s="1"/>
  <c r="BG63" i="35"/>
  <c r="AW63" i="35"/>
  <c r="AT63" i="35"/>
  <c r="BM25" i="35" s="1"/>
  <c r="AP63" i="35"/>
  <c r="AO63" i="35"/>
  <c r="CK62" i="35"/>
  <c r="CL62" i="35" s="1"/>
  <c r="BR62" i="35"/>
  <c r="BM62" i="35"/>
  <c r="BO62" i="35" s="1"/>
  <c r="BP62" i="35" s="1"/>
  <c r="BI62" i="35"/>
  <c r="BJ62" i="35" s="1"/>
  <c r="DB24" i="35" s="1"/>
  <c r="BG62" i="35"/>
  <c r="AW62" i="35"/>
  <c r="AT62" i="35"/>
  <c r="BM24" i="35" s="1"/>
  <c r="AP62" i="35"/>
  <c r="AO62" i="35"/>
  <c r="CK61" i="35"/>
  <c r="CL61" i="35" s="1"/>
  <c r="BR61" i="35"/>
  <c r="BM61" i="35"/>
  <c r="BO61" i="35" s="1"/>
  <c r="BP61" i="35" s="1"/>
  <c r="BI61" i="35"/>
  <c r="BJ61" i="35" s="1"/>
  <c r="DB23" i="35" s="1"/>
  <c r="BG61" i="35"/>
  <c r="AW61" i="35"/>
  <c r="AT61" i="35"/>
  <c r="BN23" i="35" s="1"/>
  <c r="AP61" i="35"/>
  <c r="AO61" i="35"/>
  <c r="CL60" i="35"/>
  <c r="CK60" i="35"/>
  <c r="BR60" i="35"/>
  <c r="BM60" i="35"/>
  <c r="BO60" i="35" s="1"/>
  <c r="BP60" i="35" s="1"/>
  <c r="BI60" i="35"/>
  <c r="BJ60" i="35" s="1"/>
  <c r="DB22" i="35" s="1"/>
  <c r="BG60" i="35"/>
  <c r="AW60" i="35"/>
  <c r="AT60" i="35"/>
  <c r="AP60" i="35"/>
  <c r="AO60" i="35"/>
  <c r="CK22" i="35"/>
  <c r="CL59" i="35"/>
  <c r="CK59" i="35"/>
  <c r="BR59" i="35"/>
  <c r="BM59" i="35"/>
  <c r="BO59" i="35" s="1"/>
  <c r="BP59" i="35" s="1"/>
  <c r="BI59" i="35"/>
  <c r="BJ59" i="35" s="1"/>
  <c r="DB21" i="35" s="1"/>
  <c r="BG59" i="35"/>
  <c r="AW59" i="35"/>
  <c r="AT59" i="35"/>
  <c r="BN21" i="35" s="1"/>
  <c r="AP59" i="35"/>
  <c r="AO59" i="35"/>
  <c r="CK21" i="35"/>
  <c r="CK58" i="35"/>
  <c r="CL58" i="35" s="1"/>
  <c r="BR58" i="35"/>
  <c r="BM58" i="35"/>
  <c r="BO58" i="35" s="1"/>
  <c r="BP58" i="35" s="1"/>
  <c r="BI58" i="35"/>
  <c r="BJ58" i="35" s="1"/>
  <c r="BG58" i="35"/>
  <c r="AW58" i="35"/>
  <c r="AT58" i="35"/>
  <c r="BM20" i="35" s="1"/>
  <c r="AP58" i="35"/>
  <c r="AO58" i="35"/>
  <c r="CK57" i="35"/>
  <c r="CL57" i="35" s="1"/>
  <c r="BR57" i="35"/>
  <c r="BM57" i="35"/>
  <c r="BO57" i="35" s="1"/>
  <c r="BP57" i="35" s="1"/>
  <c r="BI57" i="35"/>
  <c r="BJ57" i="35" s="1"/>
  <c r="DB19" i="35" s="1"/>
  <c r="BG57" i="35"/>
  <c r="AW57" i="35"/>
  <c r="AT57" i="35"/>
  <c r="AP57" i="35"/>
  <c r="AO57" i="35"/>
  <c r="CK56" i="35"/>
  <c r="CL56" i="35" s="1"/>
  <c r="BR56" i="35"/>
  <c r="BM56" i="35"/>
  <c r="BO56" i="35" s="1"/>
  <c r="BP56" i="35" s="1"/>
  <c r="BI56" i="35"/>
  <c r="BJ56" i="35" s="1"/>
  <c r="DB18" i="35" s="1"/>
  <c r="BG56" i="35"/>
  <c r="AW56" i="35"/>
  <c r="AT56" i="35"/>
  <c r="BN18" i="35" s="1"/>
  <c r="AP56" i="35"/>
  <c r="AO56" i="35"/>
  <c r="CK55" i="35"/>
  <c r="CL55" i="35" s="1"/>
  <c r="BR55" i="35"/>
  <c r="BM55" i="35"/>
  <c r="BO55" i="35" s="1"/>
  <c r="BP55" i="35" s="1"/>
  <c r="BI55" i="35"/>
  <c r="BJ55" i="35" s="1"/>
  <c r="BG55" i="35"/>
  <c r="AW55" i="35"/>
  <c r="AT55" i="35"/>
  <c r="BN17" i="35" s="1"/>
  <c r="AP55" i="35"/>
  <c r="AO55" i="35"/>
  <c r="CK54" i="35"/>
  <c r="CL54" i="35" s="1"/>
  <c r="BR54" i="35"/>
  <c r="BM54" i="35"/>
  <c r="BO54" i="35" s="1"/>
  <c r="BP54" i="35" s="1"/>
  <c r="BI54" i="35"/>
  <c r="BJ54" i="35" s="1"/>
  <c r="DB16" i="35" s="1"/>
  <c r="BG54" i="35"/>
  <c r="AW54" i="35"/>
  <c r="AT54" i="35"/>
  <c r="BM16" i="35" s="1"/>
  <c r="AP54" i="35"/>
  <c r="AO54" i="35"/>
  <c r="CK53" i="35"/>
  <c r="CL53" i="35" s="1"/>
  <c r="BR53" i="35"/>
  <c r="BM53" i="35"/>
  <c r="BO53" i="35" s="1"/>
  <c r="BP53" i="35" s="1"/>
  <c r="BI53" i="35"/>
  <c r="BJ53" i="35" s="1"/>
  <c r="BG53" i="35"/>
  <c r="AW53" i="35"/>
  <c r="AT53" i="35"/>
  <c r="BN15" i="35" s="1"/>
  <c r="AP53" i="35"/>
  <c r="AQ53" i="35" s="1"/>
  <c r="AO53" i="35"/>
  <c r="CK52" i="35"/>
  <c r="CL52" i="35" s="1"/>
  <c r="BR52" i="35"/>
  <c r="BO52" i="35"/>
  <c r="BP52" i="35" s="1"/>
  <c r="BM52" i="35"/>
  <c r="BJ52" i="35"/>
  <c r="BI52" i="35"/>
  <c r="BG52" i="35"/>
  <c r="AW52" i="35"/>
  <c r="AT52" i="35"/>
  <c r="AP52" i="35"/>
  <c r="AO52" i="35"/>
  <c r="V52" i="35"/>
  <c r="S52" i="35"/>
  <c r="R52" i="35"/>
  <c r="Q52" i="35"/>
  <c r="P52" i="35"/>
  <c r="O52" i="35"/>
  <c r="CK51" i="35"/>
  <c r="CL51" i="35" s="1"/>
  <c r="BR51" i="35"/>
  <c r="BM51" i="35"/>
  <c r="BO51" i="35" s="1"/>
  <c r="BP51" i="35" s="1"/>
  <c r="BJ51" i="35"/>
  <c r="BI51" i="35"/>
  <c r="BG51" i="35"/>
  <c r="AW51" i="35"/>
  <c r="AT51" i="35"/>
  <c r="BN13" i="35" s="1"/>
  <c r="AP51" i="35"/>
  <c r="AO51" i="35"/>
  <c r="V51" i="35"/>
  <c r="S51" i="35"/>
  <c r="R51" i="35"/>
  <c r="Q51" i="35"/>
  <c r="P51" i="35"/>
  <c r="O51" i="35"/>
  <c r="M43" i="35"/>
  <c r="M81" i="35" s="1"/>
  <c r="M41" i="35"/>
  <c r="M79" i="35" s="1"/>
  <c r="M39" i="35"/>
  <c r="M77" i="35" s="1"/>
  <c r="M37" i="35"/>
  <c r="M75" i="35" s="1"/>
  <c r="CZ36" i="35"/>
  <c r="CY36" i="35"/>
  <c r="CX36" i="35"/>
  <c r="BY36" i="35"/>
  <c r="BZ36" i="35" s="1"/>
  <c r="BU36" i="35"/>
  <c r="BT36" i="35"/>
  <c r="BI36" i="35"/>
  <c r="BJ36" i="35" s="1"/>
  <c r="DA36" i="35" s="1"/>
  <c r="BG36" i="35"/>
  <c r="AX36" i="35"/>
  <c r="AR36" i="35"/>
  <c r="DA35" i="35"/>
  <c r="CZ35" i="35"/>
  <c r="CY35" i="35"/>
  <c r="CX35" i="35"/>
  <c r="BY35" i="35"/>
  <c r="BZ35" i="35" s="1"/>
  <c r="BT35" i="35"/>
  <c r="BU35" i="35" s="1"/>
  <c r="BI35" i="35"/>
  <c r="BJ35" i="35" s="1"/>
  <c r="BG35" i="35"/>
  <c r="AN35" i="35"/>
  <c r="AZ35" i="35" s="1"/>
  <c r="BL35" i="35" s="1"/>
  <c r="BX35" i="35" s="1"/>
  <c r="CJ35" i="35" s="1"/>
  <c r="M35" i="35"/>
  <c r="M73" i="35" s="1"/>
  <c r="AN73" i="35" s="1"/>
  <c r="AZ73" i="35" s="1"/>
  <c r="BL73" i="35" s="1"/>
  <c r="DB34" i="35"/>
  <c r="CZ34" i="35"/>
  <c r="CY34" i="35"/>
  <c r="CX34" i="35"/>
  <c r="CN34" i="35"/>
  <c r="CM34" i="35"/>
  <c r="BZ34" i="35"/>
  <c r="BY34" i="35"/>
  <c r="BU34" i="35"/>
  <c r="BT34" i="35"/>
  <c r="BI34" i="35"/>
  <c r="BJ34" i="35" s="1"/>
  <c r="DA34" i="35" s="1"/>
  <c r="BG34" i="35"/>
  <c r="AX34" i="35"/>
  <c r="AW34" i="35"/>
  <c r="AR34" i="35"/>
  <c r="AP34" i="35"/>
  <c r="DB33" i="35"/>
  <c r="CZ33" i="35"/>
  <c r="CY33" i="35"/>
  <c r="CX33" i="35"/>
  <c r="CN33" i="35"/>
  <c r="CM33" i="35"/>
  <c r="CK33" i="35"/>
  <c r="BZ33" i="35"/>
  <c r="BY33" i="35"/>
  <c r="BT33" i="35"/>
  <c r="BU33" i="35" s="1"/>
  <c r="BI33" i="35"/>
  <c r="BJ33" i="35" s="1"/>
  <c r="DA33" i="35" s="1"/>
  <c r="BG33" i="35"/>
  <c r="AX33" i="35"/>
  <c r="AW33" i="35"/>
  <c r="AN33" i="35"/>
  <c r="AZ33" i="35" s="1"/>
  <c r="BL33" i="35" s="1"/>
  <c r="BX33" i="35" s="1"/>
  <c r="CJ33" i="35" s="1"/>
  <c r="BA33" i="35"/>
  <c r="BB33" i="35" s="1"/>
  <c r="BC33" i="35" s="1"/>
  <c r="BD33" i="35" s="1"/>
  <c r="BK33" i="35" s="1"/>
  <c r="AR33" i="35"/>
  <c r="M33" i="35"/>
  <c r="M71" i="35" s="1"/>
  <c r="AN71" i="35" s="1"/>
  <c r="AZ71" i="35" s="1"/>
  <c r="BL71" i="35" s="1"/>
  <c r="CZ32" i="35"/>
  <c r="CY32" i="35"/>
  <c r="CX32" i="35"/>
  <c r="BZ32" i="35"/>
  <c r="BY32" i="35"/>
  <c r="BU32" i="35"/>
  <c r="BT32" i="35"/>
  <c r="BI32" i="35"/>
  <c r="BJ32" i="35" s="1"/>
  <c r="DA32" i="35" s="1"/>
  <c r="BG32" i="35"/>
  <c r="DB31" i="35"/>
  <c r="CZ31" i="35"/>
  <c r="CY31" i="35"/>
  <c r="CX31" i="35"/>
  <c r="BZ31" i="35"/>
  <c r="BY31" i="35"/>
  <c r="BT31" i="35"/>
  <c r="BU31" i="35" s="1"/>
  <c r="BM31" i="35"/>
  <c r="BI31" i="35"/>
  <c r="BJ31" i="35" s="1"/>
  <c r="DA31" i="35" s="1"/>
  <c r="BG31" i="35"/>
  <c r="AX31" i="35"/>
  <c r="AW31" i="35"/>
  <c r="AN31" i="35"/>
  <c r="AZ31" i="35" s="1"/>
  <c r="CW31" i="35" s="1"/>
  <c r="M31" i="35"/>
  <c r="M69" i="35" s="1"/>
  <c r="CZ30" i="35"/>
  <c r="CY30" i="35"/>
  <c r="CX30" i="35"/>
  <c r="CN30" i="35"/>
  <c r="CM30" i="35"/>
  <c r="BZ30" i="35"/>
  <c r="BY30" i="35"/>
  <c r="BU30" i="35"/>
  <c r="BT30" i="35"/>
  <c r="BI30" i="35"/>
  <c r="BJ30" i="35" s="1"/>
  <c r="DA30" i="35" s="1"/>
  <c r="BG30" i="35"/>
  <c r="AX30" i="35"/>
  <c r="AW30" i="35"/>
  <c r="AR30" i="35"/>
  <c r="CZ29" i="35"/>
  <c r="CY29" i="35"/>
  <c r="CX29" i="35"/>
  <c r="CN29" i="35"/>
  <c r="CM29" i="35"/>
  <c r="BY29" i="35"/>
  <c r="BZ29" i="35" s="1"/>
  <c r="BU29" i="35"/>
  <c r="BT29" i="35"/>
  <c r="BJ29" i="35"/>
  <c r="DA29" i="35" s="1"/>
  <c r="BI29" i="35"/>
  <c r="BG29" i="35"/>
  <c r="AX29" i="35"/>
  <c r="AW29" i="35"/>
  <c r="AN29" i="35"/>
  <c r="AZ29" i="35" s="1"/>
  <c r="BL29" i="35" s="1"/>
  <c r="BX29" i="35" s="1"/>
  <c r="CJ29" i="35" s="1"/>
  <c r="CJ67" i="35" s="1"/>
  <c r="AV29" i="35"/>
  <c r="AR29" i="35"/>
  <c r="M29" i="35"/>
  <c r="M67" i="35" s="1"/>
  <c r="AN67" i="35" s="1"/>
  <c r="AZ67" i="35" s="1"/>
  <c r="BL67" i="35" s="1"/>
  <c r="CZ28" i="35"/>
  <c r="CY28" i="35"/>
  <c r="CX28" i="35"/>
  <c r="CN28" i="35"/>
  <c r="CM28" i="35"/>
  <c r="BY28" i="35"/>
  <c r="BZ28" i="35" s="1"/>
  <c r="BT28" i="35"/>
  <c r="BU28" i="35" s="1"/>
  <c r="BN28" i="35"/>
  <c r="BI28" i="35"/>
  <c r="BJ28" i="35" s="1"/>
  <c r="DA28" i="35" s="1"/>
  <c r="BG28" i="35"/>
  <c r="AX28" i="35"/>
  <c r="AW28" i="35"/>
  <c r="CZ27" i="35"/>
  <c r="CY27" i="35"/>
  <c r="CX27" i="35"/>
  <c r="CN27" i="35"/>
  <c r="CM27" i="35"/>
  <c r="CK27" i="35"/>
  <c r="BY27" i="35"/>
  <c r="BZ27" i="35" s="1"/>
  <c r="BT27" i="35"/>
  <c r="BU27" i="35" s="1"/>
  <c r="BI27" i="35"/>
  <c r="BJ27" i="35" s="1"/>
  <c r="DA27" i="35" s="1"/>
  <c r="BG27" i="35"/>
  <c r="AN27" i="35"/>
  <c r="AZ27" i="35" s="1"/>
  <c r="M27" i="35"/>
  <c r="M65" i="35" s="1"/>
  <c r="AN65" i="35" s="1"/>
  <c r="AZ65" i="35" s="1"/>
  <c r="BL65" i="35" s="1"/>
  <c r="DB26" i="35"/>
  <c r="CZ26" i="35"/>
  <c r="CY26" i="35"/>
  <c r="CX26" i="35"/>
  <c r="CN26" i="35"/>
  <c r="CM26" i="35"/>
  <c r="BY26" i="35"/>
  <c r="BZ26" i="35" s="1"/>
  <c r="BU26" i="35"/>
  <c r="BT26" i="35"/>
  <c r="BM26" i="35"/>
  <c r="BI26" i="35"/>
  <c r="BJ26" i="35" s="1"/>
  <c r="DA26" i="35" s="1"/>
  <c r="BG26" i="35"/>
  <c r="AX26" i="35"/>
  <c r="CZ25" i="35"/>
  <c r="CY25" i="35"/>
  <c r="CX25" i="35"/>
  <c r="CN25" i="35"/>
  <c r="CM25" i="35"/>
  <c r="CK25" i="35"/>
  <c r="BZ25" i="35"/>
  <c r="BY25" i="35"/>
  <c r="BT25" i="35"/>
  <c r="BU25" i="35" s="1"/>
  <c r="BI25" i="35"/>
  <c r="BJ25" i="35" s="1"/>
  <c r="DA25" i="35" s="1"/>
  <c r="BG25" i="35"/>
  <c r="AZ25" i="35"/>
  <c r="AW25" i="35"/>
  <c r="AN25" i="35"/>
  <c r="M25" i="35"/>
  <c r="M63" i="35" s="1"/>
  <c r="AN63" i="35" s="1"/>
  <c r="AZ63" i="35" s="1"/>
  <c r="BL63" i="35" s="1"/>
  <c r="CZ24" i="35"/>
  <c r="CY24" i="35"/>
  <c r="CX24" i="35"/>
  <c r="CN24" i="35"/>
  <c r="CM24" i="35"/>
  <c r="BZ24" i="35"/>
  <c r="BY24" i="35"/>
  <c r="BT24" i="35"/>
  <c r="BU24" i="35" s="1"/>
  <c r="BI24" i="35"/>
  <c r="BJ24" i="35" s="1"/>
  <c r="DA24" i="35" s="1"/>
  <c r="BG24" i="35"/>
  <c r="CZ23" i="35"/>
  <c r="CY23" i="35"/>
  <c r="CX23" i="35"/>
  <c r="CN23" i="35"/>
  <c r="CM23" i="35"/>
  <c r="BY23" i="35"/>
  <c r="BZ23" i="35" s="1"/>
  <c r="BT23" i="35"/>
  <c r="BU23" i="35" s="1"/>
  <c r="BM23" i="35"/>
  <c r="BI23" i="35"/>
  <c r="BJ23" i="35" s="1"/>
  <c r="DA23" i="35" s="1"/>
  <c r="BG23" i="35"/>
  <c r="AN23" i="35"/>
  <c r="AZ23" i="35" s="1"/>
  <c r="CW23" i="35" s="1"/>
  <c r="M23" i="35"/>
  <c r="M61" i="35" s="1"/>
  <c r="AN61" i="35" s="1"/>
  <c r="AZ61" i="35" s="1"/>
  <c r="BL61" i="35" s="1"/>
  <c r="CZ22" i="35"/>
  <c r="CY22" i="35"/>
  <c r="CX22" i="35"/>
  <c r="CN22" i="35"/>
  <c r="CM22" i="35"/>
  <c r="BY22" i="35"/>
  <c r="BZ22" i="35" s="1"/>
  <c r="BU22" i="35"/>
  <c r="BT22" i="35"/>
  <c r="BI22" i="35"/>
  <c r="BJ22" i="35" s="1"/>
  <c r="DA22" i="35" s="1"/>
  <c r="BG22" i="35"/>
  <c r="CZ21" i="35"/>
  <c r="CY21" i="35"/>
  <c r="CX21" i="35"/>
  <c r="CN21" i="35"/>
  <c r="CM21" i="35"/>
  <c r="BY21" i="35"/>
  <c r="BZ21" i="35" s="1"/>
  <c r="BT21" i="35"/>
  <c r="BU21" i="35" s="1"/>
  <c r="BI21" i="35"/>
  <c r="BJ21" i="35" s="1"/>
  <c r="DA21" i="35" s="1"/>
  <c r="BG21" i="35"/>
  <c r="AN21" i="35"/>
  <c r="AZ21" i="35" s="1"/>
  <c r="M21" i="35"/>
  <c r="M59" i="35" s="1"/>
  <c r="DB20" i="35"/>
  <c r="CZ20" i="35"/>
  <c r="CY20" i="35"/>
  <c r="CX20" i="35"/>
  <c r="CN20" i="35"/>
  <c r="CM20" i="35"/>
  <c r="BZ20" i="35"/>
  <c r="BY20" i="35"/>
  <c r="BT20" i="35"/>
  <c r="BU20" i="35" s="1"/>
  <c r="BI20" i="35"/>
  <c r="BJ20" i="35" s="1"/>
  <c r="DA20" i="35" s="1"/>
  <c r="BG20" i="35"/>
  <c r="AX20" i="35"/>
  <c r="CZ19" i="35"/>
  <c r="CY19" i="35"/>
  <c r="CX19" i="35"/>
  <c r="CN19" i="35"/>
  <c r="CM19" i="35"/>
  <c r="BZ19" i="35"/>
  <c r="BY19" i="35"/>
  <c r="BT19" i="35"/>
  <c r="BU19" i="35" s="1"/>
  <c r="BI19" i="35"/>
  <c r="BJ19" i="35" s="1"/>
  <c r="DA19" i="35" s="1"/>
  <c r="BG19" i="35"/>
  <c r="AZ19" i="35"/>
  <c r="CW19" i="35" s="1"/>
  <c r="AW19" i="35"/>
  <c r="AN19" i="35"/>
  <c r="M19" i="35"/>
  <c r="M57" i="35" s="1"/>
  <c r="CZ18" i="35"/>
  <c r="CY18" i="35"/>
  <c r="CX18" i="35"/>
  <c r="BY18" i="35"/>
  <c r="BZ18" i="35" s="1"/>
  <c r="BU18" i="35"/>
  <c r="BT18" i="35"/>
  <c r="BI18" i="35"/>
  <c r="BJ18" i="35" s="1"/>
  <c r="DA18" i="35" s="1"/>
  <c r="BG18" i="35"/>
  <c r="DB17" i="35"/>
  <c r="CZ17" i="35"/>
  <c r="CY17" i="35"/>
  <c r="CX17" i="35"/>
  <c r="BY17" i="35"/>
  <c r="BZ17" i="35" s="1"/>
  <c r="BT17" i="35"/>
  <c r="BU17" i="35" s="1"/>
  <c r="BI17" i="35"/>
  <c r="BJ17" i="35" s="1"/>
  <c r="DA17" i="35" s="1"/>
  <c r="BG17" i="35"/>
  <c r="AN17" i="35"/>
  <c r="AZ17" i="35" s="1"/>
  <c r="BL17" i="35" s="1"/>
  <c r="BX17" i="35" s="1"/>
  <c r="CJ17" i="35" s="1"/>
  <c r="CJ55" i="35" s="1"/>
  <c r="M17" i="35"/>
  <c r="M55" i="35" s="1"/>
  <c r="AN55" i="35" s="1"/>
  <c r="AZ55" i="35" s="1"/>
  <c r="BL55" i="35" s="1"/>
  <c r="CZ16" i="35"/>
  <c r="CY16" i="35"/>
  <c r="CX16" i="35"/>
  <c r="CN16" i="35"/>
  <c r="CM16" i="35"/>
  <c r="BZ16" i="35"/>
  <c r="BY16" i="35"/>
  <c r="BT16" i="35"/>
  <c r="BU16" i="35" s="1"/>
  <c r="BI16" i="35"/>
  <c r="BJ16" i="35" s="1"/>
  <c r="DA16" i="35" s="1"/>
  <c r="BG16" i="35"/>
  <c r="DB15" i="35"/>
  <c r="CZ15" i="35"/>
  <c r="CY15" i="35"/>
  <c r="CX15" i="35"/>
  <c r="CN15" i="35"/>
  <c r="CM15" i="35"/>
  <c r="CO15" i="35" s="1"/>
  <c r="CK15" i="35"/>
  <c r="BZ15" i="35"/>
  <c r="BY15" i="35"/>
  <c r="BU15" i="35"/>
  <c r="BT15" i="35"/>
  <c r="BI15" i="35"/>
  <c r="BJ15" i="35" s="1"/>
  <c r="DA15" i="35" s="1"/>
  <c r="BG15" i="35"/>
  <c r="AN15" i="35"/>
  <c r="AZ15" i="35" s="1"/>
  <c r="BL15" i="35" s="1"/>
  <c r="BX15" i="35" s="1"/>
  <c r="CJ15" i="35" s="1"/>
  <c r="CJ53" i="35" s="1"/>
  <c r="M15" i="35"/>
  <c r="M53" i="35" s="1"/>
  <c r="DB14" i="35"/>
  <c r="CZ14" i="35"/>
  <c r="CY14" i="35"/>
  <c r="CX14" i="35"/>
  <c r="BY14" i="35"/>
  <c r="BZ14" i="35" s="1"/>
  <c r="BT14" i="35"/>
  <c r="BU14" i="35" s="1"/>
  <c r="BM14" i="35"/>
  <c r="BI14" i="35"/>
  <c r="BJ14" i="35" s="1"/>
  <c r="DA14" i="35" s="1"/>
  <c r="BG14" i="35"/>
  <c r="AH14" i="35"/>
  <c r="AJ14" i="35" s="1"/>
  <c r="X14" i="35"/>
  <c r="W14" i="35"/>
  <c r="V14" i="35"/>
  <c r="T52" i="35" s="1"/>
  <c r="AP14" i="35" s="1"/>
  <c r="DB13" i="35"/>
  <c r="CZ13" i="35"/>
  <c r="CY13" i="35"/>
  <c r="CX13" i="35"/>
  <c r="CW13" i="35"/>
  <c r="BY13" i="35"/>
  <c r="BZ13" i="35" s="1"/>
  <c r="BX13" i="35"/>
  <c r="CJ13" i="35" s="1"/>
  <c r="CJ51" i="35" s="1"/>
  <c r="BT13" i="35"/>
  <c r="BU13" i="35" s="1"/>
  <c r="BL13" i="35"/>
  <c r="BI13" i="35"/>
  <c r="BJ13" i="35" s="1"/>
  <c r="DA13" i="35" s="1"/>
  <c r="BG13" i="35"/>
  <c r="AZ13" i="35"/>
  <c r="AN13" i="35"/>
  <c r="AH13" i="35"/>
  <c r="AJ13" i="35" s="1"/>
  <c r="X13" i="35"/>
  <c r="W13" i="35"/>
  <c r="N51" i="35" s="1"/>
  <c r="AV13" i="35" s="1"/>
  <c r="V13" i="35"/>
  <c r="T51" i="35" s="1"/>
  <c r="AP13" i="35" s="1"/>
  <c r="M13" i="35"/>
  <c r="M51" i="35" s="1"/>
  <c r="Y51" i="35" s="1"/>
  <c r="AN51" i="35" s="1"/>
  <c r="AZ51" i="35" s="1"/>
  <c r="BL51" i="35" s="1"/>
  <c r="O8" i="35"/>
  <c r="T6" i="35"/>
  <c r="J4" i="35"/>
  <c r="V4" i="35" s="1"/>
  <c r="AR3" i="35"/>
  <c r="V3" i="35"/>
  <c r="AW3" i="35" s="1"/>
  <c r="Q3" i="35"/>
  <c r="AC3" i="35" s="1"/>
  <c r="BD3" i="35" s="1"/>
  <c r="BP3" i="35" s="1"/>
  <c r="CB3" i="35" s="1"/>
  <c r="CN3" i="35" s="1"/>
  <c r="E3" i="35"/>
  <c r="E1" i="35"/>
  <c r="Q1" i="35" s="1"/>
  <c r="O51" i="34"/>
  <c r="W13" i="34"/>
  <c r="V13" i="34"/>
  <c r="AH14" i="34"/>
  <c r="AH17" i="34"/>
  <c r="AH18" i="34"/>
  <c r="AH21" i="34"/>
  <c r="AH22" i="34"/>
  <c r="AH27" i="34"/>
  <c r="AH28" i="34"/>
  <c r="AH31" i="34"/>
  <c r="AH32" i="34"/>
  <c r="AH35" i="34"/>
  <c r="AH36" i="34"/>
  <c r="AH13" i="34"/>
  <c r="AN33" i="34"/>
  <c r="AN35" i="34"/>
  <c r="AI66" i="37" l="1"/>
  <c r="AJ66" i="37" s="1"/>
  <c r="BH65" i="37"/>
  <c r="CJ59" i="37"/>
  <c r="S107" i="37"/>
  <c r="AL15" i="37"/>
  <c r="BL36" i="37"/>
  <c r="BM36" i="37" s="1"/>
  <c r="BQ74" i="37" s="1"/>
  <c r="CM36" i="37" s="1"/>
  <c r="BL14" i="37"/>
  <c r="BM14" i="37" s="1"/>
  <c r="BQ52" i="37" s="1"/>
  <c r="CM14" i="37" s="1"/>
  <c r="CI19" i="37"/>
  <c r="AR14" i="37"/>
  <c r="AX15" i="37"/>
  <c r="AY15" i="37" s="1"/>
  <c r="AZ15" i="37" s="1"/>
  <c r="BA15" i="37" s="1"/>
  <c r="BH15" i="37" s="1"/>
  <c r="AH64" i="37"/>
  <c r="AL18" i="37"/>
  <c r="AX56" i="37"/>
  <c r="AY56" i="37" s="1"/>
  <c r="AZ56" i="37" s="1"/>
  <c r="BA56" i="37" s="1"/>
  <c r="BH56" i="37" s="1"/>
  <c r="AS18" i="37"/>
  <c r="CI13" i="37"/>
  <c r="CK13" i="37" s="1"/>
  <c r="AR13" i="37"/>
  <c r="AS13" i="37"/>
  <c r="AG53" i="37"/>
  <c r="AI53" i="37"/>
  <c r="AE13" i="37"/>
  <c r="Z89" i="37" s="1"/>
  <c r="AG51" i="37"/>
  <c r="BP51" i="37"/>
  <c r="S126" i="37"/>
  <c r="AD14" i="37"/>
  <c r="Y90" i="37" s="1"/>
  <c r="BP52" i="37"/>
  <c r="BY14" i="37" s="1"/>
  <c r="BZ14" i="37" s="1"/>
  <c r="AX14" i="37"/>
  <c r="AY14" i="37" s="1"/>
  <c r="AZ14" i="37" s="1"/>
  <c r="BA14" i="37" s="1"/>
  <c r="BE14" i="37" s="1"/>
  <c r="AP52" i="37"/>
  <c r="AE14" i="37"/>
  <c r="Z90" i="37" s="1"/>
  <c r="AS14" i="37"/>
  <c r="CI14" i="37"/>
  <c r="CJ14" i="37" s="1"/>
  <c r="AI52" i="37"/>
  <c r="AX52" i="37"/>
  <c r="AY52" i="37" s="1"/>
  <c r="AZ52" i="37" s="1"/>
  <c r="BA52" i="37" s="1"/>
  <c r="BH52" i="37" s="1"/>
  <c r="AL14" i="37"/>
  <c r="AG52" i="37"/>
  <c r="S105" i="37"/>
  <c r="AX13" i="37"/>
  <c r="AY13" i="37" s="1"/>
  <c r="AZ13" i="37" s="1"/>
  <c r="BA13" i="37" s="1"/>
  <c r="BH13" i="37" s="1"/>
  <c r="AL13" i="37"/>
  <c r="AX51" i="37"/>
  <c r="AY51" i="37" s="1"/>
  <c r="AZ51" i="37" s="1"/>
  <c r="BA51" i="37" s="1"/>
  <c r="AP51" i="37"/>
  <c r="AI51" i="37"/>
  <c r="AE35" i="37"/>
  <c r="AP56" i="37"/>
  <c r="AP60" i="37"/>
  <c r="AD15" i="37"/>
  <c r="AF15" i="37" s="1"/>
  <c r="AD18" i="37"/>
  <c r="Y94" i="37" s="1"/>
  <c r="AX53" i="37"/>
  <c r="AY53" i="37" s="1"/>
  <c r="AZ53" i="37" s="1"/>
  <c r="BA53" i="37" s="1"/>
  <c r="BH53" i="37" s="1"/>
  <c r="AI56" i="37"/>
  <c r="AS35" i="37"/>
  <c r="AD35" i="37"/>
  <c r="Y111" i="37" s="1"/>
  <c r="AS15" i="37"/>
  <c r="AG56" i="37"/>
  <c r="AR35" i="37"/>
  <c r="AR18" i="37"/>
  <c r="AX73" i="37"/>
  <c r="AY73" i="37" s="1"/>
  <c r="AZ73" i="37" s="1"/>
  <c r="BA73" i="37" s="1"/>
  <c r="BH73" i="37" s="1"/>
  <c r="AI73" i="37"/>
  <c r="AX35" i="37"/>
  <c r="AY35" i="37" s="1"/>
  <c r="AZ35" i="37" s="1"/>
  <c r="BA35" i="37" s="1"/>
  <c r="BH35" i="37" s="1"/>
  <c r="AS22" i="37"/>
  <c r="AI60" i="37"/>
  <c r="AB15" i="37"/>
  <c r="AP53" i="37"/>
  <c r="AG60" i="37"/>
  <c r="AE18" i="37"/>
  <c r="AR15" i="37"/>
  <c r="AD23" i="37"/>
  <c r="AF23" i="37" s="1"/>
  <c r="AX23" i="37"/>
  <c r="AY23" i="37" s="1"/>
  <c r="AZ23" i="37" s="1"/>
  <c r="BA23" i="37" s="1"/>
  <c r="BH23" i="37" s="1"/>
  <c r="AP70" i="37"/>
  <c r="AR23" i="37"/>
  <c r="AX60" i="37"/>
  <c r="AY60" i="37" s="1"/>
  <c r="AZ60" i="37" s="1"/>
  <c r="BA60" i="37" s="1"/>
  <c r="BH60" i="37" s="1"/>
  <c r="AG73" i="37"/>
  <c r="CI18" i="37"/>
  <c r="CJ18" i="37" s="1"/>
  <c r="CI35" i="37"/>
  <c r="CJ35" i="37" s="1"/>
  <c r="AD22" i="37"/>
  <c r="Y98" i="37" s="1"/>
  <c r="AX22" i="37"/>
  <c r="AY22" i="37" s="1"/>
  <c r="AZ22" i="37" s="1"/>
  <c r="BA22" i="37" s="1"/>
  <c r="BH22" i="37" s="1"/>
  <c r="AP73" i="37"/>
  <c r="AP61" i="37"/>
  <c r="AE22" i="37"/>
  <c r="Z98" i="37" s="1"/>
  <c r="AS21" i="37"/>
  <c r="AP55" i="37"/>
  <c r="AR22" i="37"/>
  <c r="AE23" i="37"/>
  <c r="AS23" i="37"/>
  <c r="BP61" i="37"/>
  <c r="BY23" i="37" s="1"/>
  <c r="BZ23" i="37" s="1"/>
  <c r="AL21" i="37"/>
  <c r="AD17" i="37"/>
  <c r="AF17" i="37" s="1"/>
  <c r="AX68" i="37"/>
  <c r="AY68" i="37" s="1"/>
  <c r="AZ68" i="37" s="1"/>
  <c r="BA68" i="37" s="1"/>
  <c r="BH68" i="37" s="1"/>
  <c r="BP70" i="37"/>
  <c r="BY32" i="37" s="1"/>
  <c r="BZ32" i="37" s="1"/>
  <c r="AD21" i="37"/>
  <c r="AG59" i="37"/>
  <c r="AX17" i="37"/>
  <c r="AY17" i="37" s="1"/>
  <c r="AZ17" i="37" s="1"/>
  <c r="BA17" i="37" s="1"/>
  <c r="BH17" i="37" s="1"/>
  <c r="AR30" i="37"/>
  <c r="AV30" i="37" s="1"/>
  <c r="AE21" i="37"/>
  <c r="Z21" i="37" s="1"/>
  <c r="AD30" i="37"/>
  <c r="Y106" i="37" s="1"/>
  <c r="BY21" i="37"/>
  <c r="BZ21" i="37" s="1"/>
  <c r="AS17" i="37"/>
  <c r="AR21" i="37"/>
  <c r="AR17" i="37"/>
  <c r="AI61" i="37"/>
  <c r="BL17" i="37"/>
  <c r="BM17" i="37" s="1"/>
  <c r="BQ55" i="37" s="1"/>
  <c r="CM17" i="37" s="1"/>
  <c r="AD13" i="37"/>
  <c r="AF13" i="37" s="1"/>
  <c r="BL13" i="37"/>
  <c r="BM13" i="37" s="1"/>
  <c r="BQ51" i="37" s="1"/>
  <c r="CM13" i="37" s="1"/>
  <c r="AX70" i="37"/>
  <c r="AY70" i="37" s="1"/>
  <c r="AZ70" i="37" s="1"/>
  <c r="BA70" i="37" s="1"/>
  <c r="BH70" i="37" s="1"/>
  <c r="AR28" i="37"/>
  <c r="AE17" i="37"/>
  <c r="Z93" i="37" s="1"/>
  <c r="AI59" i="37"/>
  <c r="AX55" i="37"/>
  <c r="AY55" i="37" s="1"/>
  <c r="AZ55" i="37" s="1"/>
  <c r="BA55" i="37" s="1"/>
  <c r="BH55" i="37" s="1"/>
  <c r="AG70" i="37"/>
  <c r="AP59" i="37"/>
  <c r="AS31" i="37"/>
  <c r="AS32" i="37"/>
  <c r="AE30" i="37"/>
  <c r="AG30" i="37" s="1"/>
  <c r="BP55" i="37"/>
  <c r="BY17" i="37" s="1"/>
  <c r="BZ17" i="37" s="1"/>
  <c r="BP68" i="37"/>
  <c r="BY30" i="37" s="1"/>
  <c r="BZ30" i="37" s="1"/>
  <c r="CI17" i="37"/>
  <c r="CJ17" i="37" s="1"/>
  <c r="AG55" i="37"/>
  <c r="AX30" i="37"/>
  <c r="AY30" i="37" s="1"/>
  <c r="AZ30" i="37" s="1"/>
  <c r="BA30" i="37" s="1"/>
  <c r="BH30" i="37" s="1"/>
  <c r="AX21" i="37"/>
  <c r="AY21" i="37" s="1"/>
  <c r="AZ21" i="37" s="1"/>
  <c r="BA21" i="37" s="1"/>
  <c r="BE21" i="37" s="1"/>
  <c r="AL25" i="37"/>
  <c r="BX28" i="37"/>
  <c r="AM32" i="37"/>
  <c r="AO34" i="37"/>
  <c r="BP69" i="37"/>
  <c r="BY31" i="37" s="1"/>
  <c r="BZ31" i="37" s="1"/>
  <c r="AI55" i="37"/>
  <c r="AR32" i="37"/>
  <c r="AI74" i="37"/>
  <c r="AL23" i="37"/>
  <c r="AD29" i="37"/>
  <c r="AG61" i="37"/>
  <c r="CI29" i="37"/>
  <c r="AD32" i="37"/>
  <c r="Y108" i="37" s="1"/>
  <c r="AP69" i="37"/>
  <c r="AL29" i="37"/>
  <c r="AP29" i="37" s="1"/>
  <c r="AQ29" i="37" s="1"/>
  <c r="AN34" i="37"/>
  <c r="AX64" i="37"/>
  <c r="AY64" i="37" s="1"/>
  <c r="AZ64" i="37" s="1"/>
  <c r="BA64" i="37" s="1"/>
  <c r="BH64" i="37" s="1"/>
  <c r="AD27" i="37"/>
  <c r="AX61" i="37"/>
  <c r="AY61" i="37" s="1"/>
  <c r="AZ61" i="37" s="1"/>
  <c r="BA61" i="37" s="1"/>
  <c r="BH61" i="37" s="1"/>
  <c r="AD16" i="37"/>
  <c r="AF16" i="37" s="1"/>
  <c r="AX67" i="37"/>
  <c r="AY67" i="37" s="1"/>
  <c r="AZ67" i="37" s="1"/>
  <c r="BA67" i="37" s="1"/>
  <c r="BH67" i="37" s="1"/>
  <c r="AE27" i="37"/>
  <c r="Z103" i="37" s="1"/>
  <c r="AR27" i="37"/>
  <c r="AR36" i="37"/>
  <c r="AP74" i="37"/>
  <c r="AP65" i="37"/>
  <c r="AL36" i="37"/>
  <c r="AB34" i="37"/>
  <c r="BE18" i="37"/>
  <c r="AL27" i="37"/>
  <c r="AD34" i="37"/>
  <c r="AF34" i="37" s="1"/>
  <c r="AS36" i="37"/>
  <c r="AE34" i="37"/>
  <c r="AG34" i="37" s="1"/>
  <c r="BP63" i="37"/>
  <c r="BY25" i="37" s="1"/>
  <c r="BZ25" i="37" s="1"/>
  <c r="CI26" i="37"/>
  <c r="BL25" i="37"/>
  <c r="BM25" i="37" s="1"/>
  <c r="BQ63" i="37" s="1"/>
  <c r="CM25" i="37" s="1"/>
  <c r="AX72" i="37"/>
  <c r="AY72" i="37" s="1"/>
  <c r="AZ72" i="37" s="1"/>
  <c r="BA72" i="37" s="1"/>
  <c r="BH72" i="37" s="1"/>
  <c r="AN35" i="37"/>
  <c r="AE36" i="37"/>
  <c r="Z112" i="37" s="1"/>
  <c r="BP74" i="37"/>
  <c r="AI65" i="37"/>
  <c r="AG65" i="37"/>
  <c r="AX25" i="37"/>
  <c r="AY25" i="37" s="1"/>
  <c r="AZ25" i="37" s="1"/>
  <c r="BA25" i="37" s="1"/>
  <c r="BH25" i="37" s="1"/>
  <c r="AR34" i="37"/>
  <c r="AS27" i="37"/>
  <c r="BY22" i="37"/>
  <c r="BZ22" i="37" s="1"/>
  <c r="AX36" i="37"/>
  <c r="AY36" i="37" s="1"/>
  <c r="AZ36" i="37" s="1"/>
  <c r="BA36" i="37" s="1"/>
  <c r="BE36" i="37" s="1"/>
  <c r="CI36" i="37"/>
  <c r="CJ36" i="37" s="1"/>
  <c r="AM19" i="37"/>
  <c r="AX74" i="37"/>
  <c r="AY74" i="37" s="1"/>
  <c r="AZ74" i="37" s="1"/>
  <c r="BA74" i="37" s="1"/>
  <c r="BH74" i="37" s="1"/>
  <c r="CI25" i="37"/>
  <c r="AD36" i="37"/>
  <c r="Y112" i="37" s="1"/>
  <c r="AP64" i="37"/>
  <c r="AD25" i="37"/>
  <c r="AF25" i="37" s="1"/>
  <c r="AX34" i="37"/>
  <c r="AY34" i="37" s="1"/>
  <c r="AZ34" i="37" s="1"/>
  <c r="BA34" i="37" s="1"/>
  <c r="BH34" i="37" s="1"/>
  <c r="BL29" i="37"/>
  <c r="BM29" i="37" s="1"/>
  <c r="BQ67" i="37" s="1"/>
  <c r="CM29" i="37" s="1"/>
  <c r="AX27" i="37"/>
  <c r="AY27" i="37" s="1"/>
  <c r="AZ27" i="37" s="1"/>
  <c r="BA27" i="37" s="1"/>
  <c r="BE27" i="37" s="1"/>
  <c r="AX26" i="37"/>
  <c r="AY26" i="37" s="1"/>
  <c r="AZ26" i="37" s="1"/>
  <c r="BA26" i="37" s="1"/>
  <c r="BH26" i="37" s="1"/>
  <c r="AG74" i="37"/>
  <c r="AN19" i="37"/>
  <c r="BH29" i="37"/>
  <c r="BE29" i="37"/>
  <c r="AG67" i="37"/>
  <c r="AP67" i="37"/>
  <c r="AB29" i="37"/>
  <c r="BL31" i="37"/>
  <c r="BM31" i="37" s="1"/>
  <c r="BQ69" i="37" s="1"/>
  <c r="CM31" i="37" s="1"/>
  <c r="AS28" i="37"/>
  <c r="AE29" i="37"/>
  <c r="AG29" i="37" s="1"/>
  <c r="AX69" i="37"/>
  <c r="AY69" i="37" s="1"/>
  <c r="AZ69" i="37" s="1"/>
  <c r="BA69" i="37" s="1"/>
  <c r="BH69" i="37" s="1"/>
  <c r="AL28" i="37"/>
  <c r="AR29" i="37"/>
  <c r="AN25" i="37"/>
  <c r="AX32" i="37"/>
  <c r="AY32" i="37" s="1"/>
  <c r="AZ32" i="37" s="1"/>
  <c r="BA32" i="37" s="1"/>
  <c r="BH32" i="37" s="1"/>
  <c r="AL16" i="37"/>
  <c r="AP16" i="37" s="1"/>
  <c r="AQ16" i="37" s="1"/>
  <c r="BL30" i="37"/>
  <c r="BM30" i="37" s="1"/>
  <c r="BQ68" i="37" s="1"/>
  <c r="CM30" i="37" s="1"/>
  <c r="AG68" i="37"/>
  <c r="AG66" i="37"/>
  <c r="BP67" i="37"/>
  <c r="BY29" i="37" s="1"/>
  <c r="BZ29" i="37" s="1"/>
  <c r="AO25" i="37"/>
  <c r="AE32" i="37"/>
  <c r="Z108" i="37" s="1"/>
  <c r="AB25" i="37"/>
  <c r="BP72" i="37"/>
  <c r="BY34" i="37" s="1"/>
  <c r="BZ34" i="37" s="1"/>
  <c r="AL30" i="37"/>
  <c r="AI67" i="37"/>
  <c r="CI30" i="37"/>
  <c r="AL26" i="37"/>
  <c r="AS29" i="37"/>
  <c r="AN24" i="37"/>
  <c r="AI70" i="37"/>
  <c r="AB16" i="37"/>
  <c r="AL31" i="37"/>
  <c r="AP31" i="37" s="1"/>
  <c r="AQ31" i="37" s="1"/>
  <c r="CI32" i="37"/>
  <c r="CJ70" i="37" s="1"/>
  <c r="AP63" i="37"/>
  <c r="AI68" i="37"/>
  <c r="AB26" i="37"/>
  <c r="AG69" i="37"/>
  <c r="AD31" i="37"/>
  <c r="AB69" i="37" s="1"/>
  <c r="AL32" i="37"/>
  <c r="BP73" i="37"/>
  <c r="BY35" i="37" s="1"/>
  <c r="BZ35" i="37" s="1"/>
  <c r="BE65" i="37"/>
  <c r="AG72" i="37"/>
  <c r="AP68" i="37"/>
  <c r="AR31" i="37"/>
  <c r="AB30" i="37"/>
  <c r="AM35" i="37"/>
  <c r="S108" i="37"/>
  <c r="S110" i="37" s="1"/>
  <c r="S114" i="37" s="1"/>
  <c r="AN36" i="37"/>
  <c r="AP15" i="37"/>
  <c r="AQ15" i="37" s="1"/>
  <c r="BE59" i="37"/>
  <c r="AE28" i="37"/>
  <c r="AG28" i="37" s="1"/>
  <c r="AG54" i="37"/>
  <c r="AG63" i="37"/>
  <c r="CI34" i="37"/>
  <c r="AI63" i="37"/>
  <c r="BL34" i="37"/>
  <c r="BM34" i="37" s="1"/>
  <c r="BQ72" i="37" s="1"/>
  <c r="CM34" i="37" s="1"/>
  <c r="AX16" i="37"/>
  <c r="AY16" i="37" s="1"/>
  <c r="AZ16" i="37" s="1"/>
  <c r="BA16" i="37" s="1"/>
  <c r="BH16" i="37" s="1"/>
  <c r="AL34" i="37"/>
  <c r="CJ65" i="37"/>
  <c r="AX28" i="37"/>
  <c r="AY28" i="37" s="1"/>
  <c r="AZ28" i="37" s="1"/>
  <c r="BA28" i="37" s="1"/>
  <c r="BH28" i="37" s="1"/>
  <c r="AX31" i="37"/>
  <c r="AY31" i="37" s="1"/>
  <c r="AZ31" i="37" s="1"/>
  <c r="BA31" i="37" s="1"/>
  <c r="BH31" i="37" s="1"/>
  <c r="AI64" i="37"/>
  <c r="AS26" i="37"/>
  <c r="AR26" i="37"/>
  <c r="AE26" i="37"/>
  <c r="AD26" i="37"/>
  <c r="CI31" i="37"/>
  <c r="CJ31" i="37" s="1"/>
  <c r="BL35" i="37"/>
  <c r="BM35" i="37" s="1"/>
  <c r="BQ73" i="37" s="1"/>
  <c r="CM35" i="37" s="1"/>
  <c r="AS34" i="37"/>
  <c r="AI54" i="37"/>
  <c r="AI72" i="37"/>
  <c r="BS36" i="37"/>
  <c r="BL26" i="37"/>
  <c r="BM26" i="37" s="1"/>
  <c r="BQ64" i="37" s="1"/>
  <c r="CM26" i="37" s="1"/>
  <c r="AS19" i="37"/>
  <c r="AR19" i="37"/>
  <c r="AL19" i="37"/>
  <c r="CI15" i="37"/>
  <c r="AG57" i="37"/>
  <c r="BL15" i="37"/>
  <c r="BY27" i="37"/>
  <c r="BZ27" i="37" s="1"/>
  <c r="BP53" i="37"/>
  <c r="AM26" i="37"/>
  <c r="AB19" i="37"/>
  <c r="AX66" i="37"/>
  <c r="AY66" i="37" s="1"/>
  <c r="AZ66" i="37" s="1"/>
  <c r="BA66" i="37" s="1"/>
  <c r="AX57" i="37"/>
  <c r="AY57" i="37" s="1"/>
  <c r="AZ57" i="37" s="1"/>
  <c r="BA57" i="37" s="1"/>
  <c r="AE19" i="37"/>
  <c r="AG19" i="37" s="1"/>
  <c r="AD19" i="37"/>
  <c r="AX54" i="37"/>
  <c r="AY54" i="37" s="1"/>
  <c r="AZ54" i="37" s="1"/>
  <c r="BA54" i="37" s="1"/>
  <c r="BH54" i="37" s="1"/>
  <c r="CI23" i="37"/>
  <c r="CI16" i="37"/>
  <c r="AP57" i="37"/>
  <c r="AX19" i="37"/>
  <c r="AY19" i="37" s="1"/>
  <c r="AZ19" i="37" s="1"/>
  <c r="BA19" i="37" s="1"/>
  <c r="BH19" i="37" s="1"/>
  <c r="AM36" i="37"/>
  <c r="AP66" i="37"/>
  <c r="AO30" i="37"/>
  <c r="AM30" i="37"/>
  <c r="BL16" i="37"/>
  <c r="BM16" i="37" s="1"/>
  <c r="BQ54" i="37" s="1"/>
  <c r="CM16" i="37" s="1"/>
  <c r="BP57" i="37"/>
  <c r="BY19" i="37" s="1"/>
  <c r="BZ19" i="37" s="1"/>
  <c r="AI57" i="37"/>
  <c r="AN30" i="37"/>
  <c r="BL19" i="37"/>
  <c r="BM19" i="37" s="1"/>
  <c r="BQ57" i="37" s="1"/>
  <c r="CM19" i="37" s="1"/>
  <c r="AX63" i="37"/>
  <c r="AY63" i="37" s="1"/>
  <c r="AZ63" i="37" s="1"/>
  <c r="BA63" i="37" s="1"/>
  <c r="AS25" i="37"/>
  <c r="AR25" i="37"/>
  <c r="AD28" i="37"/>
  <c r="AI69" i="37"/>
  <c r="AP54" i="37"/>
  <c r="BL18" i="37"/>
  <c r="BM18" i="37" s="1"/>
  <c r="BQ56" i="37" s="1"/>
  <c r="CM18" i="37" s="1"/>
  <c r="AR16" i="37"/>
  <c r="AV16" i="37" s="1"/>
  <c r="AE16" i="37"/>
  <c r="BS22" i="37"/>
  <c r="AE33" i="37"/>
  <c r="AG33" i="37" s="1"/>
  <c r="Z101" i="37"/>
  <c r="AP62" i="37"/>
  <c r="AP71" i="37"/>
  <c r="Z91" i="37"/>
  <c r="AG58" i="37"/>
  <c r="AR20" i="37"/>
  <c r="AB20" i="37"/>
  <c r="AS20" i="37"/>
  <c r="AX58" i="37"/>
  <c r="AY58" i="37" s="1"/>
  <c r="AZ58" i="37" s="1"/>
  <c r="BA58" i="37" s="1"/>
  <c r="AL20" i="37"/>
  <c r="AP20" i="37" s="1"/>
  <c r="AQ20" i="37" s="1"/>
  <c r="AX20" i="37"/>
  <c r="AY20" i="37" s="1"/>
  <c r="AZ20" i="37" s="1"/>
  <c r="BA20" i="37" s="1"/>
  <c r="AD20" i="37"/>
  <c r="BL20" i="37"/>
  <c r="AI58" i="37"/>
  <c r="AO23" i="37"/>
  <c r="AM23" i="37"/>
  <c r="AN23" i="37"/>
  <c r="AF33" i="37"/>
  <c r="BP56" i="37"/>
  <c r="AF24" i="37"/>
  <c r="BP54" i="37"/>
  <c r="BY16" i="37" s="1"/>
  <c r="BZ16" i="37" s="1"/>
  <c r="AO22" i="37"/>
  <c r="AM22" i="37"/>
  <c r="BX27" i="37"/>
  <c r="Z31" i="37"/>
  <c r="AG31" i="37"/>
  <c r="AN27" i="37"/>
  <c r="Y109" i="37"/>
  <c r="AS33" i="37"/>
  <c r="AR33" i="37"/>
  <c r="AX71" i="37"/>
  <c r="AY71" i="37" s="1"/>
  <c r="AZ71" i="37" s="1"/>
  <c r="BA71" i="37" s="1"/>
  <c r="AB33" i="37"/>
  <c r="AG71" i="37"/>
  <c r="AL33" i="37"/>
  <c r="AP33" i="37" s="1"/>
  <c r="AQ33" i="37" s="1"/>
  <c r="AX33" i="37"/>
  <c r="AY33" i="37" s="1"/>
  <c r="AZ33" i="37" s="1"/>
  <c r="BA33" i="37" s="1"/>
  <c r="AI71" i="37"/>
  <c r="BX22" i="37"/>
  <c r="AE20" i="37"/>
  <c r="AG20" i="37" s="1"/>
  <c r="AN14" i="37"/>
  <c r="AO17" i="37"/>
  <c r="AM17" i="37"/>
  <c r="BS28" i="37"/>
  <c r="Z107" i="37"/>
  <c r="AO18" i="37"/>
  <c r="AM18" i="37"/>
  <c r="CI33" i="37"/>
  <c r="CI20" i="37"/>
  <c r="AN26" i="37"/>
  <c r="AO21" i="37"/>
  <c r="AM21" i="37"/>
  <c r="BY28" i="37"/>
  <c r="BZ28" i="37" s="1"/>
  <c r="AM28" i="37"/>
  <c r="AO28" i="37"/>
  <c r="AM24" i="37"/>
  <c r="AB24" i="37"/>
  <c r="AI62" i="37"/>
  <c r="BL24" i="37"/>
  <c r="Y100" i="37"/>
  <c r="AL24" i="37"/>
  <c r="AE24" i="37"/>
  <c r="AG24" i="37" s="1"/>
  <c r="AS24" i="37"/>
  <c r="BP62" i="37"/>
  <c r="BY24" i="37" s="1"/>
  <c r="BZ24" i="37" s="1"/>
  <c r="AR24" i="37"/>
  <c r="AX62" i="37"/>
  <c r="AY62" i="37" s="1"/>
  <c r="AZ62" i="37" s="1"/>
  <c r="BA62" i="37" s="1"/>
  <c r="CI24" i="37"/>
  <c r="AX24" i="37"/>
  <c r="AY24" i="37" s="1"/>
  <c r="AZ24" i="37" s="1"/>
  <c r="BA24" i="37" s="1"/>
  <c r="AG62" i="37"/>
  <c r="AN18" i="37"/>
  <c r="AN32" i="37"/>
  <c r="BL33" i="37"/>
  <c r="BS27" i="37"/>
  <c r="AM14" i="37"/>
  <c r="BS32" i="37"/>
  <c r="AM27" i="37"/>
  <c r="BL23" i="37"/>
  <c r="AM13" i="37"/>
  <c r="AO13" i="37"/>
  <c r="BP71" i="37"/>
  <c r="BP58" i="37"/>
  <c r="AP58" i="37"/>
  <c r="BP64" i="37"/>
  <c r="AD38" i="36"/>
  <c r="N82" i="36"/>
  <c r="BV28" i="36"/>
  <c r="CA28" i="36"/>
  <c r="CO14" i="36"/>
  <c r="CO18" i="36"/>
  <c r="N69" i="36"/>
  <c r="AG69" i="36" s="1"/>
  <c r="AH69" i="36" s="1"/>
  <c r="AL31" i="36" s="1"/>
  <c r="N78" i="36"/>
  <c r="AE40" i="36" s="1"/>
  <c r="Z40" i="36" s="1"/>
  <c r="Z61" i="36"/>
  <c r="CO20" i="36"/>
  <c r="CO27" i="36"/>
  <c r="CO25" i="36"/>
  <c r="N70" i="36"/>
  <c r="AO32" i="36" s="1"/>
  <c r="AW21" i="35"/>
  <c r="T53" i="35"/>
  <c r="AQ15" i="35" s="1"/>
  <c r="T62" i="35"/>
  <c r="AD26" i="35"/>
  <c r="AI59" i="35"/>
  <c r="AJ59" i="35" s="1"/>
  <c r="AM21" i="35" s="1"/>
  <c r="T60" i="35"/>
  <c r="AR22" i="35" s="1"/>
  <c r="AR14" i="35"/>
  <c r="AW14" i="35"/>
  <c r="BA18" i="35"/>
  <c r="BB18" i="35" s="1"/>
  <c r="BC18" i="35" s="1"/>
  <c r="BD18" i="35" s="1"/>
  <c r="BK18" i="35" s="1"/>
  <c r="AE26" i="35"/>
  <c r="AG26" i="35" s="1"/>
  <c r="AX17" i="35"/>
  <c r="AW24" i="35"/>
  <c r="AD15" i="35"/>
  <c r="AA53" i="35" s="1"/>
  <c r="N61" i="35"/>
  <c r="AQ14" i="35"/>
  <c r="N59" i="35"/>
  <c r="AE21" i="35" s="1"/>
  <c r="Z21" i="35" s="1"/>
  <c r="AQ19" i="35"/>
  <c r="N62" i="35"/>
  <c r="AD24" i="35" s="1"/>
  <c r="AD22" i="36"/>
  <c r="AF22" i="36" s="1"/>
  <c r="AU22" i="36"/>
  <c r="AE22" i="36"/>
  <c r="Z98" i="36" s="1"/>
  <c r="AV22" i="36"/>
  <c r="CP26" i="36"/>
  <c r="CA26" i="36"/>
  <c r="AP26" i="36"/>
  <c r="AR26" i="36"/>
  <c r="AQ26" i="36"/>
  <c r="AE34" i="36"/>
  <c r="AW22" i="36"/>
  <c r="CA32" i="36"/>
  <c r="AR60" i="36"/>
  <c r="AS60" i="36" s="1"/>
  <c r="AX22" i="36"/>
  <c r="AP24" i="36"/>
  <c r="N54" i="36"/>
  <c r="BA16" i="36" s="1"/>
  <c r="BB16" i="36" s="1"/>
  <c r="BC16" i="36" s="1"/>
  <c r="BD16" i="36" s="1"/>
  <c r="BK16" i="36" s="1"/>
  <c r="N55" i="36"/>
  <c r="AG55" i="36" s="1"/>
  <c r="AH55" i="36" s="1"/>
  <c r="AL17" i="36" s="1"/>
  <c r="AU21" i="36"/>
  <c r="AQ24" i="36"/>
  <c r="BV24" i="36"/>
  <c r="CO30" i="36"/>
  <c r="AX31" i="36"/>
  <c r="CM70" i="36"/>
  <c r="CA20" i="36"/>
  <c r="BV19" i="36"/>
  <c r="BV22" i="36"/>
  <c r="BV32" i="36"/>
  <c r="CA19" i="36"/>
  <c r="AO15" i="36"/>
  <c r="AW24" i="36"/>
  <c r="BV25" i="36"/>
  <c r="AP33" i="36"/>
  <c r="AE38" i="36"/>
  <c r="AE76" i="36" s="1"/>
  <c r="AD21" i="36"/>
  <c r="AF21" i="36" s="1"/>
  <c r="BV29" i="36"/>
  <c r="BV31" i="36"/>
  <c r="AP15" i="36"/>
  <c r="BV17" i="36"/>
  <c r="AX24" i="36"/>
  <c r="AU33" i="36"/>
  <c r="BV33" i="36"/>
  <c r="BV30" i="36"/>
  <c r="CA22" i="36"/>
  <c r="CA30" i="36"/>
  <c r="AR66" i="36"/>
  <c r="BA15" i="36"/>
  <c r="BB15" i="36" s="1"/>
  <c r="BC15" i="36" s="1"/>
  <c r="BD15" i="36" s="1"/>
  <c r="BK15" i="36" s="1"/>
  <c r="CO16" i="36"/>
  <c r="BV20" i="36"/>
  <c r="BV26" i="36"/>
  <c r="N65" i="36"/>
  <c r="CB27" i="36" s="1"/>
  <c r="CC27" i="36" s="1"/>
  <c r="CA33" i="36"/>
  <c r="N74" i="36"/>
  <c r="CB36" i="36" s="1"/>
  <c r="CC36" i="36" s="1"/>
  <c r="S122" i="36"/>
  <c r="AF24" i="35"/>
  <c r="AI60" i="35"/>
  <c r="AJ60" i="35" s="1"/>
  <c r="AM22" i="35" s="1"/>
  <c r="AG60" i="35"/>
  <c r="AH60" i="35" s="1"/>
  <c r="AL22" i="35" s="1"/>
  <c r="AD22" i="35"/>
  <c r="AI58" i="35"/>
  <c r="AJ58" i="35" s="1"/>
  <c r="AM20" i="35" s="1"/>
  <c r="AG58" i="35"/>
  <c r="AH58" i="35" s="1"/>
  <c r="AL20" i="35" s="1"/>
  <c r="AE20" i="35"/>
  <c r="AG20" i="35" s="1"/>
  <c r="AD20" i="35"/>
  <c r="AC58" i="35" s="1"/>
  <c r="AV20" i="35"/>
  <c r="AI54" i="35"/>
  <c r="AJ54" i="35" s="1"/>
  <c r="AM16" i="35" s="1"/>
  <c r="AI62" i="35"/>
  <c r="AJ62" i="35" s="1"/>
  <c r="AM24" i="35" s="1"/>
  <c r="AG62" i="35"/>
  <c r="AH62" i="35" s="1"/>
  <c r="AL24" i="35" s="1"/>
  <c r="AE24" i="35"/>
  <c r="AG24" i="35" s="1"/>
  <c r="AE22" i="35"/>
  <c r="Z60" i="35" s="1"/>
  <c r="AQ62" i="35"/>
  <c r="AR62" i="35" s="1"/>
  <c r="AE16" i="35"/>
  <c r="AG16" i="35" s="1"/>
  <c r="AN59" i="35"/>
  <c r="AZ59" i="35" s="1"/>
  <c r="BL59" i="35" s="1"/>
  <c r="AD16" i="35"/>
  <c r="AB54" i="35" s="1"/>
  <c r="AI56" i="35"/>
  <c r="AJ56" i="35" s="1"/>
  <c r="AM18" i="35" s="1"/>
  <c r="AF26" i="35"/>
  <c r="AE64" i="35"/>
  <c r="AE18" i="35"/>
  <c r="Z94" i="35" s="1"/>
  <c r="AD18" i="35"/>
  <c r="AE23" i="35"/>
  <c r="AF15" i="35"/>
  <c r="AB15" i="35"/>
  <c r="AE53" i="35"/>
  <c r="AB59" i="35"/>
  <c r="AA59" i="35"/>
  <c r="AE25" i="35"/>
  <c r="Z25" i="35" s="1"/>
  <c r="Z53" i="35"/>
  <c r="AG63" i="35"/>
  <c r="AH63" i="35" s="1"/>
  <c r="AL25" i="35" s="1"/>
  <c r="AG15" i="35"/>
  <c r="AB53" i="35"/>
  <c r="AI63" i="35"/>
  <c r="AJ63" i="35" s="1"/>
  <c r="AM25" i="35" s="1"/>
  <c r="AB64" i="35"/>
  <c r="AE19" i="35"/>
  <c r="AA57" i="35" s="1"/>
  <c r="AD19" i="35"/>
  <c r="CK18" i="35"/>
  <c r="AI61" i="35"/>
  <c r="AJ61" i="35" s="1"/>
  <c r="AM23" i="35" s="1"/>
  <c r="N55" i="35"/>
  <c r="AD21" i="35"/>
  <c r="Z59" i="35" s="1"/>
  <c r="AI53" i="35"/>
  <c r="AJ53" i="35" s="1"/>
  <c r="AM15" i="35" s="1"/>
  <c r="AD25" i="35"/>
  <c r="AC63" i="35" s="1"/>
  <c r="AC53" i="35"/>
  <c r="AG64" i="35"/>
  <c r="AH64" i="35" s="1"/>
  <c r="AL26" i="35" s="1"/>
  <c r="AN53" i="35"/>
  <c r="AZ53" i="35" s="1"/>
  <c r="BL53" i="35" s="1"/>
  <c r="AN57" i="35"/>
  <c r="AZ57" i="35" s="1"/>
  <c r="BL57" i="35" s="1"/>
  <c r="AX19" i="35"/>
  <c r="AI16" i="35"/>
  <c r="AG54" i="35" s="1"/>
  <c r="AH54" i="35" s="1"/>
  <c r="AL16" i="35" s="1"/>
  <c r="AI24" i="35"/>
  <c r="AJ20" i="35"/>
  <c r="AG21" i="35"/>
  <c r="AI17" i="35"/>
  <c r="AI21" i="35"/>
  <c r="AG59" i="35" s="1"/>
  <c r="AH59" i="35" s="1"/>
  <c r="AL21" i="35" s="1"/>
  <c r="AI25" i="35"/>
  <c r="AP15" i="35"/>
  <c r="BL19" i="35"/>
  <c r="BX19" i="35" s="1"/>
  <c r="CJ19" i="35" s="1"/>
  <c r="CJ57" i="35" s="1"/>
  <c r="AR23" i="35"/>
  <c r="AW23" i="35"/>
  <c r="AO19" i="35"/>
  <c r="AI15" i="35"/>
  <c r="AG53" i="35" s="1"/>
  <c r="AH53" i="35" s="1"/>
  <c r="AL15" i="35" s="1"/>
  <c r="AI19" i="35"/>
  <c r="AG57" i="35" s="1"/>
  <c r="AH57" i="35" s="1"/>
  <c r="AL19" i="35" s="1"/>
  <c r="AI23" i="35"/>
  <c r="AG61" i="35" s="1"/>
  <c r="AH61" i="35" s="1"/>
  <c r="AL23" i="35" s="1"/>
  <c r="AP19" i="35"/>
  <c r="BM21" i="35"/>
  <c r="BN25" i="35"/>
  <c r="CK13" i="35"/>
  <c r="AU13" i="35"/>
  <c r="AW13" i="35"/>
  <c r="AX13" i="35"/>
  <c r="CO21" i="35"/>
  <c r="AQ65" i="35"/>
  <c r="AQ64" i="35"/>
  <c r="AQ72" i="35"/>
  <c r="AQ56" i="35"/>
  <c r="AR56" i="35" s="1"/>
  <c r="AS56" i="35" s="1"/>
  <c r="AQ55" i="35"/>
  <c r="AR55" i="35" s="1"/>
  <c r="AQ69" i="35"/>
  <c r="AQ74" i="35"/>
  <c r="AR74" i="35" s="1"/>
  <c r="AQ58" i="35"/>
  <c r="AR58" i="35" s="1"/>
  <c r="AS58" i="35" s="1"/>
  <c r="AQ60" i="35"/>
  <c r="AR60" i="35" s="1"/>
  <c r="AQ66" i="35"/>
  <c r="AR66" i="35" s="1"/>
  <c r="AQ29" i="35"/>
  <c r="BM17" i="35"/>
  <c r="BM30" i="35"/>
  <c r="AP23" i="35"/>
  <c r="AP29" i="35"/>
  <c r="CW29" i="35"/>
  <c r="CO28" i="35"/>
  <c r="AQ36" i="35"/>
  <c r="CK17" i="35"/>
  <c r="AP36" i="35"/>
  <c r="CO19" i="35"/>
  <c r="AP25" i="35"/>
  <c r="AQ54" i="35"/>
  <c r="AR54" i="35" s="1"/>
  <c r="AS54" i="35" s="1"/>
  <c r="AQ30" i="35"/>
  <c r="CK36" i="35"/>
  <c r="AV19" i="35"/>
  <c r="BN35" i="35"/>
  <c r="BM27" i="35"/>
  <c r="CL27" i="35" s="1"/>
  <c r="BN33" i="35"/>
  <c r="BN19" i="35"/>
  <c r="AQ25" i="35"/>
  <c r="CK31" i="35"/>
  <c r="BL23" i="35"/>
  <c r="BX23" i="35" s="1"/>
  <c r="CJ23" i="35" s="1"/>
  <c r="CJ61" i="35" s="1"/>
  <c r="BO27" i="35"/>
  <c r="BP27" i="35" s="1"/>
  <c r="BT65" i="35" s="1"/>
  <c r="CP27" i="35" s="1"/>
  <c r="CM65" i="35" s="1"/>
  <c r="BN22" i="35"/>
  <c r="CO20" i="35"/>
  <c r="CK26" i="35"/>
  <c r="BN32" i="35"/>
  <c r="AO17" i="36"/>
  <c r="CB17" i="36"/>
  <c r="CC17" i="36" s="1"/>
  <c r="BL15" i="36"/>
  <c r="BX15" i="36" s="1"/>
  <c r="CJ15" i="36" s="1"/>
  <c r="CJ53" i="36" s="1"/>
  <c r="CW15" i="36"/>
  <c r="BL13" i="36"/>
  <c r="BX13" i="36" s="1"/>
  <c r="CJ13" i="36" s="1"/>
  <c r="CJ51" i="36" s="1"/>
  <c r="CW13" i="36"/>
  <c r="CA16" i="36"/>
  <c r="AS61" i="36"/>
  <c r="AA61" i="36"/>
  <c r="AI61" i="36"/>
  <c r="AJ61" i="36" s="1"/>
  <c r="AM23" i="36" s="1"/>
  <c r="AG61" i="36"/>
  <c r="AH61" i="36" s="1"/>
  <c r="AL23" i="36" s="1"/>
  <c r="BA61" i="36"/>
  <c r="BB61" i="36" s="1"/>
  <c r="BC61" i="36" s="1"/>
  <c r="BD61" i="36" s="1"/>
  <c r="BK61" i="36" s="1"/>
  <c r="BA23" i="36"/>
  <c r="BB23" i="36" s="1"/>
  <c r="BC23" i="36" s="1"/>
  <c r="BD23" i="36" s="1"/>
  <c r="BK23" i="36" s="1"/>
  <c r="AO23" i="36"/>
  <c r="CB23" i="36"/>
  <c r="CC23" i="36" s="1"/>
  <c r="AV23" i="36"/>
  <c r="AU23" i="36"/>
  <c r="AE23" i="36"/>
  <c r="Z99" i="36" s="1"/>
  <c r="AD23" i="36"/>
  <c r="T61" i="36"/>
  <c r="AX23" i="36"/>
  <c r="AW23" i="36"/>
  <c r="AQ23" i="36"/>
  <c r="BL19" i="36"/>
  <c r="BX19" i="36" s="1"/>
  <c r="CJ19" i="36" s="1"/>
  <c r="CJ57" i="36" s="1"/>
  <c r="CW19" i="36"/>
  <c r="CA27" i="36"/>
  <c r="AJ41" i="36"/>
  <c r="AI79" i="36" s="1"/>
  <c r="AJ79" i="36" s="1"/>
  <c r="AM41" i="36" s="1"/>
  <c r="AI41" i="36"/>
  <c r="AG79" i="36" s="1"/>
  <c r="AH79" i="36" s="1"/>
  <c r="AL41" i="36" s="1"/>
  <c r="CW27" i="36"/>
  <c r="BL27" i="36"/>
  <c r="BX27" i="36" s="1"/>
  <c r="CJ27" i="36" s="1"/>
  <c r="CJ65" i="36" s="1"/>
  <c r="CA18" i="36"/>
  <c r="BV15" i="36"/>
  <c r="AW29" i="36"/>
  <c r="AX29" i="36"/>
  <c r="T67" i="36"/>
  <c r="AQ29" i="36" s="1"/>
  <c r="CM51" i="36"/>
  <c r="BV14" i="36"/>
  <c r="CA15" i="36"/>
  <c r="BH16" i="36"/>
  <c r="N57" i="36"/>
  <c r="CO33" i="36"/>
  <c r="BV16" i="36"/>
  <c r="BV13" i="36"/>
  <c r="AI53" i="36"/>
  <c r="AJ53" i="36" s="1"/>
  <c r="AM15" i="36" s="1"/>
  <c r="BA53" i="36"/>
  <c r="BB53" i="36" s="1"/>
  <c r="BC53" i="36" s="1"/>
  <c r="BD53" i="36" s="1"/>
  <c r="BK53" i="36" s="1"/>
  <c r="AG53" i="36"/>
  <c r="AH53" i="36" s="1"/>
  <c r="AL15" i="36" s="1"/>
  <c r="CB15" i="36"/>
  <c r="CC15" i="36" s="1"/>
  <c r="AV15" i="36"/>
  <c r="AU15" i="36"/>
  <c r="AE15" i="36"/>
  <c r="Z91" i="36" s="1"/>
  <c r="AD15" i="36"/>
  <c r="Y91" i="36" s="1"/>
  <c r="BL23" i="36"/>
  <c r="BX23" i="36" s="1"/>
  <c r="CJ23" i="36" s="1"/>
  <c r="CJ61" i="36" s="1"/>
  <c r="CW23" i="36"/>
  <c r="BV23" i="36"/>
  <c r="AF38" i="36"/>
  <c r="BL17" i="36"/>
  <c r="BX17" i="36" s="1"/>
  <c r="CJ17" i="36" s="1"/>
  <c r="CJ55" i="36" s="1"/>
  <c r="BV18" i="36"/>
  <c r="T57" i="36"/>
  <c r="AX19" i="36"/>
  <c r="AW19" i="36"/>
  <c r="AQ19" i="36"/>
  <c r="T52" i="36"/>
  <c r="AW14" i="36"/>
  <c r="AQ14" i="36"/>
  <c r="CA14" i="36"/>
  <c r="T54" i="36"/>
  <c r="AQ16" i="36" s="1"/>
  <c r="AW16" i="36"/>
  <c r="CA13" i="36"/>
  <c r="N52" i="36"/>
  <c r="AS52" i="36" s="1"/>
  <c r="AX14" i="36"/>
  <c r="BA54" i="36"/>
  <c r="BB54" i="36" s="1"/>
  <c r="BC54" i="36" s="1"/>
  <c r="BD54" i="36" s="1"/>
  <c r="AG54" i="36"/>
  <c r="AH54" i="36" s="1"/>
  <c r="AL16" i="36" s="1"/>
  <c r="AU16" i="36"/>
  <c r="AO16" i="36"/>
  <c r="CA17" i="36"/>
  <c r="CP17" i="36"/>
  <c r="CM55" i="36" s="1"/>
  <c r="N58" i="36"/>
  <c r="CA23" i="36"/>
  <c r="AI71" i="36"/>
  <c r="AJ71" i="36" s="1"/>
  <c r="AM33" i="36" s="1"/>
  <c r="BA71" i="36"/>
  <c r="BB71" i="36" s="1"/>
  <c r="BC71" i="36" s="1"/>
  <c r="BD71" i="36" s="1"/>
  <c r="BK71" i="36" s="1"/>
  <c r="BA33" i="36"/>
  <c r="BB33" i="36" s="1"/>
  <c r="BC33" i="36" s="1"/>
  <c r="BD33" i="36" s="1"/>
  <c r="AO33" i="36"/>
  <c r="AG71" i="36"/>
  <c r="AH71" i="36" s="1"/>
  <c r="AL33" i="36" s="1"/>
  <c r="AD33" i="36"/>
  <c r="Y109" i="36" s="1"/>
  <c r="CB33" i="36"/>
  <c r="CC33" i="36" s="1"/>
  <c r="AS71" i="36"/>
  <c r="AE33" i="36"/>
  <c r="Z109" i="36" s="1"/>
  <c r="CP35" i="36"/>
  <c r="CM73" i="36" s="1"/>
  <c r="CA35" i="36"/>
  <c r="AS53" i="36"/>
  <c r="CB22" i="36"/>
  <c r="CC22" i="36" s="1"/>
  <c r="AR31" i="36"/>
  <c r="AP31" i="36"/>
  <c r="CB21" i="36"/>
  <c r="CC21" i="36" s="1"/>
  <c r="AI21" i="36"/>
  <c r="AG59" i="36" s="1"/>
  <c r="AH59" i="36" s="1"/>
  <c r="AL21" i="36" s="1"/>
  <c r="AI69" i="36"/>
  <c r="AJ69" i="36" s="1"/>
  <c r="AM31" i="36" s="1"/>
  <c r="BA69" i="36"/>
  <c r="BB69" i="36" s="1"/>
  <c r="BC69" i="36" s="1"/>
  <c r="BD69" i="36" s="1"/>
  <c r="BK69" i="36" s="1"/>
  <c r="CB31" i="36"/>
  <c r="CC31" i="36" s="1"/>
  <c r="AV31" i="36"/>
  <c r="AO31" i="36"/>
  <c r="AD31" i="36"/>
  <c r="Y107" i="36" s="1"/>
  <c r="BV27" i="36"/>
  <c r="AR3" i="36"/>
  <c r="CO13" i="36"/>
  <c r="BT59" i="36"/>
  <c r="CP21" i="36" s="1"/>
  <c r="CM59" i="36" s="1"/>
  <c r="BV21" i="36"/>
  <c r="AO29" i="36"/>
  <c r="BV36" i="36"/>
  <c r="AQ15" i="36"/>
  <c r="AW21" i="36"/>
  <c r="CO24" i="36"/>
  <c r="AI27" i="36"/>
  <c r="AJ27" i="36"/>
  <c r="Y105" i="36"/>
  <c r="AI67" i="36"/>
  <c r="AJ67" i="36" s="1"/>
  <c r="AM29" i="36" s="1"/>
  <c r="AG67" i="36"/>
  <c r="AH67" i="36" s="1"/>
  <c r="AL29" i="36" s="1"/>
  <c r="BA67" i="36"/>
  <c r="BB67" i="36" s="1"/>
  <c r="BC67" i="36" s="1"/>
  <c r="BD67" i="36" s="1"/>
  <c r="BK67" i="36" s="1"/>
  <c r="AU29" i="36"/>
  <c r="CW31" i="36"/>
  <c r="BL31" i="36"/>
  <c r="BX31" i="36" s="1"/>
  <c r="CJ31" i="36" s="1"/>
  <c r="CJ69" i="36" s="1"/>
  <c r="CO32" i="36"/>
  <c r="BV35" i="36"/>
  <c r="CA36" i="36"/>
  <c r="CM71" i="36"/>
  <c r="AD40" i="36"/>
  <c r="AC78" i="36" s="1"/>
  <c r="CO26" i="36"/>
  <c r="AP17" i="36"/>
  <c r="N56" i="36"/>
  <c r="CO22" i="36"/>
  <c r="CW25" i="36"/>
  <c r="AV29" i="36"/>
  <c r="CA31" i="36"/>
  <c r="T70" i="36"/>
  <c r="AX32" i="36"/>
  <c r="AW32" i="36"/>
  <c r="AU34" i="36"/>
  <c r="CM53" i="36"/>
  <c r="AG72" i="36"/>
  <c r="AH72" i="36" s="1"/>
  <c r="AL34" i="36" s="1"/>
  <c r="AD34" i="36"/>
  <c r="Z72" i="36" s="1"/>
  <c r="BA34" i="36"/>
  <c r="BB34" i="36" s="1"/>
  <c r="BC34" i="36" s="1"/>
  <c r="BD34" i="36" s="1"/>
  <c r="BA72" i="36"/>
  <c r="BB72" i="36" s="1"/>
  <c r="BC72" i="36" s="1"/>
  <c r="BD72" i="36" s="1"/>
  <c r="BK72" i="36" s="1"/>
  <c r="AI72" i="36"/>
  <c r="AJ72" i="36" s="1"/>
  <c r="AM34" i="36" s="1"/>
  <c r="AO34" i="36"/>
  <c r="Z42" i="36"/>
  <c r="AG42" i="36"/>
  <c r="AF29" i="36"/>
  <c r="AG40" i="36"/>
  <c r="AP18" i="36"/>
  <c r="AI59" i="36"/>
  <c r="AJ59" i="36" s="1"/>
  <c r="AM21" i="36" s="1"/>
  <c r="BA59" i="36"/>
  <c r="BB59" i="36" s="1"/>
  <c r="BC59" i="36" s="1"/>
  <c r="BD59" i="36" s="1"/>
  <c r="BK59" i="36" s="1"/>
  <c r="AE21" i="36"/>
  <c r="Z97" i="36" s="1"/>
  <c r="T66" i="36"/>
  <c r="AQ28" i="36" s="1"/>
  <c r="AX28" i="36"/>
  <c r="AW28" i="36"/>
  <c r="AE29" i="36"/>
  <c r="AC67" i="36" s="1"/>
  <c r="AJ40" i="36"/>
  <c r="AI40" i="36"/>
  <c r="T73" i="36"/>
  <c r="AX35" i="36"/>
  <c r="CM60" i="36"/>
  <c r="AW13" i="36"/>
  <c r="AQ18" i="36"/>
  <c r="AW20" i="36"/>
  <c r="BA21" i="36"/>
  <c r="BB21" i="36" s="1"/>
  <c r="BC21" i="36" s="1"/>
  <c r="BD21" i="36" s="1"/>
  <c r="AO22" i="36"/>
  <c r="AS22" i="36" s="1"/>
  <c r="AT22" i="36" s="1"/>
  <c r="CA25" i="36"/>
  <c r="BA29" i="36"/>
  <c r="BB29" i="36" s="1"/>
  <c r="BC29" i="36" s="1"/>
  <c r="BD29" i="36" s="1"/>
  <c r="AS57" i="36"/>
  <c r="T72" i="36"/>
  <c r="AX34" i="36"/>
  <c r="N51" i="36"/>
  <c r="AX13" i="36"/>
  <c r="AO21" i="36"/>
  <c r="T65" i="36"/>
  <c r="AX27" i="36"/>
  <c r="CA29" i="36"/>
  <c r="CK34" i="36"/>
  <c r="CO35" i="36"/>
  <c r="AJ37" i="36"/>
  <c r="AI37" i="36"/>
  <c r="CM52" i="36"/>
  <c r="CM57" i="36"/>
  <c r="CM74" i="36"/>
  <c r="T59" i="36"/>
  <c r="AV34" i="36"/>
  <c r="AW15" i="36"/>
  <c r="AQ22" i="36"/>
  <c r="AE27" i="36"/>
  <c r="CK27" i="36"/>
  <c r="CB29" i="36"/>
  <c r="CC29" i="36" s="1"/>
  <c r="CO36" i="36"/>
  <c r="AI60" i="36"/>
  <c r="AJ60" i="36" s="1"/>
  <c r="AM22" i="36" s="1"/>
  <c r="BA60" i="36"/>
  <c r="BB60" i="36" s="1"/>
  <c r="BC60" i="36" s="1"/>
  <c r="BD60" i="36" s="1"/>
  <c r="AG60" i="36"/>
  <c r="AH60" i="36" s="1"/>
  <c r="AL22" i="36" s="1"/>
  <c r="Z60" i="36"/>
  <c r="BA22" i="36"/>
  <c r="BB22" i="36" s="1"/>
  <c r="BC22" i="36" s="1"/>
  <c r="BD22" i="36" s="1"/>
  <c r="CM65" i="36"/>
  <c r="S126" i="36"/>
  <c r="CO21" i="36"/>
  <c r="AW25" i="36"/>
  <c r="T63" i="36"/>
  <c r="AQ25" i="36"/>
  <c r="Y114" i="36"/>
  <c r="AI76" i="36"/>
  <c r="AJ76" i="36" s="1"/>
  <c r="AM38" i="36" s="1"/>
  <c r="AG76" i="36"/>
  <c r="AH76" i="36" s="1"/>
  <c r="AL38" i="36" s="1"/>
  <c r="AD41" i="36"/>
  <c r="AE41" i="36"/>
  <c r="Z117" i="36" s="1"/>
  <c r="AS51" i="36"/>
  <c r="CM56" i="36"/>
  <c r="AW17" i="36"/>
  <c r="T58" i="36"/>
  <c r="CM61" i="36"/>
  <c r="N62" i="36"/>
  <c r="N63" i="36"/>
  <c r="CM63" i="36"/>
  <c r="T68" i="36"/>
  <c r="AQ30" i="36"/>
  <c r="AX30" i="36"/>
  <c r="CO31" i="36"/>
  <c r="CO34" i="36"/>
  <c r="AJ35" i="36"/>
  <c r="AI35" i="36"/>
  <c r="CM62" i="36"/>
  <c r="AS65" i="36"/>
  <c r="AQ35" i="36"/>
  <c r="AI82" i="36"/>
  <c r="AJ82" i="36" s="1"/>
  <c r="AM44" i="36" s="1"/>
  <c r="AD44" i="36"/>
  <c r="AG82" i="36"/>
  <c r="AH82" i="36" s="1"/>
  <c r="AL44" i="36" s="1"/>
  <c r="CM54" i="36"/>
  <c r="AJ39" i="36"/>
  <c r="CM68" i="36"/>
  <c r="AQ69" i="36"/>
  <c r="AR69" i="36"/>
  <c r="AS69" i="36" s="1"/>
  <c r="AQ33" i="36"/>
  <c r="AJ36" i="36"/>
  <c r="AI36" i="36"/>
  <c r="AI80" i="36"/>
  <c r="AJ80" i="36" s="1"/>
  <c r="AM42" i="36" s="1"/>
  <c r="Z118" i="36"/>
  <c r="AE44" i="36"/>
  <c r="Z120" i="36" s="1"/>
  <c r="CM64" i="36"/>
  <c r="AI32" i="36"/>
  <c r="AQ63" i="36"/>
  <c r="AR63" i="36" s="1"/>
  <c r="AJ28" i="36"/>
  <c r="AW31" i="36"/>
  <c r="AD42" i="36"/>
  <c r="Y118" i="36" s="1"/>
  <c r="CM66" i="36"/>
  <c r="CM67" i="36"/>
  <c r="N77" i="36"/>
  <c r="AS72" i="36"/>
  <c r="AR58" i="36"/>
  <c r="BS72" i="36"/>
  <c r="CL34" i="36"/>
  <c r="BN34" i="36"/>
  <c r="N64" i="36"/>
  <c r="N66" i="36"/>
  <c r="N68" i="36"/>
  <c r="AS68" i="36" s="1"/>
  <c r="AQ31" i="36"/>
  <c r="CM69" i="36"/>
  <c r="AX33" i="36"/>
  <c r="AJ42" i="36"/>
  <c r="AI42" i="36"/>
  <c r="AG80" i="36" s="1"/>
  <c r="AH80" i="36" s="1"/>
  <c r="AL42" i="36" s="1"/>
  <c r="AR54" i="36"/>
  <c r="AQ56" i="36"/>
  <c r="AR56" i="36" s="1"/>
  <c r="CM58" i="36"/>
  <c r="AQ59" i="36"/>
  <c r="AR59" i="36" s="1"/>
  <c r="AS59" i="36" s="1"/>
  <c r="BP34" i="36"/>
  <c r="BT72" i="36" s="1"/>
  <c r="CP34" i="36" s="1"/>
  <c r="N73" i="36"/>
  <c r="AQ62" i="36"/>
  <c r="AR62" i="36" s="1"/>
  <c r="AX36" i="36"/>
  <c r="N75" i="36"/>
  <c r="AR64" i="36"/>
  <c r="AR70" i="36"/>
  <c r="BH72" i="36"/>
  <c r="S104" i="36"/>
  <c r="S107" i="36" s="1"/>
  <c r="Q124" i="36"/>
  <c r="N81" i="36"/>
  <c r="AR73" i="36"/>
  <c r="AQ67" i="36"/>
  <c r="AR67" i="36" s="1"/>
  <c r="AS67" i="36" s="1"/>
  <c r="S112" i="36"/>
  <c r="Z114" i="35"/>
  <c r="Z115" i="35"/>
  <c r="Y115" i="35"/>
  <c r="Z113" i="35"/>
  <c r="Y113" i="35"/>
  <c r="Y114" i="35"/>
  <c r="Z118" i="35"/>
  <c r="BN16" i="35"/>
  <c r="BO16" i="35" s="1"/>
  <c r="BP16" i="35" s="1"/>
  <c r="BT54" i="35" s="1"/>
  <c r="CP16" i="35" s="1"/>
  <c r="BN24" i="35"/>
  <c r="BN34" i="35"/>
  <c r="BO34" i="35" s="1"/>
  <c r="BM15" i="35"/>
  <c r="BM18" i="35"/>
  <c r="BO18" i="35" s="1"/>
  <c r="BM32" i="35"/>
  <c r="BS70" i="35" s="1"/>
  <c r="CO16" i="35"/>
  <c r="BM28" i="35"/>
  <c r="CL28" i="35" s="1"/>
  <c r="BN14" i="35"/>
  <c r="BM19" i="35"/>
  <c r="BN27" i="35"/>
  <c r="BM22" i="35"/>
  <c r="BS60" i="35" s="1"/>
  <c r="BM13" i="35"/>
  <c r="BN36" i="35"/>
  <c r="AR69" i="35"/>
  <c r="BN29" i="35"/>
  <c r="BO29" i="35" s="1"/>
  <c r="BO30" i="35"/>
  <c r="BP30" i="35" s="1"/>
  <c r="BT68" i="35" s="1"/>
  <c r="CP30" i="35" s="1"/>
  <c r="AV32" i="35"/>
  <c r="BS59" i="35"/>
  <c r="CL13" i="35"/>
  <c r="CN13" i="35" s="1"/>
  <c r="CK14" i="35"/>
  <c r="AP17" i="35"/>
  <c r="AV18" i="35"/>
  <c r="BA20" i="35"/>
  <c r="BB20" i="35" s="1"/>
  <c r="BC20" i="35" s="1"/>
  <c r="BD20" i="35" s="1"/>
  <c r="BK20" i="35" s="1"/>
  <c r="AQ22" i="35"/>
  <c r="BN31" i="35"/>
  <c r="CL26" i="35"/>
  <c r="CK24" i="35"/>
  <c r="BA19" i="35"/>
  <c r="BB19" i="35" s="1"/>
  <c r="BC19" i="35" s="1"/>
  <c r="BD19" i="35" s="1"/>
  <c r="BK19" i="35" s="1"/>
  <c r="AE13" i="35"/>
  <c r="Z13" i="35" s="1"/>
  <c r="CK16" i="35"/>
  <c r="CL16" i="35" s="1"/>
  <c r="AW18" i="35"/>
  <c r="AU29" i="35"/>
  <c r="AR65" i="35"/>
  <c r="BN26" i="35"/>
  <c r="CO23" i="35"/>
  <c r="CK19" i="35"/>
  <c r="AQ17" i="35"/>
  <c r="AR13" i="35"/>
  <c r="AX18" i="35"/>
  <c r="AW22" i="35"/>
  <c r="AX32" i="35"/>
  <c r="AQ33" i="35"/>
  <c r="AV35" i="35"/>
  <c r="S112" i="35"/>
  <c r="AQ16" i="35"/>
  <c r="AW16" i="35"/>
  <c r="AX16" i="35"/>
  <c r="AW4" i="35"/>
  <c r="AH4" i="35"/>
  <c r="BI4" i="35" s="1"/>
  <c r="BU4" i="35" s="1"/>
  <c r="CG4" i="35" s="1"/>
  <c r="CS4" i="35" s="1"/>
  <c r="AR1" i="35"/>
  <c r="AC1" i="35"/>
  <c r="BD1" i="35" s="1"/>
  <c r="BP1" i="35" s="1"/>
  <c r="CB1" i="35" s="1"/>
  <c r="CN1" i="35" s="1"/>
  <c r="CW27" i="35"/>
  <c r="BL27" i="35"/>
  <c r="BX27" i="35" s="1"/>
  <c r="CJ27" i="35" s="1"/>
  <c r="CJ65" i="35" s="1"/>
  <c r="AX27" i="35"/>
  <c r="AW27" i="35"/>
  <c r="BO32" i="35"/>
  <c r="BP32" i="35" s="1"/>
  <c r="BT70" i="35" s="1"/>
  <c r="CP32" i="35" s="1"/>
  <c r="CW17" i="35"/>
  <c r="CO24" i="35"/>
  <c r="CW25" i="35"/>
  <c r="BL25" i="35"/>
  <c r="BX25" i="35" s="1"/>
  <c r="CJ25" i="35" s="1"/>
  <c r="CJ63" i="35" s="1"/>
  <c r="AI14" i="35"/>
  <c r="AW26" i="35"/>
  <c r="CO33" i="35"/>
  <c r="BA64" i="35"/>
  <c r="BB64" i="35" s="1"/>
  <c r="BC64" i="35" s="1"/>
  <c r="BD64" i="35" s="1"/>
  <c r="BA26" i="35"/>
  <c r="BB26" i="35" s="1"/>
  <c r="BC26" i="35" s="1"/>
  <c r="BD26" i="35" s="1"/>
  <c r="BK26" i="35" s="1"/>
  <c r="BO26" i="35"/>
  <c r="BP26" i="35" s="1"/>
  <c r="BT64" i="35" s="1"/>
  <c r="CP26" i="35" s="1"/>
  <c r="AV26" i="35"/>
  <c r="AU26" i="35"/>
  <c r="CO26" i="35"/>
  <c r="CO29" i="35"/>
  <c r="BH33" i="35"/>
  <c r="BS68" i="35"/>
  <c r="BA68" i="35"/>
  <c r="BB68" i="35" s="1"/>
  <c r="BC68" i="35" s="1"/>
  <c r="BD68" i="35" s="1"/>
  <c r="BK68" i="35" s="1"/>
  <c r="AO30" i="35"/>
  <c r="BA30" i="35"/>
  <c r="BB30" i="35" s="1"/>
  <c r="BC30" i="35" s="1"/>
  <c r="BD30" i="35" s="1"/>
  <c r="AV16" i="35"/>
  <c r="Y92" i="35"/>
  <c r="BA54" i="35"/>
  <c r="BB54" i="35" s="1"/>
  <c r="BC54" i="35" s="1"/>
  <c r="BD54" i="35" s="1"/>
  <c r="AI13" i="35"/>
  <c r="CO22" i="35"/>
  <c r="CO27" i="35"/>
  <c r="AI51" i="35"/>
  <c r="AJ51" i="35" s="1"/>
  <c r="AM13" i="35" s="1"/>
  <c r="S104" i="35"/>
  <c r="S105" i="35" s="1"/>
  <c r="AO16" i="35"/>
  <c r="N52" i="35"/>
  <c r="BS52" i="35" s="1"/>
  <c r="CW15" i="35"/>
  <c r="AU30" i="35"/>
  <c r="AV30" i="35"/>
  <c r="AU16" i="35"/>
  <c r="BA16" i="35"/>
  <c r="BB16" i="35" s="1"/>
  <c r="BC16" i="35" s="1"/>
  <c r="BD16" i="35" s="1"/>
  <c r="CO25" i="35"/>
  <c r="AO26" i="35"/>
  <c r="Z89" i="35"/>
  <c r="AG51" i="35"/>
  <c r="AH51" i="35" s="1"/>
  <c r="AL13" i="35" s="1"/>
  <c r="BA51" i="35"/>
  <c r="BB51" i="35" s="1"/>
  <c r="BC51" i="35" s="1"/>
  <c r="BD51" i="35" s="1"/>
  <c r="BK51" i="35" s="1"/>
  <c r="BO13" i="35"/>
  <c r="BP13" i="35" s="1"/>
  <c r="BT51" i="35" s="1"/>
  <c r="CP13" i="35" s="1"/>
  <c r="BA13" i="35"/>
  <c r="BB13" i="35" s="1"/>
  <c r="BC13" i="35" s="1"/>
  <c r="BD13" i="35" s="1"/>
  <c r="BK13" i="35" s="1"/>
  <c r="AO13" i="35"/>
  <c r="AP18" i="35"/>
  <c r="BA57" i="35"/>
  <c r="BB57" i="35" s="1"/>
  <c r="BC57" i="35" s="1"/>
  <c r="BD57" i="35" s="1"/>
  <c r="BK57" i="35" s="1"/>
  <c r="AU19" i="35"/>
  <c r="BL21" i="35"/>
  <c r="BX21" i="35" s="1"/>
  <c r="CJ21" i="35" s="1"/>
  <c r="CJ59" i="35" s="1"/>
  <c r="CW21" i="35"/>
  <c r="Y94" i="35"/>
  <c r="BA56" i="35"/>
  <c r="BB56" i="35" s="1"/>
  <c r="BC56" i="35" s="1"/>
  <c r="BD56" i="35" s="1"/>
  <c r="BK56" i="35" s="1"/>
  <c r="AO18" i="35"/>
  <c r="AQ18" i="35"/>
  <c r="CL18" i="35"/>
  <c r="CN18" i="35" s="1"/>
  <c r="AR19" i="35"/>
  <c r="BO22" i="35"/>
  <c r="CL30" i="35"/>
  <c r="BL31" i="35"/>
  <c r="BX31" i="35" s="1"/>
  <c r="CJ31" i="35" s="1"/>
  <c r="CJ69" i="35" s="1"/>
  <c r="AR32" i="35"/>
  <c r="AP32" i="35"/>
  <c r="BA59" i="35"/>
  <c r="BB59" i="35" s="1"/>
  <c r="BC59" i="35" s="1"/>
  <c r="BD59" i="35" s="1"/>
  <c r="BK59" i="35" s="1"/>
  <c r="Y103" i="35"/>
  <c r="AV27" i="35"/>
  <c r="BA65" i="35"/>
  <c r="BB65" i="35" s="1"/>
  <c r="BC65" i="35" s="1"/>
  <c r="BD65" i="35" s="1"/>
  <c r="BK65" i="35" s="1"/>
  <c r="AU27" i="35"/>
  <c r="AO27" i="35"/>
  <c r="Z108" i="35"/>
  <c r="BA70" i="35"/>
  <c r="BB70" i="35" s="1"/>
  <c r="BC70" i="35" s="1"/>
  <c r="BD70" i="35" s="1"/>
  <c r="AO32" i="35"/>
  <c r="CM32" i="35"/>
  <c r="AU32" i="35"/>
  <c r="CN32" i="35"/>
  <c r="BA32" i="35"/>
  <c r="BB32" i="35" s="1"/>
  <c r="BC32" i="35" s="1"/>
  <c r="BD32" i="35" s="1"/>
  <c r="AH3" i="35"/>
  <c r="BI3" i="35" s="1"/>
  <c r="BU3" i="35" s="1"/>
  <c r="CG3" i="35" s="1"/>
  <c r="CS3" i="35" s="1"/>
  <c r="AD13" i="35"/>
  <c r="Y89" i="35" s="1"/>
  <c r="AQ13" i="35"/>
  <c r="AU18" i="35"/>
  <c r="BA27" i="35"/>
  <c r="BB27" i="35" s="1"/>
  <c r="BC27" i="35" s="1"/>
  <c r="BD27" i="35" s="1"/>
  <c r="BK27" i="35" s="1"/>
  <c r="AQ28" i="35"/>
  <c r="AY29" i="35"/>
  <c r="CO30" i="35"/>
  <c r="AX35" i="35"/>
  <c r="AW35" i="35"/>
  <c r="AQ35" i="35"/>
  <c r="AQ52" i="35"/>
  <c r="AR52" i="35" s="1"/>
  <c r="AS52" i="35" s="1"/>
  <c r="AS65" i="35"/>
  <c r="BA72" i="35"/>
  <c r="BB72" i="35" s="1"/>
  <c r="BC72" i="35" s="1"/>
  <c r="BD72" i="35" s="1"/>
  <c r="BK72" i="35" s="1"/>
  <c r="AO34" i="35"/>
  <c r="Y110" i="35"/>
  <c r="BA34" i="35"/>
  <c r="BB34" i="35" s="1"/>
  <c r="BC34" i="35" s="1"/>
  <c r="BD34" i="35" s="1"/>
  <c r="BS73" i="35"/>
  <c r="AO20" i="35"/>
  <c r="BS61" i="35"/>
  <c r="BA29" i="35"/>
  <c r="BB29" i="35" s="1"/>
  <c r="BC29" i="35" s="1"/>
  <c r="BD29" i="35" s="1"/>
  <c r="BK29" i="35" s="1"/>
  <c r="BS71" i="35"/>
  <c r="CL33" i="35"/>
  <c r="AO33" i="35"/>
  <c r="BO33" i="35"/>
  <c r="BP33" i="35" s="1"/>
  <c r="BT71" i="35" s="1"/>
  <c r="CP33" i="35" s="1"/>
  <c r="BA71" i="35"/>
  <c r="BB71" i="35" s="1"/>
  <c r="BC71" i="35" s="1"/>
  <c r="BD71" i="35" s="1"/>
  <c r="BK71" i="35" s="1"/>
  <c r="AV33" i="35"/>
  <c r="CL34" i="35"/>
  <c r="BS51" i="35"/>
  <c r="BS58" i="35"/>
  <c r="CL20" i="35"/>
  <c r="BN20" i="35"/>
  <c r="BO20" i="35" s="1"/>
  <c r="BP20" i="35" s="1"/>
  <c r="BT58" i="35" s="1"/>
  <c r="CP20" i="35" s="1"/>
  <c r="CO34" i="35"/>
  <c r="AQ57" i="35"/>
  <c r="AR57" i="35" s="1"/>
  <c r="AS57" i="35" s="1"/>
  <c r="AO29" i="35"/>
  <c r="AS29" i="35" s="1"/>
  <c r="AT29" i="35" s="1"/>
  <c r="BA58" i="35"/>
  <c r="BB58" i="35" s="1"/>
  <c r="BC58" i="35" s="1"/>
  <c r="BD58" i="35" s="1"/>
  <c r="Z105" i="35"/>
  <c r="Y105" i="35"/>
  <c r="BA67" i="35"/>
  <c r="BB67" i="35" s="1"/>
  <c r="BC67" i="35" s="1"/>
  <c r="BD67" i="35" s="1"/>
  <c r="BK67" i="35" s="1"/>
  <c r="CL29" i="35"/>
  <c r="AU33" i="35"/>
  <c r="AX21" i="35"/>
  <c r="AQ23" i="35"/>
  <c r="AU34" i="35"/>
  <c r="BS57" i="35"/>
  <c r="AX15" i="35"/>
  <c r="AX14" i="35"/>
  <c r="AW17" i="35"/>
  <c r="AU20" i="35"/>
  <c r="AR31" i="35"/>
  <c r="AP31" i="35"/>
  <c r="AW32" i="35"/>
  <c r="AQ32" i="35"/>
  <c r="AV34" i="35"/>
  <c r="AR53" i="35"/>
  <c r="AQ63" i="35"/>
  <c r="AR63" i="35" s="1"/>
  <c r="AS63" i="35" s="1"/>
  <c r="AQ27" i="35"/>
  <c r="AQ51" i="35"/>
  <c r="AR51" i="35" s="1"/>
  <c r="AS51" i="35" s="1"/>
  <c r="AS68" i="35"/>
  <c r="BS67" i="35"/>
  <c r="CB29" i="35" s="1"/>
  <c r="CC29" i="35" s="1"/>
  <c r="AQ59" i="35"/>
  <c r="AR59" i="35" s="1"/>
  <c r="AP33" i="35"/>
  <c r="AP30" i="35"/>
  <c r="AQ34" i="35"/>
  <c r="AW36" i="35"/>
  <c r="AR64" i="35"/>
  <c r="AS64" i="35" s="1"/>
  <c r="AR72" i="35"/>
  <c r="AS72" i="35" s="1"/>
  <c r="Z120" i="35"/>
  <c r="Y120" i="35"/>
  <c r="BS64" i="35"/>
  <c r="CB26" i="35" s="1"/>
  <c r="CC26" i="35" s="1"/>
  <c r="BS72" i="35"/>
  <c r="CB34" i="35" s="1"/>
  <c r="CC34" i="35" s="1"/>
  <c r="BS54" i="35"/>
  <c r="AQ70" i="35"/>
  <c r="AR70" i="35" s="1"/>
  <c r="AS70" i="35" s="1"/>
  <c r="AQ73" i="35"/>
  <c r="AR73" i="35" s="1"/>
  <c r="AS73" i="35" s="1"/>
  <c r="AQ61" i="35"/>
  <c r="AR61" i="35" s="1"/>
  <c r="AQ67" i="35"/>
  <c r="AR67" i="35" s="1"/>
  <c r="AS67" i="35" s="1"/>
  <c r="AQ71" i="35"/>
  <c r="AR71" i="35" s="1"/>
  <c r="AS71" i="35" s="1"/>
  <c r="AS74" i="35"/>
  <c r="O110" i="35"/>
  <c r="S119" i="35"/>
  <c r="CX36" i="34"/>
  <c r="CX35" i="34"/>
  <c r="CX34" i="34"/>
  <c r="CX33" i="34"/>
  <c r="AZ35" i="34"/>
  <c r="AZ33" i="34"/>
  <c r="BR74" i="34"/>
  <c r="AW74" i="34"/>
  <c r="AT74" i="34"/>
  <c r="BM36" i="34" s="1"/>
  <c r="AP74" i="34"/>
  <c r="AO74" i="34"/>
  <c r="V74" i="34"/>
  <c r="R74" i="34"/>
  <c r="Q74" i="34"/>
  <c r="P74" i="34"/>
  <c r="O74" i="34"/>
  <c r="BR73" i="34"/>
  <c r="AW73" i="34"/>
  <c r="AT73" i="34"/>
  <c r="BM35" i="34" s="1"/>
  <c r="AP73" i="34"/>
  <c r="AO73" i="34"/>
  <c r="V73" i="34"/>
  <c r="R73" i="34"/>
  <c r="Q73" i="34"/>
  <c r="P73" i="34"/>
  <c r="O73" i="34"/>
  <c r="BR72" i="34"/>
  <c r="AW72" i="34"/>
  <c r="AT72" i="34"/>
  <c r="AP72" i="34"/>
  <c r="AO72" i="34"/>
  <c r="V72" i="34"/>
  <c r="R72" i="34"/>
  <c r="Q72" i="34"/>
  <c r="P72" i="34"/>
  <c r="O72" i="34"/>
  <c r="BR71" i="34"/>
  <c r="AW71" i="34"/>
  <c r="AT71" i="34"/>
  <c r="BM33" i="34" s="1"/>
  <c r="AP71" i="34"/>
  <c r="AO71" i="34"/>
  <c r="V71" i="34"/>
  <c r="R71" i="34"/>
  <c r="Q71" i="34"/>
  <c r="P71" i="34"/>
  <c r="O71" i="34"/>
  <c r="V36" i="34"/>
  <c r="V35" i="34"/>
  <c r="V34" i="34"/>
  <c r="V33" i="34"/>
  <c r="T71" i="34" s="1"/>
  <c r="BE15" i="37" l="1"/>
  <c r="BS14" i="37"/>
  <c r="BX36" i="37"/>
  <c r="AV14" i="37"/>
  <c r="CJ57" i="37"/>
  <c r="AJ73" i="37"/>
  <c r="AJ53" i="37"/>
  <c r="AJ72" i="37"/>
  <c r="AJ68" i="37"/>
  <c r="AH53" i="37"/>
  <c r="AJ69" i="37"/>
  <c r="AJ54" i="37"/>
  <c r="AJ74" i="37"/>
  <c r="AH59" i="37"/>
  <c r="AJ51" i="37"/>
  <c r="AJ63" i="37"/>
  <c r="AH65" i="37"/>
  <c r="AH72" i="37"/>
  <c r="AJ70" i="37"/>
  <c r="AH66" i="37"/>
  <c r="AH60" i="37"/>
  <c r="AH63" i="37"/>
  <c r="AH68" i="37"/>
  <c r="AH54" i="37"/>
  <c r="AH67" i="37"/>
  <c r="BE56" i="37"/>
  <c r="AH71" i="37"/>
  <c r="AJ57" i="37"/>
  <c r="AJ60" i="37"/>
  <c r="AH52" i="37"/>
  <c r="AJ62" i="37"/>
  <c r="AJ64" i="37"/>
  <c r="AH73" i="37"/>
  <c r="AH51" i="37"/>
  <c r="AH74" i="37"/>
  <c r="AH61" i="37"/>
  <c r="AJ52" i="37"/>
  <c r="AH58" i="37"/>
  <c r="AH55" i="37"/>
  <c r="AJ58" i="37"/>
  <c r="AH56" i="37"/>
  <c r="AJ55" i="37"/>
  <c r="AJ71" i="37"/>
  <c r="AH57" i="37"/>
  <c r="AJ65" i="37"/>
  <c r="AJ61" i="37"/>
  <c r="AJ56" i="37"/>
  <c r="AH70" i="37"/>
  <c r="AH62" i="37"/>
  <c r="AH69" i="37"/>
  <c r="AJ67" i="37"/>
  <c r="AJ59" i="37"/>
  <c r="AV13" i="37"/>
  <c r="AV18" i="37"/>
  <c r="AB73" i="37"/>
  <c r="CJ51" i="37"/>
  <c r="AV35" i="37"/>
  <c r="CJ13" i="37"/>
  <c r="CL13" i="37" s="1"/>
  <c r="AA53" i="37"/>
  <c r="Z13" i="37"/>
  <c r="AB13" i="37" s="1"/>
  <c r="BX13" i="37"/>
  <c r="AG13" i="37"/>
  <c r="BH14" i="37"/>
  <c r="AF18" i="37"/>
  <c r="AF35" i="37"/>
  <c r="AF14" i="37"/>
  <c r="BY13" i="37"/>
  <c r="BZ13" i="37" s="1"/>
  <c r="BL35" i="34"/>
  <c r="BX35" i="34" s="1"/>
  <c r="CJ35" i="34" s="1"/>
  <c r="CW35" i="34"/>
  <c r="BL33" i="34"/>
  <c r="BX33" i="34" s="1"/>
  <c r="CJ33" i="34" s="1"/>
  <c r="CW33" i="34"/>
  <c r="AB53" i="37"/>
  <c r="Z111" i="37"/>
  <c r="AG35" i="37"/>
  <c r="Z35" i="37"/>
  <c r="AB35" i="37" s="1"/>
  <c r="AA73" i="37"/>
  <c r="Z14" i="37"/>
  <c r="AB14" i="37" s="1"/>
  <c r="AC51" i="37"/>
  <c r="Z52" i="37"/>
  <c r="AC52" i="37"/>
  <c r="BX14" i="37"/>
  <c r="AA52" i="37"/>
  <c r="AG14" i="37"/>
  <c r="BS13" i="37"/>
  <c r="AA51" i="37"/>
  <c r="AE51" i="37"/>
  <c r="AB51" i="37"/>
  <c r="Y89" i="37"/>
  <c r="Z51" i="37"/>
  <c r="BE13" i="37"/>
  <c r="CK18" i="37"/>
  <c r="CL18" i="37" s="1"/>
  <c r="AB52" i="37"/>
  <c r="CK14" i="37"/>
  <c r="CL14" i="37" s="1"/>
  <c r="BE53" i="37"/>
  <c r="AE56" i="37"/>
  <c r="CJ52" i="37"/>
  <c r="BE52" i="37"/>
  <c r="AE52" i="37"/>
  <c r="AC53" i="37"/>
  <c r="Z73" i="37"/>
  <c r="Y91" i="37"/>
  <c r="BH51" i="37"/>
  <c r="BE51" i="37"/>
  <c r="Z53" i="37"/>
  <c r="Z97" i="37"/>
  <c r="AE53" i="37"/>
  <c r="AC73" i="37"/>
  <c r="AE73" i="37"/>
  <c r="BE23" i="37"/>
  <c r="BE73" i="37"/>
  <c r="Z94" i="37"/>
  <c r="Y99" i="37"/>
  <c r="BE35" i="37"/>
  <c r="CK35" i="37"/>
  <c r="CL35" i="37" s="1"/>
  <c r="AF22" i="37"/>
  <c r="CJ56" i="37"/>
  <c r="AV15" i="37"/>
  <c r="AC56" i="37"/>
  <c r="AG18" i="37"/>
  <c r="Z18" i="37"/>
  <c r="AB18" i="37" s="1"/>
  <c r="AB56" i="37"/>
  <c r="AA56" i="37"/>
  <c r="AA61" i="37"/>
  <c r="Z56" i="37"/>
  <c r="AV22" i="37"/>
  <c r="BE60" i="37"/>
  <c r="AV24" i="37"/>
  <c r="AV17" i="37"/>
  <c r="AV23" i="37"/>
  <c r="BE22" i="37"/>
  <c r="AB60" i="37"/>
  <c r="CJ73" i="37"/>
  <c r="AG22" i="37"/>
  <c r="Z22" i="37"/>
  <c r="AB22" i="37" s="1"/>
  <c r="AA60" i="37"/>
  <c r="AC60" i="37"/>
  <c r="AV26" i="37"/>
  <c r="Z60" i="37"/>
  <c r="AE60" i="37"/>
  <c r="AV19" i="37"/>
  <c r="AB61" i="37"/>
  <c r="AE55" i="37"/>
  <c r="AV21" i="37"/>
  <c r="AV27" i="37"/>
  <c r="CJ67" i="37"/>
  <c r="AC61" i="37"/>
  <c r="AG21" i="37"/>
  <c r="BE55" i="37"/>
  <c r="Z17" i="37"/>
  <c r="AB17" i="37" s="1"/>
  <c r="CJ55" i="37"/>
  <c r="Z99" i="37"/>
  <c r="BE68" i="37"/>
  <c r="AA55" i="37"/>
  <c r="Z61" i="37"/>
  <c r="AE61" i="37"/>
  <c r="AV32" i="37"/>
  <c r="AB59" i="37"/>
  <c r="Y93" i="37"/>
  <c r="Z59" i="37"/>
  <c r="BX32" i="37"/>
  <c r="CK36" i="37"/>
  <c r="CL36" i="37" s="1"/>
  <c r="BH21" i="37"/>
  <c r="AF21" i="37"/>
  <c r="CK32" i="37"/>
  <c r="AF30" i="37"/>
  <c r="AB62" i="37"/>
  <c r="BE17" i="37"/>
  <c r="CK17" i="37"/>
  <c r="CL17" i="37" s="1"/>
  <c r="AC55" i="37"/>
  <c r="AB55" i="37"/>
  <c r="AG23" i="37"/>
  <c r="BE70" i="37"/>
  <c r="AV28" i="37"/>
  <c r="AA59" i="37"/>
  <c r="Y97" i="37"/>
  <c r="AC59" i="37"/>
  <c r="AE68" i="37"/>
  <c r="AE59" i="37"/>
  <c r="Z68" i="37"/>
  <c r="AP35" i="37"/>
  <c r="AQ35" i="37" s="1"/>
  <c r="AB21" i="37"/>
  <c r="BE72" i="37"/>
  <c r="AG17" i="37"/>
  <c r="AB68" i="37"/>
  <c r="Z55" i="37"/>
  <c r="Z106" i="37"/>
  <c r="BE30" i="37"/>
  <c r="BE64" i="37"/>
  <c r="AV31" i="37"/>
  <c r="AA68" i="37"/>
  <c r="AC68" i="37"/>
  <c r="AP34" i="37"/>
  <c r="AQ34" i="37" s="1"/>
  <c r="AE67" i="37"/>
  <c r="Y105" i="37"/>
  <c r="Z63" i="37"/>
  <c r="CJ72" i="37"/>
  <c r="BE67" i="37"/>
  <c r="AA63" i="37"/>
  <c r="CJ63" i="37"/>
  <c r="AP18" i="37"/>
  <c r="AQ18" i="37" s="1"/>
  <c r="AV36" i="37"/>
  <c r="Z62" i="37"/>
  <c r="AP21" i="37"/>
  <c r="AQ21" i="37" s="1"/>
  <c r="AA66" i="37"/>
  <c r="BS25" i="37"/>
  <c r="AE65" i="37"/>
  <c r="AC70" i="37"/>
  <c r="AF32" i="37"/>
  <c r="AP17" i="37"/>
  <c r="AQ17" i="37" s="1"/>
  <c r="AF29" i="37"/>
  <c r="BE61" i="37"/>
  <c r="BE26" i="37"/>
  <c r="CJ64" i="37"/>
  <c r="BH36" i="37"/>
  <c r="AB54" i="37"/>
  <c r="AA65" i="37"/>
  <c r="Y103" i="37"/>
  <c r="AP25" i="37"/>
  <c r="AQ25" i="37" s="1"/>
  <c r="AA74" i="37"/>
  <c r="CJ68" i="37"/>
  <c r="AE70" i="37"/>
  <c r="Z27" i="37"/>
  <c r="AB27" i="37" s="1"/>
  <c r="AF31" i="37"/>
  <c r="AB65" i="37"/>
  <c r="Z70" i="37"/>
  <c r="Y104" i="37"/>
  <c r="AP32" i="37"/>
  <c r="AQ32" i="37" s="1"/>
  <c r="BH27" i="37"/>
  <c r="AG27" i="37"/>
  <c r="AC65" i="37"/>
  <c r="Z65" i="37"/>
  <c r="BS29" i="37"/>
  <c r="Y92" i="37"/>
  <c r="AC63" i="37"/>
  <c r="AV34" i="37"/>
  <c r="AF27" i="37"/>
  <c r="AA57" i="37"/>
  <c r="AB72" i="37"/>
  <c r="Z74" i="37"/>
  <c r="AA72" i="37"/>
  <c r="AE74" i="37"/>
  <c r="BY36" i="37"/>
  <c r="BZ36" i="37" s="1"/>
  <c r="AB66" i="37"/>
  <c r="AA70" i="37"/>
  <c r="Z110" i="37"/>
  <c r="AB70" i="37"/>
  <c r="AV29" i="37"/>
  <c r="Y101" i="37"/>
  <c r="Z32" i="37"/>
  <c r="AB32" i="37" s="1"/>
  <c r="BE19" i="37"/>
  <c r="AP23" i="37"/>
  <c r="AQ23" i="37" s="1"/>
  <c r="CJ74" i="37"/>
  <c r="BS16" i="37"/>
  <c r="AC72" i="37"/>
  <c r="BS30" i="37"/>
  <c r="AE63" i="37"/>
  <c r="BE34" i="37"/>
  <c r="BE32" i="37"/>
  <c r="AF36" i="37"/>
  <c r="AG36" i="37"/>
  <c r="CJ32" i="37"/>
  <c r="AB63" i="37"/>
  <c r="Z66" i="37"/>
  <c r="Z28" i="37"/>
  <c r="AB28" i="37" s="1"/>
  <c r="Y110" i="37"/>
  <c r="Z36" i="37"/>
  <c r="AB36" i="37" s="1"/>
  <c r="Z104" i="37"/>
  <c r="BE25" i="37"/>
  <c r="BE74" i="37"/>
  <c r="AE72" i="37"/>
  <c r="AB74" i="37"/>
  <c r="AP24" i="37"/>
  <c r="AQ24" i="37" s="1"/>
  <c r="AG32" i="37"/>
  <c r="AP22" i="37"/>
  <c r="AQ22" i="37" s="1"/>
  <c r="BX25" i="37"/>
  <c r="AC74" i="37"/>
  <c r="AV25" i="37"/>
  <c r="AP19" i="37"/>
  <c r="AQ19" i="37" s="1"/>
  <c r="Z72" i="37"/>
  <c r="AA67" i="37"/>
  <c r="AA69" i="37"/>
  <c r="AP36" i="37"/>
  <c r="AQ36" i="37" s="1"/>
  <c r="AC67" i="37"/>
  <c r="BE31" i="37"/>
  <c r="Z69" i="37"/>
  <c r="Z54" i="37"/>
  <c r="BE69" i="37"/>
  <c r="BE54" i="37"/>
  <c r="Z67" i="37"/>
  <c r="BX29" i="37"/>
  <c r="BS17" i="37"/>
  <c r="Z92" i="37"/>
  <c r="AA54" i="37"/>
  <c r="Y107" i="37"/>
  <c r="BX31" i="37"/>
  <c r="BS31" i="37"/>
  <c r="Z105" i="37"/>
  <c r="BX30" i="37"/>
  <c r="AE69" i="37"/>
  <c r="AP28" i="37"/>
  <c r="AQ28" i="37" s="1"/>
  <c r="AB67" i="37"/>
  <c r="AC69" i="37"/>
  <c r="AB31" i="37"/>
  <c r="AC66" i="37"/>
  <c r="AP13" i="37"/>
  <c r="AQ13" i="37" s="1"/>
  <c r="AE66" i="37"/>
  <c r="BE16" i="37"/>
  <c r="CK31" i="37"/>
  <c r="CL31" i="37" s="1"/>
  <c r="AE64" i="37"/>
  <c r="AB64" i="37"/>
  <c r="Y102" i="37"/>
  <c r="AF26" i="37"/>
  <c r="AC64" i="37"/>
  <c r="AA64" i="37"/>
  <c r="Z64" i="37"/>
  <c r="AP14" i="37"/>
  <c r="AQ14" i="37" s="1"/>
  <c r="BS34" i="37"/>
  <c r="AP30" i="37"/>
  <c r="AQ30" i="37" s="1"/>
  <c r="CJ69" i="37"/>
  <c r="BE28" i="37"/>
  <c r="AG26" i="37"/>
  <c r="Z102" i="37"/>
  <c r="Z109" i="37"/>
  <c r="AF28" i="37"/>
  <c r="AP27" i="37"/>
  <c r="AQ27" i="37" s="1"/>
  <c r="Z58" i="37"/>
  <c r="BX34" i="37"/>
  <c r="AF19" i="37"/>
  <c r="Z57" i="37"/>
  <c r="AB71" i="37"/>
  <c r="BM15" i="37"/>
  <c r="BQ53" i="37" s="1"/>
  <c r="CM15" i="37" s="1"/>
  <c r="CJ53" i="37" s="1"/>
  <c r="AC71" i="37"/>
  <c r="BX35" i="37"/>
  <c r="BH57" i="37"/>
  <c r="BE57" i="37"/>
  <c r="Z95" i="37"/>
  <c r="BH66" i="37"/>
  <c r="BE66" i="37"/>
  <c r="AE57" i="37"/>
  <c r="Z71" i="37"/>
  <c r="AC57" i="37"/>
  <c r="Y96" i="37"/>
  <c r="AG16" i="37"/>
  <c r="AE54" i="37"/>
  <c r="AP26" i="37"/>
  <c r="AQ26" i="37" s="1"/>
  <c r="AA71" i="37"/>
  <c r="CJ54" i="37"/>
  <c r="AB57" i="37"/>
  <c r="AC54" i="37"/>
  <c r="Y95" i="37"/>
  <c r="AV33" i="37"/>
  <c r="AE71" i="37"/>
  <c r="BS26" i="37"/>
  <c r="BY15" i="37"/>
  <c r="BZ15" i="37" s="1"/>
  <c r="BX17" i="37"/>
  <c r="BH63" i="37"/>
  <c r="BE63" i="37"/>
  <c r="BX19" i="37"/>
  <c r="BX18" i="37"/>
  <c r="BH20" i="37"/>
  <c r="BE20" i="37"/>
  <c r="BS18" i="37"/>
  <c r="BH62" i="37"/>
  <c r="BE62" i="37"/>
  <c r="BH58" i="37"/>
  <c r="BE58" i="37"/>
  <c r="BH71" i="37"/>
  <c r="BE71" i="37"/>
  <c r="BY26" i="37"/>
  <c r="BZ26" i="37" s="1"/>
  <c r="BX26" i="37"/>
  <c r="AC58" i="37"/>
  <c r="AA62" i="37"/>
  <c r="BY33" i="37"/>
  <c r="BZ33" i="37" s="1"/>
  <c r="BY18" i="37"/>
  <c r="BZ18" i="37" s="1"/>
  <c r="BM23" i="37"/>
  <c r="BQ61" i="37" s="1"/>
  <c r="BM33" i="37"/>
  <c r="BQ71" i="37" s="1"/>
  <c r="CM33" i="37" s="1"/>
  <c r="CJ71" i="37" s="1"/>
  <c r="AC62" i="37"/>
  <c r="BH33" i="37"/>
  <c r="BE33" i="37"/>
  <c r="BX16" i="37"/>
  <c r="AB58" i="37"/>
  <c r="AA58" i="37"/>
  <c r="BS19" i="37"/>
  <c r="BM20" i="37"/>
  <c r="BQ58" i="37" s="1"/>
  <c r="CM20" i="37" s="1"/>
  <c r="CJ58" i="37" s="1"/>
  <c r="AV20" i="37"/>
  <c r="Z100" i="37"/>
  <c r="Z96" i="37"/>
  <c r="BY20" i="37"/>
  <c r="BZ20" i="37" s="1"/>
  <c r="BH24" i="37"/>
  <c r="BE24" i="37"/>
  <c r="BM24" i="37"/>
  <c r="BQ62" i="37" s="1"/>
  <c r="CM24" i="37" s="1"/>
  <c r="CJ62" i="37" s="1"/>
  <c r="AE62" i="37"/>
  <c r="AE58" i="37"/>
  <c r="AF20" i="37"/>
  <c r="BS35" i="37"/>
  <c r="AV36" i="36"/>
  <c r="Z116" i="36"/>
  <c r="Z76" i="36"/>
  <c r="BA74" i="36"/>
  <c r="BB74" i="36" s="1"/>
  <c r="BC74" i="36" s="1"/>
  <c r="BD74" i="36" s="1"/>
  <c r="BK74" i="36" s="1"/>
  <c r="AA76" i="36"/>
  <c r="AB76" i="36"/>
  <c r="AG78" i="36"/>
  <c r="AH78" i="36" s="1"/>
  <c r="AL40" i="36" s="1"/>
  <c r="AE36" i="36"/>
  <c r="Z112" i="36" s="1"/>
  <c r="AD36" i="36"/>
  <c r="AB74" i="36" s="1"/>
  <c r="AI78" i="36"/>
  <c r="AJ78" i="36" s="1"/>
  <c r="AM40" i="36" s="1"/>
  <c r="AS70" i="36"/>
  <c r="BA17" i="36"/>
  <c r="BB17" i="36" s="1"/>
  <c r="BC17" i="36" s="1"/>
  <c r="BD17" i="36" s="1"/>
  <c r="BK17" i="36" s="1"/>
  <c r="AS55" i="36"/>
  <c r="AI54" i="36"/>
  <c r="AJ54" i="36" s="1"/>
  <c r="AM16" i="36" s="1"/>
  <c r="AY33" i="36"/>
  <c r="BA55" i="36"/>
  <c r="BB55" i="36" s="1"/>
  <c r="BC55" i="36" s="1"/>
  <c r="BD55" i="36" s="1"/>
  <c r="BK55" i="36" s="1"/>
  <c r="AO36" i="36"/>
  <c r="AS36" i="36" s="1"/>
  <c r="AT36" i="36" s="1"/>
  <c r="AE17" i="36"/>
  <c r="Z17" i="36" s="1"/>
  <c r="BA70" i="36"/>
  <c r="BB70" i="36" s="1"/>
  <c r="BC70" i="36" s="1"/>
  <c r="BD70" i="36" s="1"/>
  <c r="BK70" i="36" s="1"/>
  <c r="AS15" i="36"/>
  <c r="AT15" i="36" s="1"/>
  <c r="AV17" i="36"/>
  <c r="AY17" i="36" s="1"/>
  <c r="AS74" i="36"/>
  <c r="AE31" i="36"/>
  <c r="Z107" i="36" s="1"/>
  <c r="CM72" i="36"/>
  <c r="AS63" i="36"/>
  <c r="CB32" i="36"/>
  <c r="CC32" i="36" s="1"/>
  <c r="BH23" i="36"/>
  <c r="AU31" i="36"/>
  <c r="AY31" i="36" s="1"/>
  <c r="AI55" i="36"/>
  <c r="AJ55" i="36" s="1"/>
  <c r="AM17" i="36" s="1"/>
  <c r="AG74" i="36"/>
  <c r="AH74" i="36" s="1"/>
  <c r="AL36" i="36" s="1"/>
  <c r="AU32" i="36"/>
  <c r="AY32" i="36" s="1"/>
  <c r="AD17" i="36"/>
  <c r="AE55" i="36" s="1"/>
  <c r="BA32" i="36"/>
  <c r="BB32" i="36" s="1"/>
  <c r="BC32" i="36" s="1"/>
  <c r="BD32" i="36" s="1"/>
  <c r="BK32" i="36" s="1"/>
  <c r="AE32" i="36"/>
  <c r="AG32" i="36" s="1"/>
  <c r="AY21" i="36"/>
  <c r="AU17" i="36"/>
  <c r="BA31" i="36"/>
  <c r="BB31" i="36" s="1"/>
  <c r="BC31" i="36" s="1"/>
  <c r="BD31" i="36" s="1"/>
  <c r="BK31" i="36" s="1"/>
  <c r="AD27" i="36"/>
  <c r="AF27" i="36" s="1"/>
  <c r="AG70" i="36"/>
  <c r="AH70" i="36" s="1"/>
  <c r="AL32" i="36" s="1"/>
  <c r="AG65" i="36"/>
  <c r="AH65" i="36" s="1"/>
  <c r="AL27" i="36" s="1"/>
  <c r="AS62" i="36"/>
  <c r="AE60" i="36"/>
  <c r="AB60" i="36"/>
  <c r="Y98" i="36"/>
  <c r="AS56" i="36"/>
  <c r="Z71" i="36"/>
  <c r="Z105" i="36"/>
  <c r="AB79" i="36"/>
  <c r="AD32" i="36"/>
  <c r="AI70" i="36"/>
  <c r="AJ70" i="36" s="1"/>
  <c r="AM32" i="36" s="1"/>
  <c r="AI65" i="36"/>
  <c r="AJ65" i="36" s="1"/>
  <c r="AM27" i="36" s="1"/>
  <c r="AV32" i="36"/>
  <c r="BH31" i="36"/>
  <c r="AA60" i="36"/>
  <c r="AD60" i="36" s="1"/>
  <c r="AK22" i="36" s="1"/>
  <c r="BH67" i="36"/>
  <c r="AC60" i="36"/>
  <c r="AB72" i="36"/>
  <c r="AC64" i="35"/>
  <c r="AC56" i="35"/>
  <c r="BH18" i="35"/>
  <c r="Z63" i="35"/>
  <c r="Z56" i="35"/>
  <c r="AD56" i="35" s="1"/>
  <c r="AK18" i="35" s="1"/>
  <c r="Z54" i="35"/>
  <c r="Z58" i="35"/>
  <c r="AA64" i="35"/>
  <c r="AA63" i="35"/>
  <c r="AA56" i="35"/>
  <c r="AA54" i="35"/>
  <c r="AR15" i="35"/>
  <c r="AB63" i="35"/>
  <c r="Z64" i="35"/>
  <c r="AD64" i="35" s="1"/>
  <c r="AK26" i="35" s="1"/>
  <c r="Z95" i="35"/>
  <c r="AS19" i="35"/>
  <c r="AT19" i="35" s="1"/>
  <c r="Z26" i="35"/>
  <c r="AB26" i="35" s="1"/>
  <c r="AP24" i="35"/>
  <c r="AR24" i="35"/>
  <c r="AY20" i="35"/>
  <c r="Z24" i="35"/>
  <c r="AB24" i="35" s="1"/>
  <c r="AP22" i="35"/>
  <c r="Z20" i="35"/>
  <c r="AB20" i="35" s="1"/>
  <c r="AD23" i="35"/>
  <c r="AC61" i="35" s="1"/>
  <c r="AA58" i="35"/>
  <c r="AQ24" i="35"/>
  <c r="Z16" i="35"/>
  <c r="AC57" i="35"/>
  <c r="AS62" i="35"/>
  <c r="AB58" i="35"/>
  <c r="AG13" i="35"/>
  <c r="CB13" i="35"/>
  <c r="CC13" i="35" s="1"/>
  <c r="BH15" i="36"/>
  <c r="CA34" i="36"/>
  <c r="AC79" i="36"/>
  <c r="AS54" i="36"/>
  <c r="AS58" i="36"/>
  <c r="BH74" i="36"/>
  <c r="AU27" i="36"/>
  <c r="CB34" i="36"/>
  <c r="CC34" i="36" s="1"/>
  <c r="Z59" i="36"/>
  <c r="AC72" i="36"/>
  <c r="AY34" i="36"/>
  <c r="Y116" i="36"/>
  <c r="AD16" i="36"/>
  <c r="AB54" i="36" s="1"/>
  <c r="AU36" i="36"/>
  <c r="AY36" i="36" s="1"/>
  <c r="BA36" i="36"/>
  <c r="BB36" i="36" s="1"/>
  <c r="BC36" i="36" s="1"/>
  <c r="BD36" i="36" s="1"/>
  <c r="AC80" i="36"/>
  <c r="Y97" i="36"/>
  <c r="AE16" i="36"/>
  <c r="Z92" i="36" s="1"/>
  <c r="AG38" i="36"/>
  <c r="Z38" i="36"/>
  <c r="AB38" i="36" s="1"/>
  <c r="AC76" i="36"/>
  <c r="AE65" i="36"/>
  <c r="AG34" i="36"/>
  <c r="BH59" i="36"/>
  <c r="Z34" i="36"/>
  <c r="AB34" i="36" s="1"/>
  <c r="BH69" i="36"/>
  <c r="Y103" i="36"/>
  <c r="BA27" i="36"/>
  <c r="BB27" i="36" s="1"/>
  <c r="BC27" i="36" s="1"/>
  <c r="BD27" i="36" s="1"/>
  <c r="AO27" i="36"/>
  <c r="AV27" i="36"/>
  <c r="BH55" i="36"/>
  <c r="AB59" i="36"/>
  <c r="Z103" i="36"/>
  <c r="Z110" i="36"/>
  <c r="AA78" i="36"/>
  <c r="CB16" i="36"/>
  <c r="CC16" i="36" s="1"/>
  <c r="Z22" i="36"/>
  <c r="AB22" i="36" s="1"/>
  <c r="AG22" i="36"/>
  <c r="BH71" i="36"/>
  <c r="AI74" i="36"/>
  <c r="AJ74" i="36" s="1"/>
  <c r="AM36" i="36" s="1"/>
  <c r="BA65" i="36"/>
  <c r="BB65" i="36" s="1"/>
  <c r="BC65" i="36" s="1"/>
  <c r="BD65" i="36" s="1"/>
  <c r="AV16" i="36"/>
  <c r="AY16" i="36" s="1"/>
  <c r="BH17" i="36"/>
  <c r="AY22" i="36"/>
  <c r="AC55" i="36"/>
  <c r="BH53" i="36"/>
  <c r="AE59" i="36"/>
  <c r="Z78" i="36"/>
  <c r="AY15" i="36"/>
  <c r="Z114" i="36"/>
  <c r="AA53" i="36"/>
  <c r="AG55" i="35"/>
  <c r="AH55" i="35" s="1"/>
  <c r="AL17" i="35" s="1"/>
  <c r="AE17" i="35"/>
  <c r="AD17" i="35"/>
  <c r="AC55" i="35" s="1"/>
  <c r="AB55" i="35"/>
  <c r="AI55" i="35"/>
  <c r="AJ55" i="35" s="1"/>
  <c r="AM17" i="35" s="1"/>
  <c r="AB57" i="35"/>
  <c r="AD53" i="35"/>
  <c r="AK15" i="35" s="1"/>
  <c r="AF16" i="35"/>
  <c r="AE54" i="35"/>
  <c r="AG23" i="35"/>
  <c r="Z23" i="35"/>
  <c r="AB23" i="35" s="1"/>
  <c r="AB62" i="35"/>
  <c r="AF22" i="35"/>
  <c r="AE60" i="35"/>
  <c r="AG25" i="35"/>
  <c r="AB25" i="35"/>
  <c r="AE63" i="35"/>
  <c r="AF25" i="35"/>
  <c r="AF23" i="35"/>
  <c r="AE61" i="35"/>
  <c r="Z61" i="35"/>
  <c r="Z62" i="35"/>
  <c r="AA62" i="35"/>
  <c r="AG19" i="35"/>
  <c r="Z19" i="35"/>
  <c r="AY19" i="35"/>
  <c r="AF18" i="35"/>
  <c r="AB18" i="35"/>
  <c r="AE56" i="35"/>
  <c r="AA61" i="35"/>
  <c r="AF20" i="35"/>
  <c r="AE58" i="35"/>
  <c r="AE62" i="35"/>
  <c r="AG22" i="35"/>
  <c r="Z22" i="35"/>
  <c r="AB22" i="35" s="1"/>
  <c r="AD58" i="35"/>
  <c r="AK20" i="35" s="1"/>
  <c r="AF19" i="35"/>
  <c r="AE57" i="35"/>
  <c r="AB19" i="35"/>
  <c r="Z57" i="35"/>
  <c r="AD57" i="35" s="1"/>
  <c r="AK19" i="35" s="1"/>
  <c r="AA60" i="35"/>
  <c r="AB60" i="35"/>
  <c r="AC62" i="35"/>
  <c r="AC60" i="35"/>
  <c r="AB16" i="35"/>
  <c r="AE59" i="35"/>
  <c r="AB21" i="35"/>
  <c r="AF21" i="35"/>
  <c r="AB56" i="35"/>
  <c r="AC59" i="35"/>
  <c r="AD59" i="35" s="1"/>
  <c r="AK21" i="35" s="1"/>
  <c r="AG18" i="35"/>
  <c r="Z18" i="35"/>
  <c r="AB61" i="35"/>
  <c r="AC54" i="35"/>
  <c r="AY18" i="35"/>
  <c r="AY13" i="35"/>
  <c r="BP18" i="35"/>
  <c r="BT56" i="35" s="1"/>
  <c r="CP18" i="35" s="1"/>
  <c r="CM56" i="35" s="1"/>
  <c r="BH71" i="35"/>
  <c r="CL32" i="35"/>
  <c r="CM70" i="35" s="1"/>
  <c r="BO19" i="35"/>
  <c r="BP19" i="35" s="1"/>
  <c r="BT57" i="35" s="1"/>
  <c r="CP19" i="35" s="1"/>
  <c r="BS56" i="35"/>
  <c r="BH26" i="35"/>
  <c r="S107" i="35"/>
  <c r="AY26" i="35"/>
  <c r="BP22" i="35"/>
  <c r="BT60" i="35" s="1"/>
  <c r="CP22" i="35" s="1"/>
  <c r="BH57" i="35"/>
  <c r="BS74" i="35"/>
  <c r="CB36" i="35" s="1"/>
  <c r="CC36" i="35" s="1"/>
  <c r="AO21" i="35"/>
  <c r="CL19" i="35"/>
  <c r="BS66" i="35"/>
  <c r="CM64" i="35"/>
  <c r="CL21" i="35"/>
  <c r="CA33" i="35"/>
  <c r="AY16" i="35"/>
  <c r="BV27" i="35"/>
  <c r="CL22" i="35"/>
  <c r="BO28" i="35"/>
  <c r="Y97" i="35"/>
  <c r="BO21" i="35"/>
  <c r="BV26" i="35"/>
  <c r="BH56" i="35"/>
  <c r="AY33" i="35"/>
  <c r="BH65" i="35"/>
  <c r="BS65" i="35"/>
  <c r="AR16" i="36"/>
  <c r="AP16" i="36"/>
  <c r="AS16" i="36" s="1"/>
  <c r="AT16" i="36" s="1"/>
  <c r="S105" i="36"/>
  <c r="BH21" i="36"/>
  <c r="BK21" i="36"/>
  <c r="Z29" i="36"/>
  <c r="AB29" i="36" s="1"/>
  <c r="AG29" i="36"/>
  <c r="AA69" i="36"/>
  <c r="BV34" i="36"/>
  <c r="AE71" i="36"/>
  <c r="AF33" i="36"/>
  <c r="AG58" i="36"/>
  <c r="AH58" i="36" s="1"/>
  <c r="AL20" i="36" s="1"/>
  <c r="BA58" i="36"/>
  <c r="BB58" i="36" s="1"/>
  <c r="BC58" i="36" s="1"/>
  <c r="BD58" i="36" s="1"/>
  <c r="Y96" i="36"/>
  <c r="AI58" i="36"/>
  <c r="AJ58" i="36" s="1"/>
  <c r="AM20" i="36" s="1"/>
  <c r="BA20" i="36"/>
  <c r="BB20" i="36" s="1"/>
  <c r="BC20" i="36" s="1"/>
  <c r="BD20" i="36" s="1"/>
  <c r="AV20" i="36"/>
  <c r="AU20" i="36"/>
  <c r="AE20" i="36"/>
  <c r="Z96" i="36" s="1"/>
  <c r="CB20" i="36"/>
  <c r="CC20" i="36" s="1"/>
  <c r="AD20" i="36"/>
  <c r="AO20" i="36"/>
  <c r="BK54" i="36"/>
  <c r="BH54" i="36"/>
  <c r="AC65" i="36"/>
  <c r="AR23" i="36"/>
  <c r="AP23" i="36"/>
  <c r="AS23" i="36" s="1"/>
  <c r="AT23" i="36" s="1"/>
  <c r="BK34" i="36"/>
  <c r="BH34" i="36"/>
  <c r="AR32" i="36"/>
  <c r="AP32" i="36"/>
  <c r="AQ32" i="36"/>
  <c r="AS64" i="36"/>
  <c r="AA80" i="36"/>
  <c r="Z41" i="36"/>
  <c r="AB41" i="36" s="1"/>
  <c r="AG41" i="36"/>
  <c r="AA74" i="36"/>
  <c r="AB78" i="36"/>
  <c r="AY29" i="36"/>
  <c r="AC69" i="36"/>
  <c r="AA71" i="36"/>
  <c r="AC53" i="36"/>
  <c r="AI57" i="36"/>
  <c r="AJ57" i="36" s="1"/>
  <c r="AM19" i="36" s="1"/>
  <c r="BA57" i="36"/>
  <c r="BB57" i="36" s="1"/>
  <c r="BC57" i="36" s="1"/>
  <c r="BD57" i="36" s="1"/>
  <c r="CB19" i="36"/>
  <c r="CC19" i="36" s="1"/>
  <c r="AV19" i="36"/>
  <c r="AU19" i="36"/>
  <c r="AY19" i="36" s="1"/>
  <c r="AG57" i="36"/>
  <c r="AH57" i="36" s="1"/>
  <c r="AL19" i="36" s="1"/>
  <c r="AE19" i="36"/>
  <c r="AA57" i="36" s="1"/>
  <c r="AD19" i="36"/>
  <c r="AO19" i="36"/>
  <c r="BA19" i="36"/>
  <c r="BB19" i="36" s="1"/>
  <c r="BC19" i="36" s="1"/>
  <c r="BD19" i="36" s="1"/>
  <c r="AE61" i="36"/>
  <c r="AF23" i="36"/>
  <c r="AB61" i="36"/>
  <c r="AD61" i="36" s="1"/>
  <c r="AI77" i="36"/>
  <c r="AJ77" i="36" s="1"/>
  <c r="AM39" i="36" s="1"/>
  <c r="AG77" i="36"/>
  <c r="AH77" i="36" s="1"/>
  <c r="AL39" i="36" s="1"/>
  <c r="AE39" i="36"/>
  <c r="Z115" i="36" s="1"/>
  <c r="AD39" i="36"/>
  <c r="AA77" i="36" s="1"/>
  <c r="AB69" i="36"/>
  <c r="AI73" i="36"/>
  <c r="AJ73" i="36" s="1"/>
  <c r="AM35" i="36" s="1"/>
  <c r="AG73" i="36"/>
  <c r="AH73" i="36" s="1"/>
  <c r="AL35" i="36" s="1"/>
  <c r="CB35" i="36"/>
  <c r="CC35" i="36" s="1"/>
  <c r="BA73" i="36"/>
  <c r="BB73" i="36" s="1"/>
  <c r="BC73" i="36" s="1"/>
  <c r="BD73" i="36" s="1"/>
  <c r="BA35" i="36"/>
  <c r="BB35" i="36" s="1"/>
  <c r="BC35" i="36" s="1"/>
  <c r="BD35" i="36" s="1"/>
  <c r="AV35" i="36"/>
  <c r="AE35" i="36"/>
  <c r="Z111" i="36" s="1"/>
  <c r="AD35" i="36"/>
  <c r="AU35" i="36"/>
  <c r="AO35" i="36"/>
  <c r="AR27" i="36"/>
  <c r="AP27" i="36"/>
  <c r="AI64" i="36"/>
  <c r="AJ64" i="36" s="1"/>
  <c r="AM26" i="36" s="1"/>
  <c r="AG64" i="36"/>
  <c r="AH64" i="36" s="1"/>
  <c r="AL26" i="36" s="1"/>
  <c r="BA64" i="36"/>
  <c r="BB64" i="36" s="1"/>
  <c r="BC64" i="36" s="1"/>
  <c r="BD64" i="36" s="1"/>
  <c r="CB26" i="36"/>
  <c r="CC26" i="36" s="1"/>
  <c r="AU26" i="36"/>
  <c r="Y102" i="36"/>
  <c r="BA26" i="36"/>
  <c r="BB26" i="36" s="1"/>
  <c r="BC26" i="36" s="1"/>
  <c r="BD26" i="36" s="1"/>
  <c r="AO26" i="36"/>
  <c r="AS26" i="36" s="1"/>
  <c r="AT26" i="36" s="1"/>
  <c r="AV26" i="36"/>
  <c r="AE26" i="36"/>
  <c r="Z102" i="36" s="1"/>
  <c r="AD26" i="36"/>
  <c r="Z80" i="36"/>
  <c r="AI63" i="36"/>
  <c r="AJ63" i="36" s="1"/>
  <c r="AM25" i="36" s="1"/>
  <c r="BA63" i="36"/>
  <c r="BB63" i="36" s="1"/>
  <c r="BC63" i="36" s="1"/>
  <c r="BD63" i="36" s="1"/>
  <c r="AG63" i="36"/>
  <c r="AH63" i="36" s="1"/>
  <c r="AL25" i="36" s="1"/>
  <c r="BA25" i="36"/>
  <c r="BB25" i="36" s="1"/>
  <c r="BC25" i="36" s="1"/>
  <c r="BD25" i="36" s="1"/>
  <c r="AO25" i="36"/>
  <c r="CB25" i="36"/>
  <c r="CC25" i="36" s="1"/>
  <c r="AE25" i="36"/>
  <c r="AD25" i="36"/>
  <c r="AV25" i="36"/>
  <c r="AU25" i="36"/>
  <c r="AA79" i="36"/>
  <c r="BH22" i="36"/>
  <c r="BK22" i="36"/>
  <c r="AE72" i="36"/>
  <c r="AF34" i="36"/>
  <c r="AB71" i="36"/>
  <c r="AP14" i="36"/>
  <c r="AR14" i="36"/>
  <c r="Z23" i="36"/>
  <c r="AB23" i="36" s="1"/>
  <c r="AG23" i="36"/>
  <c r="Y99" i="36"/>
  <c r="CA21" i="36"/>
  <c r="AF44" i="36"/>
  <c r="AE82" i="36"/>
  <c r="AB42" i="36"/>
  <c r="AE80" i="36"/>
  <c r="AF42" i="36"/>
  <c r="AP30" i="36"/>
  <c r="AR30" i="36"/>
  <c r="AI51" i="36"/>
  <c r="AJ51" i="36" s="1"/>
  <c r="AM13" i="36" s="1"/>
  <c r="AC51" i="36"/>
  <c r="AB51" i="36"/>
  <c r="AG51" i="36"/>
  <c r="AH51" i="36" s="1"/>
  <c r="AL13" i="36" s="1"/>
  <c r="CB13" i="36"/>
  <c r="CC13" i="36" s="1"/>
  <c r="AV13" i="36"/>
  <c r="AE13" i="36"/>
  <c r="Z89" i="36" s="1"/>
  <c r="BA51" i="36"/>
  <c r="BB51" i="36" s="1"/>
  <c r="BC51" i="36" s="1"/>
  <c r="BD51" i="36" s="1"/>
  <c r="BA13" i="36"/>
  <c r="BB13" i="36" s="1"/>
  <c r="BC13" i="36" s="1"/>
  <c r="BD13" i="36" s="1"/>
  <c r="AD13" i="36"/>
  <c r="Y89" i="36" s="1"/>
  <c r="AU13" i="36"/>
  <c r="AY13" i="36" s="1"/>
  <c r="AO13" i="36"/>
  <c r="AS13" i="36" s="1"/>
  <c r="AT13" i="36" s="1"/>
  <c r="S108" i="36"/>
  <c r="S110" i="36" s="1"/>
  <c r="S114" i="36" s="1"/>
  <c r="AS73" i="36"/>
  <c r="BH61" i="36"/>
  <c r="Z82" i="36"/>
  <c r="BA62" i="36"/>
  <c r="BB62" i="36" s="1"/>
  <c r="BC62" i="36" s="1"/>
  <c r="BD62" i="36" s="1"/>
  <c r="BA24" i="36"/>
  <c r="BB24" i="36" s="1"/>
  <c r="BC24" i="36" s="1"/>
  <c r="BD24" i="36" s="1"/>
  <c r="AI62" i="36"/>
  <c r="AJ62" i="36" s="1"/>
  <c r="AM24" i="36" s="1"/>
  <c r="AO24" i="36"/>
  <c r="AS24" i="36" s="1"/>
  <c r="AT24" i="36" s="1"/>
  <c r="AG62" i="36"/>
  <c r="AH62" i="36" s="1"/>
  <c r="AL24" i="36" s="1"/>
  <c r="AV24" i="36"/>
  <c r="AU24" i="36"/>
  <c r="AY24" i="36" s="1"/>
  <c r="AE24" i="36"/>
  <c r="Z100" i="36" s="1"/>
  <c r="AD24" i="36"/>
  <c r="AA62" i="36" s="1"/>
  <c r="CB24" i="36"/>
  <c r="CC24" i="36" s="1"/>
  <c r="AF41" i="36"/>
  <c r="AE79" i="36"/>
  <c r="Z65" i="36"/>
  <c r="AG36" i="36"/>
  <c r="Z36" i="36"/>
  <c r="AB36" i="36" s="1"/>
  <c r="AR34" i="36"/>
  <c r="AQ34" i="36"/>
  <c r="AP34" i="36"/>
  <c r="AR28" i="36"/>
  <c r="AP28" i="36"/>
  <c r="AE69" i="36"/>
  <c r="AF31" i="36"/>
  <c r="AS33" i="36"/>
  <c r="AT33" i="36" s="1"/>
  <c r="AY23" i="36"/>
  <c r="AC61" i="36"/>
  <c r="AR21" i="36"/>
  <c r="AP21" i="36"/>
  <c r="AI66" i="36"/>
  <c r="AJ66" i="36" s="1"/>
  <c r="AM28" i="36" s="1"/>
  <c r="BA66" i="36"/>
  <c r="BB66" i="36" s="1"/>
  <c r="BC66" i="36" s="1"/>
  <c r="BD66" i="36" s="1"/>
  <c r="AV28" i="36"/>
  <c r="AE28" i="36"/>
  <c r="AO28" i="36"/>
  <c r="AS66" i="36"/>
  <c r="AG66" i="36"/>
  <c r="AH66" i="36" s="1"/>
  <c r="AL28" i="36" s="1"/>
  <c r="AD28" i="36"/>
  <c r="Y104" i="36" s="1"/>
  <c r="BA28" i="36"/>
  <c r="BB28" i="36" s="1"/>
  <c r="BC28" i="36" s="1"/>
  <c r="BD28" i="36" s="1"/>
  <c r="AU28" i="36"/>
  <c r="CB28" i="36"/>
  <c r="CC28" i="36" s="1"/>
  <c r="AI75" i="36"/>
  <c r="AJ75" i="36" s="1"/>
  <c r="AM37" i="36" s="1"/>
  <c r="AG75" i="36"/>
  <c r="AH75" i="36" s="1"/>
  <c r="AL37" i="36" s="1"/>
  <c r="AD37" i="36"/>
  <c r="Y113" i="36" s="1"/>
  <c r="AE37" i="36"/>
  <c r="Z113" i="36" s="1"/>
  <c r="AA82" i="36"/>
  <c r="Z79" i="36"/>
  <c r="Y110" i="36"/>
  <c r="AS31" i="36"/>
  <c r="AT31" i="36" s="1"/>
  <c r="BH33" i="36"/>
  <c r="BK33" i="36"/>
  <c r="AS17" i="36"/>
  <c r="AT17" i="36" s="1"/>
  <c r="Z93" i="36"/>
  <c r="AQ27" i="36"/>
  <c r="AR35" i="36"/>
  <c r="AP35" i="36"/>
  <c r="Z21" i="36"/>
  <c r="AB21" i="36" s="1"/>
  <c r="AG21" i="36"/>
  <c r="AE67" i="36"/>
  <c r="Z67" i="36"/>
  <c r="AC71" i="36"/>
  <c r="BA52" i="36"/>
  <c r="BB52" i="36" s="1"/>
  <c r="BC52" i="36" s="1"/>
  <c r="BD52" i="36" s="1"/>
  <c r="AI52" i="36"/>
  <c r="AJ52" i="36" s="1"/>
  <c r="AM14" i="36" s="1"/>
  <c r="AG52" i="36"/>
  <c r="AH52" i="36" s="1"/>
  <c r="AL14" i="36" s="1"/>
  <c r="Z90" i="36"/>
  <c r="AC52" i="36"/>
  <c r="Y90" i="36"/>
  <c r="AV14" i="36"/>
  <c r="CB14" i="36"/>
  <c r="CC14" i="36" s="1"/>
  <c r="AU14" i="36"/>
  <c r="AD14" i="36"/>
  <c r="AE14" i="36"/>
  <c r="BA14" i="36"/>
  <c r="BB14" i="36" s="1"/>
  <c r="BC14" i="36" s="1"/>
  <c r="BD14" i="36" s="1"/>
  <c r="AO14" i="36"/>
  <c r="AS14" i="36" s="1"/>
  <c r="AT14" i="36" s="1"/>
  <c r="AE53" i="36"/>
  <c r="AF15" i="36"/>
  <c r="AC82" i="36"/>
  <c r="BK60" i="36"/>
  <c r="BH60" i="36"/>
  <c r="AF36" i="36"/>
  <c r="AA59" i="36"/>
  <c r="BA56" i="36"/>
  <c r="BB56" i="36" s="1"/>
  <c r="BC56" i="36" s="1"/>
  <c r="BD56" i="36" s="1"/>
  <c r="AI56" i="36"/>
  <c r="AJ56" i="36" s="1"/>
  <c r="AM18" i="36" s="1"/>
  <c r="AG56" i="36"/>
  <c r="AH56" i="36" s="1"/>
  <c r="AL18" i="36" s="1"/>
  <c r="AE18" i="36"/>
  <c r="Z94" i="36" s="1"/>
  <c r="AV18" i="36"/>
  <c r="CB18" i="36"/>
  <c r="CC18" i="36" s="1"/>
  <c r="AU18" i="36"/>
  <c r="AD18" i="36"/>
  <c r="AO18" i="36"/>
  <c r="AS18" i="36" s="1"/>
  <c r="AT18" i="36" s="1"/>
  <c r="BA18" i="36"/>
  <c r="BB18" i="36" s="1"/>
  <c r="BC18" i="36" s="1"/>
  <c r="BD18" i="36" s="1"/>
  <c r="AF40" i="36"/>
  <c r="AE78" i="36"/>
  <c r="AB40" i="36"/>
  <c r="AB80" i="36"/>
  <c r="AA67" i="36"/>
  <c r="AR19" i="36"/>
  <c r="AP19" i="36"/>
  <c r="AG15" i="36"/>
  <c r="Z15" i="36"/>
  <c r="AB15" i="36" s="1"/>
  <c r="Z53" i="36"/>
  <c r="AR29" i="36"/>
  <c r="AP29" i="36"/>
  <c r="AS29" i="36" s="1"/>
  <c r="AT29" i="36" s="1"/>
  <c r="AG31" i="36"/>
  <c r="Z31" i="36"/>
  <c r="AB31" i="36" s="1"/>
  <c r="BA68" i="36"/>
  <c r="BB68" i="36" s="1"/>
  <c r="BC68" i="36" s="1"/>
  <c r="BD68" i="36" s="1"/>
  <c r="AG68" i="36"/>
  <c r="AH68" i="36" s="1"/>
  <c r="AL30" i="36" s="1"/>
  <c r="CB30" i="36"/>
  <c r="CC30" i="36" s="1"/>
  <c r="AU30" i="36"/>
  <c r="BA30" i="36"/>
  <c r="BB30" i="36" s="1"/>
  <c r="BC30" i="36" s="1"/>
  <c r="BD30" i="36" s="1"/>
  <c r="AI68" i="36"/>
  <c r="AJ68" i="36" s="1"/>
  <c r="AM30" i="36" s="1"/>
  <c r="AV30" i="36"/>
  <c r="AE30" i="36"/>
  <c r="AO30" i="36"/>
  <c r="AD30" i="36"/>
  <c r="AA68" i="36" s="1"/>
  <c r="Z69" i="36"/>
  <c r="AB82" i="36"/>
  <c r="AI81" i="36"/>
  <c r="AJ81" i="36" s="1"/>
  <c r="AM43" i="36" s="1"/>
  <c r="AD43" i="36"/>
  <c r="AG81" i="36"/>
  <c r="AH81" i="36" s="1"/>
  <c r="AL43" i="36" s="1"/>
  <c r="AE43" i="36"/>
  <c r="AP20" i="36"/>
  <c r="AR20" i="36"/>
  <c r="AG44" i="36"/>
  <c r="Z44" i="36"/>
  <c r="AB44" i="36" s="1"/>
  <c r="Y120" i="36"/>
  <c r="AQ20" i="36"/>
  <c r="Y117" i="36"/>
  <c r="AR25" i="36"/>
  <c r="AP25" i="36"/>
  <c r="Z27" i="36"/>
  <c r="AB27" i="36" s="1"/>
  <c r="AG27" i="36"/>
  <c r="AQ21" i="36"/>
  <c r="BK29" i="36"/>
  <c r="BH29" i="36"/>
  <c r="AC59" i="36"/>
  <c r="AA72" i="36"/>
  <c r="AB67" i="36"/>
  <c r="Z33" i="36"/>
  <c r="AB33" i="36" s="1"/>
  <c r="AG33" i="36"/>
  <c r="AB53" i="36"/>
  <c r="Y118" i="35"/>
  <c r="BH72" i="35"/>
  <c r="Z116" i="35"/>
  <c r="CB32" i="35"/>
  <c r="CC32" i="35" s="1"/>
  <c r="CB19" i="35"/>
  <c r="CC19" i="35" s="1"/>
  <c r="CM54" i="35"/>
  <c r="CM68" i="35"/>
  <c r="AU35" i="35"/>
  <c r="AY35" i="35" s="1"/>
  <c r="CL35" i="35"/>
  <c r="CA32" i="35"/>
  <c r="AY34" i="35"/>
  <c r="BV30" i="35"/>
  <c r="AO35" i="35"/>
  <c r="BA35" i="35"/>
  <c r="BB35" i="35" s="1"/>
  <c r="BC35" i="35" s="1"/>
  <c r="BD35" i="35" s="1"/>
  <c r="BK35" i="35" s="1"/>
  <c r="AY32" i="35"/>
  <c r="Z97" i="35"/>
  <c r="CM51" i="35"/>
  <c r="CA30" i="35"/>
  <c r="BV16" i="35"/>
  <c r="BH68" i="35"/>
  <c r="BH29" i="35"/>
  <c r="CB33" i="35"/>
  <c r="CC33" i="35" s="1"/>
  <c r="Y96" i="35"/>
  <c r="BO35" i="35"/>
  <c r="BP35" i="35" s="1"/>
  <c r="BT73" i="35" s="1"/>
  <c r="CP35" i="35" s="1"/>
  <c r="AS34" i="35"/>
  <c r="AT34" i="35" s="1"/>
  <c r="CM18" i="35"/>
  <c r="CO18" i="35" s="1"/>
  <c r="Z106" i="35"/>
  <c r="AV21" i="35"/>
  <c r="AU21" i="35"/>
  <c r="CA20" i="35"/>
  <c r="BA73" i="35"/>
  <c r="BB73" i="35" s="1"/>
  <c r="BC73" i="35" s="1"/>
  <c r="BD73" i="35" s="1"/>
  <c r="AA51" i="35"/>
  <c r="BA21" i="35"/>
  <c r="BB21" i="35" s="1"/>
  <c r="BC21" i="35" s="1"/>
  <c r="BD21" i="35" s="1"/>
  <c r="BH21" i="35" s="1"/>
  <c r="BH13" i="35"/>
  <c r="CM13" i="35"/>
  <c r="CO13" i="35" s="1"/>
  <c r="AS55" i="35"/>
  <c r="BH19" i="35"/>
  <c r="BH20" i="35"/>
  <c r="AS33" i="35"/>
  <c r="AT33" i="35" s="1"/>
  <c r="Z103" i="35"/>
  <c r="AY30" i="35"/>
  <c r="CM58" i="35"/>
  <c r="CB21" i="35"/>
  <c r="CC21" i="35" s="1"/>
  <c r="AS59" i="35"/>
  <c r="AS61" i="35"/>
  <c r="CA16" i="35"/>
  <c r="CB35" i="35"/>
  <c r="CC35" i="35" s="1"/>
  <c r="Z102" i="35"/>
  <c r="BV13" i="35"/>
  <c r="Z107" i="35"/>
  <c r="AU31" i="35"/>
  <c r="BA69" i="35"/>
  <c r="BB69" i="35" s="1"/>
  <c r="BC69" i="35" s="1"/>
  <c r="BD69" i="35" s="1"/>
  <c r="BS69" i="35"/>
  <c r="CB31" i="35" s="1"/>
  <c r="CC31" i="35" s="1"/>
  <c r="BA31" i="35"/>
  <c r="BB31" i="35" s="1"/>
  <c r="BC31" i="35" s="1"/>
  <c r="BD31" i="35" s="1"/>
  <c r="BO31" i="35"/>
  <c r="AV31" i="35"/>
  <c r="Y107" i="35"/>
  <c r="CL31" i="35"/>
  <c r="CM31" i="35" s="1"/>
  <c r="AO31" i="35"/>
  <c r="AS31" i="35" s="1"/>
  <c r="AT31" i="35" s="1"/>
  <c r="Y111" i="35"/>
  <c r="Z92" i="35"/>
  <c r="AR26" i="35"/>
  <c r="AP26" i="35"/>
  <c r="Y102" i="35"/>
  <c r="BA66" i="35"/>
  <c r="BB66" i="35" s="1"/>
  <c r="BC66" i="35" s="1"/>
  <c r="BD66" i="35" s="1"/>
  <c r="AU28" i="35"/>
  <c r="AV28" i="35"/>
  <c r="BA28" i="35"/>
  <c r="BB28" i="35" s="1"/>
  <c r="BC28" i="35" s="1"/>
  <c r="BD28" i="35" s="1"/>
  <c r="AO28" i="35"/>
  <c r="BS62" i="35"/>
  <c r="CB24" i="35" s="1"/>
  <c r="CC24" i="35" s="1"/>
  <c r="AU24" i="35"/>
  <c r="AO24" i="35"/>
  <c r="AS24" i="35" s="1"/>
  <c r="AT24" i="35" s="1"/>
  <c r="BA24" i="35"/>
  <c r="BB24" i="35" s="1"/>
  <c r="BC24" i="35" s="1"/>
  <c r="BD24" i="35" s="1"/>
  <c r="BA62" i="35"/>
  <c r="BB62" i="35" s="1"/>
  <c r="BC62" i="35" s="1"/>
  <c r="BD62" i="35" s="1"/>
  <c r="CL24" i="35"/>
  <c r="BO24" i="35"/>
  <c r="AV24" i="35"/>
  <c r="Z111" i="35"/>
  <c r="CB16" i="35"/>
  <c r="CC16" i="35" s="1"/>
  <c r="Y106" i="35"/>
  <c r="BA55" i="35"/>
  <c r="BB55" i="35" s="1"/>
  <c r="BC55" i="35" s="1"/>
  <c r="BD55" i="35" s="1"/>
  <c r="AV17" i="35"/>
  <c r="CN17" i="35"/>
  <c r="CM17" i="35"/>
  <c r="AU17" i="35"/>
  <c r="CL17" i="35"/>
  <c r="Z93" i="35"/>
  <c r="AO17" i="35"/>
  <c r="AS17" i="35" s="1"/>
  <c r="AT17" i="35" s="1"/>
  <c r="BA17" i="35"/>
  <c r="BB17" i="35" s="1"/>
  <c r="BC17" i="35" s="1"/>
  <c r="BD17" i="35" s="1"/>
  <c r="BO17" i="35"/>
  <c r="S126" i="35"/>
  <c r="S122" i="35"/>
  <c r="Q124" i="35" s="1"/>
  <c r="AR21" i="35"/>
  <c r="AQ21" i="35"/>
  <c r="AP21" i="35"/>
  <c r="CM71" i="35"/>
  <c r="AV23" i="35"/>
  <c r="BA61" i="35"/>
  <c r="BB61" i="35" s="1"/>
  <c r="BC61" i="35" s="1"/>
  <c r="BD61" i="35" s="1"/>
  <c r="Y99" i="35"/>
  <c r="CL23" i="35"/>
  <c r="BO23" i="35"/>
  <c r="AO23" i="35"/>
  <c r="AS23" i="35" s="1"/>
  <c r="AT23" i="35" s="1"/>
  <c r="CB23" i="35"/>
  <c r="CC23" i="35" s="1"/>
  <c r="BA23" i="35"/>
  <c r="BB23" i="35" s="1"/>
  <c r="BC23" i="35" s="1"/>
  <c r="BD23" i="35" s="1"/>
  <c r="AU23" i="35"/>
  <c r="AE51" i="35"/>
  <c r="AB13" i="35"/>
  <c r="AF13" i="35"/>
  <c r="CO32" i="35"/>
  <c r="AY27" i="35"/>
  <c r="AS13" i="35"/>
  <c r="AT13" i="35" s="1"/>
  <c r="BK54" i="35"/>
  <c r="BH54" i="35"/>
  <c r="AQ26" i="35"/>
  <c r="CB20" i="35"/>
  <c r="CC20" i="35" s="1"/>
  <c r="AS53" i="35"/>
  <c r="Z109" i="35"/>
  <c r="BV20" i="35"/>
  <c r="BH59" i="35"/>
  <c r="BH30" i="35"/>
  <c r="BK30" i="35"/>
  <c r="Z112" i="35"/>
  <c r="BA74" i="35"/>
  <c r="BB74" i="35" s="1"/>
  <c r="BC74" i="35" s="1"/>
  <c r="BD74" i="35" s="1"/>
  <c r="BA36" i="35"/>
  <c r="BB36" i="35" s="1"/>
  <c r="BC36" i="35" s="1"/>
  <c r="BD36" i="35" s="1"/>
  <c r="CN36" i="35"/>
  <c r="BO36" i="35"/>
  <c r="CM36" i="35"/>
  <c r="CO36" i="35" s="1"/>
  <c r="AV36" i="35"/>
  <c r="CL36" i="35"/>
  <c r="AU36" i="35"/>
  <c r="AO36" i="35"/>
  <c r="AS36" i="35" s="1"/>
  <c r="AT36" i="35" s="1"/>
  <c r="BH67" i="35"/>
  <c r="Z96" i="35"/>
  <c r="BH27" i="35"/>
  <c r="Z110" i="35"/>
  <c r="AR35" i="35"/>
  <c r="AP35" i="35"/>
  <c r="AR28" i="35"/>
  <c r="AP28" i="35"/>
  <c r="AS32" i="35"/>
  <c r="AT32" i="35" s="1"/>
  <c r="AU25" i="35"/>
  <c r="BA63" i="35"/>
  <c r="BB63" i="35" s="1"/>
  <c r="BC63" i="35" s="1"/>
  <c r="BD63" i="35" s="1"/>
  <c r="BS63" i="35"/>
  <c r="AV25" i="35"/>
  <c r="BO25" i="35"/>
  <c r="CL25" i="35"/>
  <c r="AO25" i="35"/>
  <c r="AS25" i="35" s="1"/>
  <c r="AT25" i="35" s="1"/>
  <c r="BA25" i="35"/>
  <c r="BB25" i="35" s="1"/>
  <c r="BC25" i="35" s="1"/>
  <c r="BD25" i="35" s="1"/>
  <c r="CB30" i="35"/>
  <c r="CC30" i="35" s="1"/>
  <c r="BK64" i="35"/>
  <c r="BH64" i="35"/>
  <c r="CA13" i="35"/>
  <c r="AS18" i="35"/>
  <c r="AT18" i="35" s="1"/>
  <c r="BP29" i="35"/>
  <c r="BT67" i="35" s="1"/>
  <c r="CP29" i="35" s="1"/>
  <c r="CM67" i="35" s="1"/>
  <c r="Y91" i="35"/>
  <c r="BS53" i="35"/>
  <c r="CB15" i="35" s="1"/>
  <c r="CC15" i="35" s="1"/>
  <c r="BA53" i="35"/>
  <c r="BB53" i="35" s="1"/>
  <c r="BC53" i="35" s="1"/>
  <c r="BD53" i="35" s="1"/>
  <c r="AO15" i="35"/>
  <c r="AS15" i="35" s="1"/>
  <c r="AT15" i="35" s="1"/>
  <c r="AV15" i="35"/>
  <c r="BA15" i="35"/>
  <c r="BB15" i="35" s="1"/>
  <c r="BC15" i="35" s="1"/>
  <c r="BD15" i="35" s="1"/>
  <c r="AU15" i="35"/>
  <c r="BO15" i="35"/>
  <c r="CL15" i="35"/>
  <c r="BK70" i="35"/>
  <c r="BH70" i="35"/>
  <c r="BA60" i="35"/>
  <c r="BB60" i="35" s="1"/>
  <c r="BC60" i="35" s="1"/>
  <c r="BD60" i="35" s="1"/>
  <c r="CB22" i="35"/>
  <c r="CC22" i="35" s="1"/>
  <c r="AU22" i="35"/>
  <c r="AS60" i="35"/>
  <c r="BA22" i="35"/>
  <c r="BB22" i="35" s="1"/>
  <c r="BC22" i="35" s="1"/>
  <c r="BD22" i="35" s="1"/>
  <c r="AV22" i="35"/>
  <c r="AO22" i="35"/>
  <c r="Z51" i="35"/>
  <c r="BK16" i="35"/>
  <c r="BH16" i="35"/>
  <c r="AS30" i="35"/>
  <c r="AT30" i="35" s="1"/>
  <c r="CA19" i="35"/>
  <c r="AP20" i="35"/>
  <c r="AR20" i="35"/>
  <c r="AQ20" i="35"/>
  <c r="BK34" i="35"/>
  <c r="BH34" i="35"/>
  <c r="CA26" i="35"/>
  <c r="AB51" i="35"/>
  <c r="BK58" i="35"/>
  <c r="BH58" i="35"/>
  <c r="BP34" i="35"/>
  <c r="BT72" i="35" s="1"/>
  <c r="CP34" i="35" s="1"/>
  <c r="CM72" i="35" s="1"/>
  <c r="AS69" i="35"/>
  <c r="BV33" i="35"/>
  <c r="BK32" i="35"/>
  <c r="BH32" i="35"/>
  <c r="AC51" i="35"/>
  <c r="AI52" i="35"/>
  <c r="AJ52" i="35" s="1"/>
  <c r="AM14" i="35" s="1"/>
  <c r="AG52" i="35"/>
  <c r="AH52" i="35" s="1"/>
  <c r="AL14" i="35" s="1"/>
  <c r="BA52" i="35"/>
  <c r="BB52" i="35" s="1"/>
  <c r="BC52" i="35" s="1"/>
  <c r="BD52" i="35" s="1"/>
  <c r="CL14" i="35"/>
  <c r="CN14" i="35" s="1"/>
  <c r="AD14" i="35"/>
  <c r="CB14" i="35"/>
  <c r="CC14" i="35" s="1"/>
  <c r="AO14" i="35"/>
  <c r="AS14" i="35" s="1"/>
  <c r="AT14" i="35" s="1"/>
  <c r="BA14" i="35"/>
  <c r="BB14" i="35" s="1"/>
  <c r="BC14" i="35" s="1"/>
  <c r="BD14" i="35" s="1"/>
  <c r="AV14" i="35"/>
  <c r="BO14" i="35"/>
  <c r="AE14" i="35"/>
  <c r="AU14" i="35"/>
  <c r="BV32" i="35"/>
  <c r="BH51" i="35"/>
  <c r="S108" i="35"/>
  <c r="BS55" i="35"/>
  <c r="CB17" i="35" s="1"/>
  <c r="CC17" i="35" s="1"/>
  <c r="Y109" i="35"/>
  <c r="AS66" i="35"/>
  <c r="Y108" i="35"/>
  <c r="Y95" i="35"/>
  <c r="AR27" i="35"/>
  <c r="AP27" i="35"/>
  <c r="AR16" i="35"/>
  <c r="AP16" i="35"/>
  <c r="AS16" i="35" s="1"/>
  <c r="AT16" i="35" s="1"/>
  <c r="AQ33" i="34"/>
  <c r="AQ72" i="34"/>
  <c r="T74" i="34"/>
  <c r="AR36" i="34" s="1"/>
  <c r="BN34" i="34"/>
  <c r="T73" i="34"/>
  <c r="AR35" i="34" s="1"/>
  <c r="CK34" i="34"/>
  <c r="BN36" i="34"/>
  <c r="BN35" i="34"/>
  <c r="BM34" i="34"/>
  <c r="CK36" i="34"/>
  <c r="CK33" i="34"/>
  <c r="T72" i="34"/>
  <c r="AR34" i="34" s="1"/>
  <c r="AR33" i="34"/>
  <c r="AP33" i="34"/>
  <c r="AQ71" i="34"/>
  <c r="AR71" i="34" s="1"/>
  <c r="AQ73" i="34"/>
  <c r="AR73" i="34" s="1"/>
  <c r="AR72" i="34"/>
  <c r="AQ74" i="34"/>
  <c r="AR74" i="34" s="1"/>
  <c r="CK35" i="34"/>
  <c r="BN33" i="34"/>
  <c r="AD53" i="37" l="1"/>
  <c r="AD73" i="37"/>
  <c r="AD51" i="37"/>
  <c r="AD52" i="37"/>
  <c r="AD56" i="37"/>
  <c r="AD60" i="37"/>
  <c r="AD61" i="37"/>
  <c r="BS15" i="37"/>
  <c r="BS20" i="37"/>
  <c r="CL32" i="37"/>
  <c r="AD55" i="37"/>
  <c r="AD59" i="37"/>
  <c r="AD68" i="37"/>
  <c r="BS23" i="37"/>
  <c r="AD65" i="37"/>
  <c r="AD72" i="37"/>
  <c r="AD63" i="37"/>
  <c r="AD57" i="37"/>
  <c r="AD74" i="37"/>
  <c r="AD70" i="37"/>
  <c r="BS24" i="37"/>
  <c r="AD66" i="37"/>
  <c r="AD67" i="37"/>
  <c r="AD69" i="37"/>
  <c r="BX24" i="37"/>
  <c r="AD54" i="37"/>
  <c r="AD71" i="37"/>
  <c r="AD64" i="37"/>
  <c r="AD62" i="37"/>
  <c r="AD58" i="37"/>
  <c r="BX20" i="37"/>
  <c r="BX33" i="37"/>
  <c r="BX15" i="37"/>
  <c r="BS33" i="37"/>
  <c r="CM23" i="37"/>
  <c r="CJ61" i="37" s="1"/>
  <c r="BX23" i="37"/>
  <c r="AC77" i="36"/>
  <c r="AY35" i="36"/>
  <c r="AC73" i="36"/>
  <c r="AC74" i="36"/>
  <c r="Y112" i="36"/>
  <c r="AE74" i="36"/>
  <c r="Z74" i="36"/>
  <c r="AD74" i="36" s="1"/>
  <c r="AK36" i="36" s="1"/>
  <c r="AD76" i="36"/>
  <c r="AK38" i="36" s="1"/>
  <c r="Z108" i="36"/>
  <c r="Z32" i="36"/>
  <c r="Z55" i="36"/>
  <c r="AA63" i="36"/>
  <c r="AB55" i="36"/>
  <c r="AB64" i="36"/>
  <c r="Y93" i="36"/>
  <c r="AC64" i="36"/>
  <c r="AB17" i="36"/>
  <c r="AG17" i="36"/>
  <c r="AB70" i="36"/>
  <c r="AB65" i="36"/>
  <c r="AD79" i="36"/>
  <c r="AK41" i="36" s="1"/>
  <c r="BH32" i="36"/>
  <c r="AA55" i="36"/>
  <c r="AF16" i="36"/>
  <c r="BH70" i="36"/>
  <c r="AY27" i="36"/>
  <c r="AF17" i="36"/>
  <c r="AC81" i="36"/>
  <c r="Z66" i="36"/>
  <c r="AD66" i="36" s="1"/>
  <c r="AK28" i="36" s="1"/>
  <c r="AY20" i="36"/>
  <c r="AA65" i="36"/>
  <c r="AB81" i="36"/>
  <c r="AF32" i="36"/>
  <c r="AB32" i="36"/>
  <c r="Z104" i="36"/>
  <c r="AY26" i="36"/>
  <c r="Z95" i="36"/>
  <c r="AA70" i="36"/>
  <c r="AC70" i="36"/>
  <c r="AE70" i="36"/>
  <c r="Z101" i="36"/>
  <c r="Z70" i="36"/>
  <c r="AA52" i="36"/>
  <c r="AD71" i="36"/>
  <c r="AK33" i="36" s="1"/>
  <c r="Y108" i="36"/>
  <c r="Z63" i="36"/>
  <c r="Z57" i="36"/>
  <c r="AD54" i="35"/>
  <c r="AK16" i="35" s="1"/>
  <c r="AD60" i="35"/>
  <c r="AK22" i="35" s="1"/>
  <c r="AD63" i="35"/>
  <c r="AK25" i="35" s="1"/>
  <c r="AY15" i="35"/>
  <c r="Z55" i="35"/>
  <c r="AS22" i="35"/>
  <c r="AT22" i="35" s="1"/>
  <c r="AA55" i="35"/>
  <c r="Y119" i="36"/>
  <c r="AS34" i="36"/>
  <c r="AT34" i="36" s="1"/>
  <c r="Z77" i="36"/>
  <c r="AS20" i="36"/>
  <c r="AT20" i="36" s="1"/>
  <c r="Z119" i="36"/>
  <c r="AA75" i="36"/>
  <c r="Z58" i="36"/>
  <c r="Z81" i="36"/>
  <c r="Z16" i="36"/>
  <c r="AB16" i="36" s="1"/>
  <c r="AY25" i="36"/>
  <c r="AB57" i="36"/>
  <c r="BK27" i="36"/>
  <c r="BH27" i="36"/>
  <c r="AD65" i="36"/>
  <c r="AK27" i="36" s="1"/>
  <c r="BK36" i="36"/>
  <c r="BH36" i="36"/>
  <c r="AK23" i="36"/>
  <c r="AA54" i="36"/>
  <c r="Z54" i="36"/>
  <c r="AC54" i="36"/>
  <c r="Y92" i="36"/>
  <c r="AS35" i="36"/>
  <c r="AT35" i="36" s="1"/>
  <c r="BK65" i="36"/>
  <c r="BH65" i="36"/>
  <c r="AS21" i="36"/>
  <c r="AT21" i="36" s="1"/>
  <c r="AC66" i="36"/>
  <c r="AD72" i="36"/>
  <c r="AK34" i="36" s="1"/>
  <c r="AA81" i="36"/>
  <c r="AD59" i="36"/>
  <c r="AK21" i="36" s="1"/>
  <c r="AG16" i="36"/>
  <c r="AE54" i="36"/>
  <c r="AD80" i="36"/>
  <c r="AK42" i="36" s="1"/>
  <c r="AD78" i="36"/>
  <c r="AK40" i="36" s="1"/>
  <c r="Y100" i="36"/>
  <c r="Y106" i="36"/>
  <c r="AC68" i="36"/>
  <c r="AY18" i="36"/>
  <c r="AB66" i="36"/>
  <c r="AA73" i="36"/>
  <c r="Y95" i="36"/>
  <c r="AA51" i="36"/>
  <c r="BV19" i="35"/>
  <c r="AD62" i="35"/>
  <c r="AK24" i="35" s="1"/>
  <c r="AD61" i="35"/>
  <c r="AK23" i="35" s="1"/>
  <c r="Z17" i="35"/>
  <c r="AG17" i="35"/>
  <c r="AD55" i="35"/>
  <c r="AK17" i="35" s="1"/>
  <c r="AE55" i="35"/>
  <c r="AF17" i="35"/>
  <c r="AB17" i="35"/>
  <c r="AY25" i="35"/>
  <c r="CA18" i="35"/>
  <c r="CM60" i="35"/>
  <c r="CM57" i="35"/>
  <c r="BV18" i="35"/>
  <c r="AA52" i="35"/>
  <c r="CA22" i="35"/>
  <c r="S110" i="35"/>
  <c r="S114" i="35" s="1"/>
  <c r="AY21" i="35"/>
  <c r="CB18" i="35"/>
  <c r="CC18" i="35" s="1"/>
  <c r="AS20" i="35"/>
  <c r="AT20" i="35" s="1"/>
  <c r="CO17" i="35"/>
  <c r="BV35" i="35"/>
  <c r="AS35" i="35"/>
  <c r="AT35" i="35" s="1"/>
  <c r="BP21" i="35"/>
  <c r="BT59" i="35" s="1"/>
  <c r="AY22" i="35"/>
  <c r="BP28" i="35"/>
  <c r="BT66" i="35" s="1"/>
  <c r="CP28" i="35" s="1"/>
  <c r="CM66" i="35" s="1"/>
  <c r="BV28" i="35"/>
  <c r="BV22" i="35"/>
  <c r="CB28" i="35"/>
  <c r="CC28" i="35" s="1"/>
  <c r="CA27" i="35"/>
  <c r="CB27" i="35"/>
  <c r="CC27" i="35" s="1"/>
  <c r="BK21" i="35"/>
  <c r="AG14" i="36"/>
  <c r="Z14" i="36"/>
  <c r="AB14" i="36" s="1"/>
  <c r="Z37" i="36"/>
  <c r="AB37" i="36" s="1"/>
  <c r="AG37" i="36"/>
  <c r="AY28" i="36"/>
  <c r="Z25" i="36"/>
  <c r="AB25" i="36" s="1"/>
  <c r="AG25" i="36"/>
  <c r="AG20" i="36"/>
  <c r="Z20" i="36"/>
  <c r="AB20" i="36" s="1"/>
  <c r="AD53" i="36"/>
  <c r="AK15" i="36" s="1"/>
  <c r="BK66" i="36"/>
  <c r="BH66" i="36"/>
  <c r="BK24" i="36"/>
  <c r="BH24" i="36"/>
  <c r="BK28" i="36"/>
  <c r="BH28" i="36"/>
  <c r="AE51" i="36"/>
  <c r="AF13" i="36"/>
  <c r="BK35" i="36"/>
  <c r="BH35" i="36"/>
  <c r="Z75" i="36"/>
  <c r="AE66" i="36"/>
  <c r="AF28" i="36"/>
  <c r="AA66" i="36"/>
  <c r="Z62" i="36"/>
  <c r="BK13" i="36"/>
  <c r="BH13" i="36"/>
  <c r="AB63" i="36"/>
  <c r="AE64" i="36"/>
  <c r="AF26" i="36"/>
  <c r="AA64" i="36"/>
  <c r="BK73" i="36"/>
  <c r="BH73" i="36"/>
  <c r="AE77" i="36"/>
  <c r="AF39" i="36"/>
  <c r="BK57" i="36"/>
  <c r="BH57" i="36"/>
  <c r="AE56" i="36"/>
  <c r="AF18" i="36"/>
  <c r="BK58" i="36"/>
  <c r="BH58" i="36"/>
  <c r="AE73" i="36"/>
  <c r="AF35" i="36"/>
  <c r="AB73" i="36"/>
  <c r="AC58" i="36"/>
  <c r="AE52" i="36"/>
  <c r="AF14" i="36"/>
  <c r="AY14" i="36"/>
  <c r="BK51" i="36"/>
  <c r="BH51" i="36"/>
  <c r="AS25" i="36"/>
  <c r="AT25" i="36" s="1"/>
  <c r="AG26" i="36"/>
  <c r="Z26" i="36"/>
  <c r="AB26" i="36" s="1"/>
  <c r="BK64" i="36"/>
  <c r="BH64" i="36"/>
  <c r="Z39" i="36"/>
  <c r="AB39" i="36" s="1"/>
  <c r="AG39" i="36"/>
  <c r="BK19" i="36"/>
  <c r="BH19" i="36"/>
  <c r="BK20" i="36"/>
  <c r="BH20" i="36"/>
  <c r="AC56" i="36"/>
  <c r="Z56" i="36"/>
  <c r="AE75" i="36"/>
  <c r="AF37" i="36"/>
  <c r="AE62" i="36"/>
  <c r="AF24" i="36"/>
  <c r="AB62" i="36"/>
  <c r="AG13" i="36"/>
  <c r="Z13" i="36"/>
  <c r="AB13" i="36" s="1"/>
  <c r="BK25" i="36"/>
  <c r="BH25" i="36"/>
  <c r="AS19" i="36"/>
  <c r="AT19" i="36" s="1"/>
  <c r="BK68" i="36"/>
  <c r="BH68" i="36"/>
  <c r="BK30" i="36"/>
  <c r="BH30" i="36"/>
  <c r="AG43" i="36"/>
  <c r="Z43" i="36"/>
  <c r="AB43" i="36" s="1"/>
  <c r="AA56" i="36"/>
  <c r="AC62" i="36"/>
  <c r="AE57" i="36"/>
  <c r="AF19" i="36"/>
  <c r="AC57" i="36"/>
  <c r="BK56" i="36"/>
  <c r="BH56" i="36"/>
  <c r="AE58" i="36"/>
  <c r="AF20" i="36"/>
  <c r="BK63" i="36"/>
  <c r="BH63" i="36"/>
  <c r="AS32" i="36"/>
  <c r="AT32" i="36" s="1"/>
  <c r="BK14" i="36"/>
  <c r="BH14" i="36"/>
  <c r="AE63" i="36"/>
  <c r="AF25" i="36"/>
  <c r="Z35" i="36"/>
  <c r="AB35" i="36" s="1"/>
  <c r="AG35" i="36"/>
  <c r="AG18" i="36"/>
  <c r="Z18" i="36"/>
  <c r="AB18" i="36" s="1"/>
  <c r="AG24" i="36"/>
  <c r="Z24" i="36"/>
  <c r="AB24" i="36" s="1"/>
  <c r="BK18" i="36"/>
  <c r="BH18" i="36"/>
  <c r="AB56" i="36"/>
  <c r="AD55" i="36"/>
  <c r="AK17" i="36" s="1"/>
  <c r="Z52" i="36"/>
  <c r="AC75" i="36"/>
  <c r="AS28" i="36"/>
  <c r="AT28" i="36" s="1"/>
  <c r="BK62" i="36"/>
  <c r="BH62" i="36"/>
  <c r="Z51" i="36"/>
  <c r="AD51" i="36" s="1"/>
  <c r="AK13" i="36" s="1"/>
  <c r="AC63" i="36"/>
  <c r="Z64" i="36"/>
  <c r="AS27" i="36"/>
  <c r="AT27" i="36" s="1"/>
  <c r="Z73" i="36"/>
  <c r="AB77" i="36"/>
  <c r="AG19" i="36"/>
  <c r="Z19" i="36"/>
  <c r="AB19" i="36" s="1"/>
  <c r="AB58" i="36"/>
  <c r="AG30" i="36"/>
  <c r="Z30" i="36"/>
  <c r="AB30" i="36" s="1"/>
  <c r="AY30" i="36"/>
  <c r="BH52" i="36"/>
  <c r="BK52" i="36"/>
  <c r="Z106" i="36"/>
  <c r="AD69" i="36"/>
  <c r="AK31" i="36" s="1"/>
  <c r="Z68" i="36"/>
  <c r="AD67" i="36"/>
  <c r="AK29" i="36" s="1"/>
  <c r="AB75" i="36"/>
  <c r="AE68" i="36"/>
  <c r="AF30" i="36"/>
  <c r="AE81" i="36"/>
  <c r="AF43" i="36"/>
  <c r="AS30" i="36"/>
  <c r="AT30" i="36" s="1"/>
  <c r="AB68" i="36"/>
  <c r="Y94" i="36"/>
  <c r="AB52" i="36"/>
  <c r="AG28" i="36"/>
  <c r="Z28" i="36"/>
  <c r="AB28" i="36" s="1"/>
  <c r="AD82" i="36"/>
  <c r="AK44" i="36" s="1"/>
  <c r="Y101" i="36"/>
  <c r="BH26" i="36"/>
  <c r="BK26" i="36"/>
  <c r="Y111" i="36"/>
  <c r="Y115" i="36"/>
  <c r="AA58" i="36"/>
  <c r="Y116" i="35"/>
  <c r="BV34" i="35"/>
  <c r="CN31" i="35"/>
  <c r="CO31" i="35" s="1"/>
  <c r="AS26" i="35"/>
  <c r="AT26" i="35" s="1"/>
  <c r="CM35" i="35"/>
  <c r="CM73" i="35"/>
  <c r="Y90" i="35"/>
  <c r="Z119" i="35"/>
  <c r="CN35" i="35"/>
  <c r="CA35" i="35"/>
  <c r="CM14" i="35"/>
  <c r="CO14" i="35" s="1"/>
  <c r="Z52" i="35"/>
  <c r="AY23" i="35"/>
  <c r="AS27" i="35"/>
  <c r="AT27" i="35" s="1"/>
  <c r="AS21" i="35"/>
  <c r="AT21" i="35" s="1"/>
  <c r="CA29" i="35"/>
  <c r="Y104" i="35"/>
  <c r="AD51" i="35"/>
  <c r="AK13" i="35" s="1"/>
  <c r="Y100" i="35"/>
  <c r="BH35" i="35"/>
  <c r="Z100" i="35"/>
  <c r="BK73" i="35"/>
  <c r="BH73" i="35"/>
  <c r="BP14" i="35"/>
  <c r="BT52" i="35" s="1"/>
  <c r="BK63" i="35"/>
  <c r="BH63" i="35"/>
  <c r="BK25" i="35"/>
  <c r="BH25" i="35"/>
  <c r="BK60" i="35"/>
  <c r="BH60" i="35"/>
  <c r="Z91" i="35"/>
  <c r="BP17" i="35"/>
  <c r="BT55" i="35" s="1"/>
  <c r="CP17" i="35" s="1"/>
  <c r="CM55" i="35" s="1"/>
  <c r="Z90" i="35"/>
  <c r="BK17" i="35"/>
  <c r="BH17" i="35"/>
  <c r="AS28" i="35"/>
  <c r="AT28" i="35" s="1"/>
  <c r="BP31" i="35"/>
  <c r="BT69" i="35" s="1"/>
  <c r="CP31" i="35" s="1"/>
  <c r="CM69" i="35" s="1"/>
  <c r="BK66" i="35"/>
  <c r="BH66" i="35"/>
  <c r="BP36" i="35"/>
  <c r="BT74" i="35" s="1"/>
  <c r="BV36" i="35"/>
  <c r="BK36" i="35"/>
  <c r="BH36" i="35"/>
  <c r="BK28" i="35"/>
  <c r="BH28" i="35"/>
  <c r="Z104" i="35"/>
  <c r="BK31" i="35"/>
  <c r="BH31" i="35"/>
  <c r="BK14" i="35"/>
  <c r="BH14" i="35"/>
  <c r="BV29" i="35"/>
  <c r="BK23" i="35"/>
  <c r="BH23" i="35"/>
  <c r="BK55" i="35"/>
  <c r="BH55" i="35"/>
  <c r="CA34" i="35"/>
  <c r="BK15" i="35"/>
  <c r="BH15" i="35"/>
  <c r="BK61" i="35"/>
  <c r="BH61" i="35"/>
  <c r="AF14" i="35"/>
  <c r="AE52" i="35"/>
  <c r="Y98" i="35"/>
  <c r="BP25" i="35"/>
  <c r="BT63" i="35" s="1"/>
  <c r="CP25" i="35" s="1"/>
  <c r="CM63" i="35" s="1"/>
  <c r="Z98" i="35"/>
  <c r="Y101" i="35"/>
  <c r="AY24" i="35"/>
  <c r="BK74" i="35"/>
  <c r="BH74" i="35"/>
  <c r="BP24" i="35"/>
  <c r="BT62" i="35" s="1"/>
  <c r="CP24" i="35" s="1"/>
  <c r="CM62" i="35" s="1"/>
  <c r="BV24" i="35"/>
  <c r="BK24" i="35"/>
  <c r="BH24" i="35"/>
  <c r="AB52" i="35"/>
  <c r="Z101" i="35"/>
  <c r="AY14" i="35"/>
  <c r="BK52" i="35"/>
  <c r="BH52" i="35"/>
  <c r="BK22" i="35"/>
  <c r="BH22" i="35"/>
  <c r="BK53" i="35"/>
  <c r="BH53" i="35"/>
  <c r="BP23" i="35"/>
  <c r="BT61" i="35" s="1"/>
  <c r="Y93" i="35"/>
  <c r="BP15" i="35"/>
  <c r="BT53" i="35" s="1"/>
  <c r="CP15" i="35" s="1"/>
  <c r="CM53" i="35" s="1"/>
  <c r="Y119" i="35"/>
  <c r="AY36" i="35"/>
  <c r="Y112" i="35"/>
  <c r="Z99" i="35"/>
  <c r="Y117" i="35"/>
  <c r="BK69" i="35"/>
  <c r="BH69" i="35"/>
  <c r="Z14" i="35"/>
  <c r="AB14" i="35" s="1"/>
  <c r="AG14" i="35"/>
  <c r="AC52" i="35"/>
  <c r="CB25" i="35"/>
  <c r="CC25" i="35" s="1"/>
  <c r="Z117" i="35"/>
  <c r="AY17" i="35"/>
  <c r="BK62" i="35"/>
  <c r="BH62" i="35"/>
  <c r="AY28" i="35"/>
  <c r="AY31" i="35"/>
  <c r="AP35" i="34"/>
  <c r="AP36" i="34"/>
  <c r="AQ35" i="34"/>
  <c r="AQ36" i="34"/>
  <c r="AP34" i="34"/>
  <c r="AQ34" i="34"/>
  <c r="AD77" i="36" l="1"/>
  <c r="AK39" i="36" s="1"/>
  <c r="AD81" i="36"/>
  <c r="AK43" i="36" s="1"/>
  <c r="AD73" i="36"/>
  <c r="AK35" i="36" s="1"/>
  <c r="AD70" i="36"/>
  <c r="AK32" i="36" s="1"/>
  <c r="BV23" i="35"/>
  <c r="AD63" i="36"/>
  <c r="AK25" i="36" s="1"/>
  <c r="AD57" i="36"/>
  <c r="AK19" i="36" s="1"/>
  <c r="AD54" i="36"/>
  <c r="AK16" i="36" s="1"/>
  <c r="AD52" i="36"/>
  <c r="AD58" i="36"/>
  <c r="AK20" i="36" s="1"/>
  <c r="AD64" i="36"/>
  <c r="AK26" i="36" s="1"/>
  <c r="AD52" i="35"/>
  <c r="AK14" i="35" s="1"/>
  <c r="BV25" i="35"/>
  <c r="BV21" i="35"/>
  <c r="CP21" i="35"/>
  <c r="CM59" i="35" s="1"/>
  <c r="CA21" i="35"/>
  <c r="CA28" i="35"/>
  <c r="AD62" i="36"/>
  <c r="AK24" i="36" s="1"/>
  <c r="AD56" i="36"/>
  <c r="AK18" i="36" s="1"/>
  <c r="AD75" i="36"/>
  <c r="AK37" i="36" s="1"/>
  <c r="AD68" i="36"/>
  <c r="AK30" i="36" s="1"/>
  <c r="CA17" i="35"/>
  <c r="CA15" i="35"/>
  <c r="BV15" i="35"/>
  <c r="CO35" i="35"/>
  <c r="CP36" i="35"/>
  <c r="CM74" i="35" s="1"/>
  <c r="CA36" i="35"/>
  <c r="CP23" i="35"/>
  <c r="CM61" i="35" s="1"/>
  <c r="CA23" i="35"/>
  <c r="BV17" i="35"/>
  <c r="CA24" i="35"/>
  <c r="BV14" i="35"/>
  <c r="CA25" i="35"/>
  <c r="CP14" i="35"/>
  <c r="CM52" i="35" s="1"/>
  <c r="CA14" i="35"/>
  <c r="CA31" i="35"/>
  <c r="BV31" i="35"/>
  <c r="BI33" i="34"/>
  <c r="BJ33" i="34" s="1"/>
  <c r="DA33" i="34" s="1"/>
  <c r="AJ33" i="34"/>
  <c r="CY33" i="34"/>
  <c r="X33" i="34"/>
  <c r="W33" i="34"/>
  <c r="AW33" i="34"/>
  <c r="AK14" i="36" l="1"/>
  <c r="AD45" i="36"/>
  <c r="N71" i="34"/>
  <c r="BM71" i="34"/>
  <c r="BO71" i="34" s="1"/>
  <c r="BP71" i="34" s="1"/>
  <c r="S71" i="34"/>
  <c r="BI71" i="34"/>
  <c r="BJ71" i="34" s="1"/>
  <c r="DB33" i="34" s="1"/>
  <c r="CZ33" i="34"/>
  <c r="AI33" i="34"/>
  <c r="AX33" i="34"/>
  <c r="AW34" i="34"/>
  <c r="CY34" i="34"/>
  <c r="BI34" i="34"/>
  <c r="BJ34" i="34" s="1"/>
  <c r="DA34" i="34" s="1"/>
  <c r="AJ34" i="34"/>
  <c r="BA33" i="34" l="1"/>
  <c r="BB33" i="34" s="1"/>
  <c r="BC33" i="34" s="1"/>
  <c r="BD33" i="34" s="1"/>
  <c r="AS71" i="34"/>
  <c r="AG71" i="34"/>
  <c r="AH71" i="34" s="1"/>
  <c r="AL33" i="34" s="1"/>
  <c r="AO33" i="34"/>
  <c r="AS33" i="34" s="1"/>
  <c r="AT33" i="34" s="1"/>
  <c r="AI71" i="34"/>
  <c r="AJ71" i="34" s="1"/>
  <c r="AM33" i="34" s="1"/>
  <c r="AU33" i="34"/>
  <c r="BO33" i="34"/>
  <c r="BP33" i="34" s="1"/>
  <c r="BT71" i="34" s="1"/>
  <c r="CP33" i="34" s="1"/>
  <c r="AD33" i="34"/>
  <c r="AE33" i="34"/>
  <c r="AV33" i="34"/>
  <c r="BA71" i="34"/>
  <c r="BB71" i="34" s="1"/>
  <c r="BC71" i="34" s="1"/>
  <c r="BD71" i="34" s="1"/>
  <c r="BI35" i="34"/>
  <c r="BJ35" i="34" s="1"/>
  <c r="DA35" i="34" s="1"/>
  <c r="AW35" i="34"/>
  <c r="CY35" i="34"/>
  <c r="AJ35" i="34"/>
  <c r="S73" i="34"/>
  <c r="X35" i="34"/>
  <c r="X34" i="34"/>
  <c r="BI72" i="34"/>
  <c r="BJ72" i="34" s="1"/>
  <c r="DB34" i="34" s="1"/>
  <c r="AX34" i="34"/>
  <c r="CZ34" i="34"/>
  <c r="AI34" i="34"/>
  <c r="BM72" i="34"/>
  <c r="BO72" i="34" s="1"/>
  <c r="BP72" i="34" s="1"/>
  <c r="S72" i="34"/>
  <c r="W34" i="34"/>
  <c r="AB71" i="34" l="1"/>
  <c r="CY36" i="34"/>
  <c r="AJ36" i="34"/>
  <c r="AW36" i="34"/>
  <c r="BI36" i="34"/>
  <c r="BJ36" i="34" s="1"/>
  <c r="DA36" i="34" s="1"/>
  <c r="Z33" i="34"/>
  <c r="AB33" i="34" s="1"/>
  <c r="AG33" i="34"/>
  <c r="AF33" i="34"/>
  <c r="AE71" i="34"/>
  <c r="BI73" i="34"/>
  <c r="BJ73" i="34" s="1"/>
  <c r="DB35" i="34" s="1"/>
  <c r="AX35" i="34"/>
  <c r="AI35" i="34"/>
  <c r="CZ35" i="34"/>
  <c r="W35" i="34"/>
  <c r="N73" i="34" s="1"/>
  <c r="AY33" i="34"/>
  <c r="W36" i="34"/>
  <c r="N72" i="34"/>
  <c r="BM74" i="34"/>
  <c r="BO74" i="34" s="1"/>
  <c r="BP74" i="34" s="1"/>
  <c r="X36" i="34"/>
  <c r="BM73" i="34"/>
  <c r="BO73" i="34" s="1"/>
  <c r="BP73" i="34" s="1"/>
  <c r="S74" i="34"/>
  <c r="Z71" i="34"/>
  <c r="AA71" i="34"/>
  <c r="AC71" i="34"/>
  <c r="N74" i="34" l="1"/>
  <c r="AI74" i="34" s="1"/>
  <c r="AJ74" i="34" s="1"/>
  <c r="AM36" i="34" s="1"/>
  <c r="AD71" i="34"/>
  <c r="AK33" i="34" s="1"/>
  <c r="AV34" i="34"/>
  <c r="AI72" i="34"/>
  <c r="AJ72" i="34" s="1"/>
  <c r="AM34" i="34" s="1"/>
  <c r="AS72" i="34"/>
  <c r="AD34" i="34"/>
  <c r="BO34" i="34"/>
  <c r="BP34" i="34" s="1"/>
  <c r="BT72" i="34" s="1"/>
  <c r="CP34" i="34" s="1"/>
  <c r="AG72" i="34"/>
  <c r="AH72" i="34" s="1"/>
  <c r="AL34" i="34" s="1"/>
  <c r="AU34" i="34"/>
  <c r="AO34" i="34"/>
  <c r="AS34" i="34" s="1"/>
  <c r="AT34" i="34" s="1"/>
  <c r="AE34" i="34"/>
  <c r="BA72" i="34"/>
  <c r="BB72" i="34" s="1"/>
  <c r="BC72" i="34" s="1"/>
  <c r="BD72" i="34" s="1"/>
  <c r="BA34" i="34"/>
  <c r="BB34" i="34" s="1"/>
  <c r="BC34" i="34" s="1"/>
  <c r="BD34" i="34" s="1"/>
  <c r="CZ36" i="34"/>
  <c r="AI36" i="34"/>
  <c r="BI74" i="34"/>
  <c r="BJ74" i="34" s="1"/>
  <c r="DB36" i="34" s="1"/>
  <c r="AX36" i="34"/>
  <c r="BA35" i="34"/>
  <c r="BB35" i="34" s="1"/>
  <c r="BC35" i="34" s="1"/>
  <c r="BD35" i="34" s="1"/>
  <c r="AV35" i="34"/>
  <c r="AU35" i="34"/>
  <c r="AD35" i="34"/>
  <c r="AI73" i="34"/>
  <c r="AJ73" i="34" s="1"/>
  <c r="AM35" i="34" s="1"/>
  <c r="BA73" i="34"/>
  <c r="BB73" i="34" s="1"/>
  <c r="BC73" i="34" s="1"/>
  <c r="BD73" i="34" s="1"/>
  <c r="AO35" i="34"/>
  <c r="AS35" i="34" s="1"/>
  <c r="AT35" i="34" s="1"/>
  <c r="AG73" i="34"/>
  <c r="AH73" i="34" s="1"/>
  <c r="AL35" i="34" s="1"/>
  <c r="AS73" i="34"/>
  <c r="AE35" i="34"/>
  <c r="BO35" i="34"/>
  <c r="BP35" i="34" s="1"/>
  <c r="BT73" i="34" s="1"/>
  <c r="CP35" i="34" s="1"/>
  <c r="AY35" i="34" l="1"/>
  <c r="AG74" i="34"/>
  <c r="AH74" i="34" s="1"/>
  <c r="AL36" i="34" s="1"/>
  <c r="BA74" i="34"/>
  <c r="BB74" i="34" s="1"/>
  <c r="BC74" i="34" s="1"/>
  <c r="BD74" i="34" s="1"/>
  <c r="AU36" i="34"/>
  <c r="BO36" i="34"/>
  <c r="BP36" i="34" s="1"/>
  <c r="BT74" i="34" s="1"/>
  <c r="CP36" i="34" s="1"/>
  <c r="AV36" i="34"/>
  <c r="AD36" i="34"/>
  <c r="AF36" i="34" s="1"/>
  <c r="AS74" i="34"/>
  <c r="AO36" i="34"/>
  <c r="AS36" i="34" s="1"/>
  <c r="AT36" i="34" s="1"/>
  <c r="AY34" i="34"/>
  <c r="AE36" i="34"/>
  <c r="BA36" i="34"/>
  <c r="BB36" i="34" s="1"/>
  <c r="BC36" i="34" s="1"/>
  <c r="BD36" i="34" s="1"/>
  <c r="AF35" i="34"/>
  <c r="AE73" i="34"/>
  <c r="Z73" i="34"/>
  <c r="AC73" i="34"/>
  <c r="AB73" i="34"/>
  <c r="AA73" i="34"/>
  <c r="Z34" i="34"/>
  <c r="AB34" i="34" s="1"/>
  <c r="AG34" i="34"/>
  <c r="AF34" i="34"/>
  <c r="AE72" i="34"/>
  <c r="Z35" i="34"/>
  <c r="AB35" i="34" s="1"/>
  <c r="AG35" i="34"/>
  <c r="AB72" i="34"/>
  <c r="AA72" i="34"/>
  <c r="Z72" i="34"/>
  <c r="AC72" i="34"/>
  <c r="AE74" i="34" l="1"/>
  <c r="Z36" i="34"/>
  <c r="AB36" i="34" s="1"/>
  <c r="AY36" i="34"/>
  <c r="AA74" i="34"/>
  <c r="AB74" i="34"/>
  <c r="AG36" i="34"/>
  <c r="Z74" i="34"/>
  <c r="AC74" i="34"/>
  <c r="AD72" i="34"/>
  <c r="AK34" i="34" s="1"/>
  <c r="AD73" i="34"/>
  <c r="AK35" i="34" s="1"/>
  <c r="AD74" i="34" l="1"/>
  <c r="AK36" i="34" s="1"/>
  <c r="B95" i="11"/>
  <c r="D95" i="11"/>
  <c r="F95" i="11"/>
  <c r="H95" i="11"/>
  <c r="J95" i="11"/>
  <c r="L95" i="11"/>
  <c r="N95" i="11"/>
  <c r="P95" i="11"/>
  <c r="B96" i="11"/>
  <c r="D96" i="11"/>
  <c r="F96" i="11"/>
  <c r="H96" i="11"/>
  <c r="J96" i="11"/>
  <c r="L96" i="11"/>
  <c r="N96" i="11"/>
  <c r="P96" i="11"/>
  <c r="B97" i="11"/>
  <c r="D97" i="11"/>
  <c r="F97" i="11"/>
  <c r="H97" i="11"/>
  <c r="J97" i="11"/>
  <c r="L97" i="11"/>
  <c r="N97" i="11"/>
  <c r="P97" i="11"/>
  <c r="B98" i="11"/>
  <c r="D98" i="11"/>
  <c r="F98" i="11"/>
  <c r="H98" i="11"/>
  <c r="J98" i="11"/>
  <c r="L98" i="11"/>
  <c r="N98" i="11"/>
  <c r="P98" i="11"/>
  <c r="B99" i="11"/>
  <c r="D99" i="11"/>
  <c r="F99" i="11"/>
  <c r="H99" i="11"/>
  <c r="J99" i="11"/>
  <c r="L99" i="11"/>
  <c r="N99" i="11"/>
  <c r="P99" i="11"/>
  <c r="B100" i="11"/>
  <c r="D100" i="11"/>
  <c r="F100" i="11"/>
  <c r="H100" i="11"/>
  <c r="J100" i="11"/>
  <c r="L100" i="11"/>
  <c r="N100" i="11"/>
  <c r="P100" i="11"/>
  <c r="B101" i="11"/>
  <c r="D101" i="11"/>
  <c r="F101" i="11"/>
  <c r="H101" i="11"/>
  <c r="J101" i="11"/>
  <c r="L101" i="11"/>
  <c r="N101" i="11"/>
  <c r="P101" i="11"/>
  <c r="B102" i="11"/>
  <c r="D102" i="11"/>
  <c r="F102" i="11"/>
  <c r="H102" i="11"/>
  <c r="J102" i="11"/>
  <c r="L102" i="11"/>
  <c r="N102" i="11"/>
  <c r="P102" i="11"/>
  <c r="B103" i="11"/>
  <c r="D103" i="11"/>
  <c r="F103" i="11"/>
  <c r="H103" i="11"/>
  <c r="J103" i="11"/>
  <c r="L103" i="11"/>
  <c r="N103" i="11"/>
  <c r="P103" i="11"/>
  <c r="B104" i="11"/>
  <c r="D104" i="11"/>
  <c r="F104" i="11"/>
  <c r="H104" i="11"/>
  <c r="J104" i="11"/>
  <c r="L104" i="11"/>
  <c r="N104" i="11"/>
  <c r="P104" i="11"/>
  <c r="B105" i="11"/>
  <c r="D105" i="11"/>
  <c r="F105" i="11"/>
  <c r="H105" i="11"/>
  <c r="J105" i="11"/>
  <c r="L105" i="11"/>
  <c r="N105" i="11"/>
  <c r="P105" i="11"/>
  <c r="B106" i="11"/>
  <c r="D106" i="11"/>
  <c r="F106" i="11"/>
  <c r="H106" i="11"/>
  <c r="J106" i="11"/>
  <c r="L106" i="11"/>
  <c r="N106" i="11"/>
  <c r="P106" i="11"/>
  <c r="B107" i="11"/>
  <c r="D107" i="11"/>
  <c r="F107" i="11"/>
  <c r="H107" i="11"/>
  <c r="J107" i="11"/>
  <c r="L107" i="11"/>
  <c r="N107" i="11"/>
  <c r="P107" i="11"/>
  <c r="B108" i="11"/>
  <c r="D108" i="11"/>
  <c r="F108" i="11"/>
  <c r="H108" i="11"/>
  <c r="J108" i="11"/>
  <c r="L108" i="11"/>
  <c r="N108" i="11"/>
  <c r="P108" i="11"/>
  <c r="B109" i="11"/>
  <c r="D109" i="11"/>
  <c r="F109" i="11"/>
  <c r="H109" i="11"/>
  <c r="J109" i="11"/>
  <c r="L109" i="11"/>
  <c r="N109" i="11"/>
  <c r="P109" i="11"/>
  <c r="B110" i="11"/>
  <c r="D110" i="11"/>
  <c r="F110" i="11"/>
  <c r="H110" i="11"/>
  <c r="J110" i="11"/>
  <c r="L110" i="11"/>
  <c r="N110" i="11"/>
  <c r="P110" i="11"/>
  <c r="B111" i="11"/>
  <c r="D111" i="11"/>
  <c r="F111" i="11"/>
  <c r="H111" i="11"/>
  <c r="J111" i="11"/>
  <c r="L111" i="11"/>
  <c r="N111" i="11"/>
  <c r="P111" i="11"/>
  <c r="B112" i="11"/>
  <c r="D112" i="11"/>
  <c r="F112" i="11"/>
  <c r="H112" i="11"/>
  <c r="J112" i="11"/>
  <c r="L112" i="11"/>
  <c r="N112" i="11"/>
  <c r="P112" i="11"/>
  <c r="B113" i="11"/>
  <c r="D113" i="11"/>
  <c r="F113" i="11"/>
  <c r="H113" i="11"/>
  <c r="J113" i="11"/>
  <c r="L113" i="11"/>
  <c r="N113" i="11"/>
  <c r="P113" i="11"/>
  <c r="B114" i="11"/>
  <c r="D114" i="11"/>
  <c r="F114" i="11"/>
  <c r="H114" i="11"/>
  <c r="J114" i="11"/>
  <c r="L114" i="11"/>
  <c r="N114" i="11"/>
  <c r="P114" i="11"/>
  <c r="B115" i="11"/>
  <c r="D115" i="11"/>
  <c r="F115" i="11"/>
  <c r="H115" i="11"/>
  <c r="J115" i="11"/>
  <c r="L115" i="11"/>
  <c r="N115" i="11"/>
  <c r="P115" i="11"/>
  <c r="B116" i="11"/>
  <c r="D116" i="11"/>
  <c r="F116" i="11"/>
  <c r="H116" i="11"/>
  <c r="J116" i="11"/>
  <c r="L116" i="11"/>
  <c r="N116" i="11"/>
  <c r="P116" i="11"/>
  <c r="B117" i="11"/>
  <c r="D117" i="11"/>
  <c r="F117" i="11"/>
  <c r="H117" i="11"/>
  <c r="J117" i="11"/>
  <c r="L117" i="11"/>
  <c r="N117" i="11"/>
  <c r="P117" i="11"/>
  <c r="B118" i="11"/>
  <c r="D118" i="11"/>
  <c r="F118" i="11"/>
  <c r="H118" i="11"/>
  <c r="J118" i="11"/>
  <c r="L118" i="11"/>
  <c r="N118" i="11"/>
  <c r="P118" i="11"/>
  <c r="B119" i="11"/>
  <c r="D119" i="11"/>
  <c r="F119" i="11"/>
  <c r="H119" i="11"/>
  <c r="J119" i="11"/>
  <c r="L119" i="11"/>
  <c r="N119" i="11"/>
  <c r="P119" i="11"/>
  <c r="B120" i="11"/>
  <c r="D120" i="11"/>
  <c r="F120" i="11"/>
  <c r="H120" i="11"/>
  <c r="J120" i="11"/>
  <c r="L120" i="11"/>
  <c r="N120" i="11"/>
  <c r="P120" i="11"/>
  <c r="B121" i="11"/>
  <c r="D121" i="11"/>
  <c r="F121" i="11"/>
  <c r="H121" i="11"/>
  <c r="J121" i="11"/>
  <c r="L121" i="11"/>
  <c r="N121" i="11"/>
  <c r="P121" i="11"/>
  <c r="B122" i="11"/>
  <c r="D122" i="11"/>
  <c r="F122" i="11"/>
  <c r="H122" i="11"/>
  <c r="J122" i="11"/>
  <c r="L122" i="11"/>
  <c r="N122" i="11"/>
  <c r="P122" i="11"/>
  <c r="B123" i="11"/>
  <c r="D123" i="11"/>
  <c r="F123" i="11"/>
  <c r="H123" i="11"/>
  <c r="J123" i="11"/>
  <c r="L123" i="11"/>
  <c r="N123" i="11"/>
  <c r="P123" i="11"/>
  <c r="B90" i="11"/>
  <c r="D90" i="11"/>
  <c r="F90" i="11"/>
  <c r="H90" i="11"/>
  <c r="J90" i="11"/>
  <c r="L90" i="11"/>
  <c r="N90" i="11"/>
  <c r="P90" i="11"/>
  <c r="B91" i="11"/>
  <c r="D91" i="11"/>
  <c r="F91" i="11"/>
  <c r="H91" i="11"/>
  <c r="J91" i="11"/>
  <c r="L91" i="11"/>
  <c r="N91" i="11"/>
  <c r="P91" i="11"/>
  <c r="B92" i="11"/>
  <c r="D92" i="11"/>
  <c r="F92" i="11"/>
  <c r="H92" i="11"/>
  <c r="J92" i="11"/>
  <c r="L92" i="11"/>
  <c r="N92" i="11"/>
  <c r="P92" i="11"/>
  <c r="B93" i="11"/>
  <c r="D93" i="11"/>
  <c r="F93" i="11"/>
  <c r="H93" i="11"/>
  <c r="J93" i="11"/>
  <c r="L93" i="11"/>
  <c r="N93" i="11"/>
  <c r="P93" i="11"/>
  <c r="B94" i="11"/>
  <c r="D94" i="11"/>
  <c r="F94" i="11"/>
  <c r="H94" i="11"/>
  <c r="J94" i="11"/>
  <c r="L94" i="11"/>
  <c r="N94" i="11"/>
  <c r="P94" i="11"/>
  <c r="B80" i="11"/>
  <c r="D80" i="11"/>
  <c r="F80" i="11"/>
  <c r="H80" i="11"/>
  <c r="J80" i="11"/>
  <c r="L80" i="11"/>
  <c r="N80" i="11"/>
  <c r="P80" i="11"/>
  <c r="B81" i="11"/>
  <c r="D81" i="11"/>
  <c r="F81" i="11"/>
  <c r="H81" i="11"/>
  <c r="J81" i="11"/>
  <c r="L81" i="11"/>
  <c r="N81" i="11"/>
  <c r="P81" i="11"/>
  <c r="B82" i="11"/>
  <c r="D82" i="11"/>
  <c r="F82" i="11"/>
  <c r="H82" i="11"/>
  <c r="J82" i="11"/>
  <c r="L82" i="11"/>
  <c r="N82" i="11"/>
  <c r="P82" i="11"/>
  <c r="B83" i="11"/>
  <c r="D83" i="11"/>
  <c r="F83" i="11"/>
  <c r="H83" i="11"/>
  <c r="J83" i="11"/>
  <c r="L83" i="11"/>
  <c r="N83" i="11"/>
  <c r="P83" i="11"/>
  <c r="B84" i="11"/>
  <c r="D84" i="11"/>
  <c r="F84" i="11"/>
  <c r="H84" i="11"/>
  <c r="J84" i="11"/>
  <c r="L84" i="11"/>
  <c r="N84" i="11"/>
  <c r="P84" i="11"/>
  <c r="B85" i="11"/>
  <c r="D85" i="11"/>
  <c r="F85" i="11"/>
  <c r="H85" i="11"/>
  <c r="J85" i="11"/>
  <c r="L85" i="11"/>
  <c r="N85" i="11"/>
  <c r="P85" i="11"/>
  <c r="B86" i="11"/>
  <c r="D86" i="11"/>
  <c r="F86" i="11"/>
  <c r="H86" i="11"/>
  <c r="J86" i="11"/>
  <c r="L86" i="11"/>
  <c r="N86" i="11"/>
  <c r="P86" i="11"/>
  <c r="B87" i="11"/>
  <c r="D87" i="11"/>
  <c r="F87" i="11"/>
  <c r="H87" i="11"/>
  <c r="J87" i="11"/>
  <c r="L87" i="11"/>
  <c r="N87" i="11"/>
  <c r="P87" i="11"/>
  <c r="B88" i="11"/>
  <c r="D88" i="11"/>
  <c r="F88" i="11"/>
  <c r="H88" i="11"/>
  <c r="J88" i="11"/>
  <c r="L88" i="11"/>
  <c r="N88" i="11"/>
  <c r="P88" i="11"/>
  <c r="B89" i="11"/>
  <c r="D89" i="11"/>
  <c r="F89" i="11"/>
  <c r="H89" i="11"/>
  <c r="J89" i="11"/>
  <c r="L89" i="11"/>
  <c r="N89" i="11"/>
  <c r="P89" i="11"/>
  <c r="B70" i="11"/>
  <c r="D70" i="11"/>
  <c r="F70" i="11"/>
  <c r="H70" i="11"/>
  <c r="J70" i="11"/>
  <c r="L70" i="11"/>
  <c r="N70" i="11"/>
  <c r="P70" i="11"/>
  <c r="B71" i="11"/>
  <c r="D71" i="11"/>
  <c r="F71" i="11"/>
  <c r="H71" i="11"/>
  <c r="J71" i="11"/>
  <c r="L71" i="11"/>
  <c r="N71" i="11"/>
  <c r="P71" i="11"/>
  <c r="B72" i="11"/>
  <c r="D72" i="11"/>
  <c r="F72" i="11"/>
  <c r="H72" i="11"/>
  <c r="J72" i="11"/>
  <c r="L72" i="11"/>
  <c r="N72" i="11"/>
  <c r="P72" i="11"/>
  <c r="B73" i="11"/>
  <c r="D73" i="11"/>
  <c r="F73" i="11"/>
  <c r="H73" i="11"/>
  <c r="J73" i="11"/>
  <c r="L73" i="11"/>
  <c r="N73" i="11"/>
  <c r="P73" i="11"/>
  <c r="B74" i="11"/>
  <c r="D74" i="11"/>
  <c r="F74" i="11"/>
  <c r="H74" i="11"/>
  <c r="J74" i="11"/>
  <c r="L74" i="11"/>
  <c r="N74" i="11"/>
  <c r="P74" i="11"/>
  <c r="B75" i="11"/>
  <c r="D75" i="11"/>
  <c r="F75" i="11"/>
  <c r="H75" i="11"/>
  <c r="J75" i="11"/>
  <c r="L75" i="11"/>
  <c r="N75" i="11"/>
  <c r="P75" i="11"/>
  <c r="B76" i="11"/>
  <c r="D76" i="11"/>
  <c r="F76" i="11"/>
  <c r="H76" i="11"/>
  <c r="J76" i="11"/>
  <c r="L76" i="11"/>
  <c r="N76" i="11"/>
  <c r="P76" i="11"/>
  <c r="B77" i="11"/>
  <c r="D77" i="11"/>
  <c r="F77" i="11"/>
  <c r="H77" i="11"/>
  <c r="J77" i="11"/>
  <c r="L77" i="11"/>
  <c r="N77" i="11"/>
  <c r="P77" i="11"/>
  <c r="B78" i="11"/>
  <c r="D78" i="11"/>
  <c r="F78" i="11"/>
  <c r="H78" i="11"/>
  <c r="J78" i="11"/>
  <c r="L78" i="11"/>
  <c r="N78" i="11"/>
  <c r="P78" i="11"/>
  <c r="B79" i="11"/>
  <c r="D79" i="11"/>
  <c r="F79" i="11"/>
  <c r="H79" i="11"/>
  <c r="J79" i="11"/>
  <c r="L79" i="11"/>
  <c r="N79" i="11"/>
  <c r="P79" i="11"/>
  <c r="P69" i="11"/>
  <c r="N69" i="11"/>
  <c r="L69" i="11"/>
  <c r="J69" i="11"/>
  <c r="H69" i="11"/>
  <c r="F69" i="11"/>
  <c r="D69" i="11"/>
  <c r="D14" i="11"/>
  <c r="S20" i="11" s="1"/>
  <c r="F14" i="11"/>
  <c r="H14" i="11"/>
  <c r="J14" i="11"/>
  <c r="L14" i="11"/>
  <c r="N14" i="11"/>
  <c r="P14" i="11"/>
  <c r="D15" i="11"/>
  <c r="F15" i="11"/>
  <c r="H15" i="11"/>
  <c r="J15" i="11"/>
  <c r="L15" i="11"/>
  <c r="N15" i="11"/>
  <c r="P15" i="11"/>
  <c r="D16" i="11"/>
  <c r="F16" i="11"/>
  <c r="H16" i="11"/>
  <c r="J16" i="11"/>
  <c r="L16" i="11"/>
  <c r="N16" i="11"/>
  <c r="P16" i="11"/>
  <c r="D17" i="11"/>
  <c r="F17" i="11"/>
  <c r="H17" i="11"/>
  <c r="J17" i="11"/>
  <c r="L17" i="11"/>
  <c r="N17" i="11"/>
  <c r="P17" i="11"/>
  <c r="D18" i="11"/>
  <c r="F18" i="11"/>
  <c r="H18" i="11"/>
  <c r="J18" i="11"/>
  <c r="L18" i="11"/>
  <c r="N18" i="11"/>
  <c r="P18" i="11"/>
  <c r="D19" i="11"/>
  <c r="F19" i="11"/>
  <c r="H19" i="11"/>
  <c r="J19" i="11"/>
  <c r="L19" i="11"/>
  <c r="N19" i="11"/>
  <c r="P19" i="11"/>
  <c r="D20" i="11"/>
  <c r="F20" i="11"/>
  <c r="H20" i="11"/>
  <c r="J20" i="11"/>
  <c r="L20" i="11"/>
  <c r="N20" i="11"/>
  <c r="P20" i="11"/>
  <c r="D21" i="11"/>
  <c r="F21" i="11"/>
  <c r="H21" i="11"/>
  <c r="J21" i="11"/>
  <c r="L21" i="11"/>
  <c r="N21" i="11"/>
  <c r="P21" i="11"/>
  <c r="D22" i="11"/>
  <c r="F22" i="11"/>
  <c r="H22" i="11"/>
  <c r="J22" i="11"/>
  <c r="L22" i="11"/>
  <c r="N22" i="11"/>
  <c r="P22" i="11"/>
  <c r="D23" i="11"/>
  <c r="F23" i="11"/>
  <c r="H23" i="11"/>
  <c r="J23" i="11"/>
  <c r="L23" i="11"/>
  <c r="N23" i="11"/>
  <c r="P23" i="11"/>
  <c r="D24" i="11"/>
  <c r="F24" i="11"/>
  <c r="H24" i="11"/>
  <c r="J24" i="11"/>
  <c r="L24" i="11"/>
  <c r="N24" i="11"/>
  <c r="P24" i="11"/>
  <c r="D25" i="11"/>
  <c r="F25" i="11"/>
  <c r="H25" i="11"/>
  <c r="J25" i="11"/>
  <c r="L25" i="11"/>
  <c r="N25" i="11"/>
  <c r="P25" i="11"/>
  <c r="D26" i="11"/>
  <c r="F26" i="11"/>
  <c r="H26" i="11"/>
  <c r="J26" i="11"/>
  <c r="L26" i="11"/>
  <c r="N26" i="11"/>
  <c r="P26" i="11"/>
  <c r="D27" i="11"/>
  <c r="F27" i="11"/>
  <c r="H27" i="11"/>
  <c r="J27" i="11"/>
  <c r="L27" i="11"/>
  <c r="N27" i="11"/>
  <c r="P27" i="11"/>
  <c r="D28" i="11"/>
  <c r="F28" i="11"/>
  <c r="H28" i="11"/>
  <c r="J28" i="11"/>
  <c r="L28" i="11"/>
  <c r="N28" i="11"/>
  <c r="P28" i="11"/>
  <c r="D29" i="11"/>
  <c r="F29" i="11"/>
  <c r="H29" i="11"/>
  <c r="J29" i="11"/>
  <c r="L29" i="11"/>
  <c r="N29" i="11"/>
  <c r="P29" i="11"/>
  <c r="D30" i="11"/>
  <c r="F30" i="11"/>
  <c r="H30" i="11"/>
  <c r="J30" i="11"/>
  <c r="L30" i="11"/>
  <c r="N30" i="11"/>
  <c r="P30" i="11"/>
  <c r="D31" i="11"/>
  <c r="F31" i="11"/>
  <c r="H31" i="11"/>
  <c r="J31" i="11"/>
  <c r="L31" i="11"/>
  <c r="N31" i="11"/>
  <c r="P31" i="11"/>
  <c r="D32" i="11"/>
  <c r="F32" i="11"/>
  <c r="H32" i="11"/>
  <c r="J32" i="11"/>
  <c r="L32" i="11"/>
  <c r="N32" i="11"/>
  <c r="P32" i="11"/>
  <c r="D33" i="11"/>
  <c r="F33" i="11"/>
  <c r="H33" i="11"/>
  <c r="J33" i="11"/>
  <c r="L33" i="11"/>
  <c r="N33" i="11"/>
  <c r="P33" i="11"/>
  <c r="D34" i="11"/>
  <c r="F34" i="11"/>
  <c r="H34" i="11"/>
  <c r="J34" i="11"/>
  <c r="L34" i="11"/>
  <c r="N34" i="11"/>
  <c r="P34" i="11"/>
  <c r="D35" i="11"/>
  <c r="F35" i="11"/>
  <c r="H35" i="11"/>
  <c r="J35" i="11"/>
  <c r="L35" i="11"/>
  <c r="N35" i="11"/>
  <c r="P35" i="11"/>
  <c r="D36" i="11"/>
  <c r="F36" i="11"/>
  <c r="H36" i="11"/>
  <c r="J36" i="11"/>
  <c r="L36" i="11"/>
  <c r="N36" i="11"/>
  <c r="P36" i="11"/>
  <c r="D37" i="11"/>
  <c r="F37" i="11"/>
  <c r="H37" i="11"/>
  <c r="J37" i="11"/>
  <c r="L37" i="11"/>
  <c r="N37" i="11"/>
  <c r="P37" i="11"/>
  <c r="D38" i="11"/>
  <c r="F38" i="11"/>
  <c r="H38" i="11"/>
  <c r="J38" i="11"/>
  <c r="L38" i="11"/>
  <c r="N38" i="11"/>
  <c r="P38" i="11"/>
  <c r="D39" i="11"/>
  <c r="F39" i="11"/>
  <c r="H39" i="11"/>
  <c r="J39" i="11"/>
  <c r="L39" i="11"/>
  <c r="N39" i="11"/>
  <c r="P39" i="11"/>
  <c r="D40" i="11"/>
  <c r="F40" i="11"/>
  <c r="H40" i="11"/>
  <c r="J40" i="11"/>
  <c r="L40" i="11"/>
  <c r="N40" i="11"/>
  <c r="P40" i="11"/>
  <c r="D41" i="11"/>
  <c r="F41" i="11"/>
  <c r="H41" i="11"/>
  <c r="J41" i="11"/>
  <c r="L41" i="11"/>
  <c r="N41" i="11"/>
  <c r="P41" i="11"/>
  <c r="D42" i="11"/>
  <c r="F42" i="11"/>
  <c r="H42" i="11"/>
  <c r="J42" i="11"/>
  <c r="L42" i="11"/>
  <c r="N42" i="11"/>
  <c r="P42" i="11"/>
  <c r="D43" i="11"/>
  <c r="F43" i="11"/>
  <c r="H43" i="11"/>
  <c r="J43" i="11"/>
  <c r="L43" i="11"/>
  <c r="N43" i="11"/>
  <c r="P43" i="11"/>
  <c r="D44" i="11"/>
  <c r="F44" i="11"/>
  <c r="H44" i="11"/>
  <c r="J44" i="11"/>
  <c r="L44" i="11"/>
  <c r="N44" i="11"/>
  <c r="P44" i="11"/>
  <c r="D45" i="11"/>
  <c r="F45" i="11"/>
  <c r="H45" i="11"/>
  <c r="J45" i="11"/>
  <c r="L45" i="11"/>
  <c r="N45" i="11"/>
  <c r="P45" i="11"/>
  <c r="D46" i="11"/>
  <c r="F46" i="11"/>
  <c r="H46" i="11"/>
  <c r="J46" i="11"/>
  <c r="L46" i="11"/>
  <c r="N46" i="11"/>
  <c r="P46" i="11"/>
  <c r="D47" i="11"/>
  <c r="F47" i="11"/>
  <c r="H47" i="11"/>
  <c r="J47" i="11"/>
  <c r="L47" i="11"/>
  <c r="N47" i="11"/>
  <c r="P47" i="11"/>
  <c r="D48" i="11"/>
  <c r="F48" i="11"/>
  <c r="H48" i="11"/>
  <c r="J48" i="11"/>
  <c r="L48" i="11"/>
  <c r="N48" i="11"/>
  <c r="P48" i="11"/>
  <c r="D49" i="11"/>
  <c r="F49" i="11"/>
  <c r="H49" i="11"/>
  <c r="J49" i="11"/>
  <c r="L49" i="11"/>
  <c r="N49" i="11"/>
  <c r="P49" i="11"/>
  <c r="D50" i="11"/>
  <c r="F50" i="11"/>
  <c r="H50" i="11"/>
  <c r="J50" i="11"/>
  <c r="L50" i="11"/>
  <c r="N50" i="11"/>
  <c r="P50" i="11"/>
  <c r="D51" i="11"/>
  <c r="F51" i="11"/>
  <c r="H51" i="11"/>
  <c r="J51" i="11"/>
  <c r="L51" i="11"/>
  <c r="N51" i="11"/>
  <c r="P51" i="11"/>
  <c r="D52" i="11"/>
  <c r="F52" i="11"/>
  <c r="H52" i="11"/>
  <c r="J52" i="11"/>
  <c r="L52" i="11"/>
  <c r="N52" i="11"/>
  <c r="P52" i="11"/>
  <c r="D53" i="11"/>
  <c r="F53" i="11"/>
  <c r="H53" i="11"/>
  <c r="J53" i="11"/>
  <c r="L53" i="11"/>
  <c r="N53" i="11"/>
  <c r="P53" i="11"/>
  <c r="D54" i="11"/>
  <c r="F54" i="11"/>
  <c r="H54" i="11"/>
  <c r="J54" i="11"/>
  <c r="L54" i="11"/>
  <c r="N54" i="11"/>
  <c r="P54" i="11"/>
  <c r="D55" i="11"/>
  <c r="F55" i="11"/>
  <c r="H55" i="11"/>
  <c r="J55" i="11"/>
  <c r="L55" i="11"/>
  <c r="N55" i="11"/>
  <c r="P55" i="11"/>
  <c r="D56" i="11"/>
  <c r="F56" i="11"/>
  <c r="H56" i="11"/>
  <c r="J56" i="11"/>
  <c r="L56" i="11"/>
  <c r="N56" i="11"/>
  <c r="P56" i="11"/>
  <c r="D57" i="11"/>
  <c r="F57" i="11"/>
  <c r="H57" i="11"/>
  <c r="J57" i="11"/>
  <c r="L57" i="11"/>
  <c r="N57" i="11"/>
  <c r="P57" i="11"/>
  <c r="D58" i="11"/>
  <c r="F58" i="11"/>
  <c r="H58" i="11"/>
  <c r="J58" i="11"/>
  <c r="L58" i="11"/>
  <c r="N58" i="11"/>
  <c r="P58" i="11"/>
  <c r="D59" i="11"/>
  <c r="F59" i="11"/>
  <c r="H59" i="11"/>
  <c r="J59" i="11"/>
  <c r="L59" i="11"/>
  <c r="N59" i="11"/>
  <c r="P59" i="11"/>
  <c r="D60" i="11"/>
  <c r="F60" i="11"/>
  <c r="H60" i="11"/>
  <c r="J60" i="11"/>
  <c r="L60" i="11"/>
  <c r="N60" i="11"/>
  <c r="P60" i="11"/>
  <c r="D61" i="11"/>
  <c r="F61" i="11"/>
  <c r="H61" i="11"/>
  <c r="J61" i="11"/>
  <c r="L61" i="11"/>
  <c r="N61" i="11"/>
  <c r="P61" i="11"/>
  <c r="D62" i="11"/>
  <c r="F62" i="11"/>
  <c r="H62" i="11"/>
  <c r="J62" i="11"/>
  <c r="L62" i="11"/>
  <c r="N62" i="11"/>
  <c r="P62" i="11"/>
  <c r="D63" i="11"/>
  <c r="F63" i="11"/>
  <c r="H63" i="11"/>
  <c r="J63" i="11"/>
  <c r="L63" i="11"/>
  <c r="N63" i="11"/>
  <c r="P63" i="11"/>
  <c r="D64" i="11"/>
  <c r="F64" i="11"/>
  <c r="H64" i="11"/>
  <c r="J64" i="11"/>
  <c r="L64" i="11"/>
  <c r="N64" i="11"/>
  <c r="P64" i="11"/>
  <c r="N13" i="11"/>
  <c r="L13" i="11"/>
  <c r="J13" i="11"/>
  <c r="H13" i="11"/>
  <c r="F13" i="11"/>
  <c r="B69" i="11"/>
  <c r="B63" i="11"/>
  <c r="B64" i="11"/>
  <c r="O51" i="14"/>
  <c r="Y25" i="10"/>
  <c r="Z25" i="10" s="1"/>
  <c r="AM48" i="9"/>
  <c r="AP48" i="9" s="1"/>
  <c r="Y21" i="1"/>
  <c r="Y20" i="1" s="1"/>
  <c r="Y19" i="1" s="1"/>
  <c r="Y22" i="1"/>
  <c r="AF63" i="9" l="1"/>
  <c r="AF62" i="9"/>
  <c r="AK62" i="9" s="1"/>
  <c r="G13" i="4"/>
  <c r="I13" i="4" s="1"/>
  <c r="J13" i="4" s="1"/>
  <c r="AP47" i="9"/>
  <c r="K52" i="9" l="1"/>
  <c r="K51" i="9"/>
  <c r="AN21" i="34"/>
  <c r="AC11"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23" i="16"/>
  <c r="AL56" i="9" l="1"/>
  <c r="B54" i="16" l="1"/>
  <c r="B55" i="16"/>
  <c r="B56" i="16"/>
  <c r="B57" i="16"/>
  <c r="B58" i="16"/>
  <c r="B59" i="16"/>
  <c r="B60" i="16"/>
  <c r="B61" i="16"/>
  <c r="B62" i="16"/>
  <c r="G55" i="12"/>
  <c r="G54" i="12"/>
  <c r="G52" i="12"/>
  <c r="G51" i="12"/>
  <c r="E3" i="34"/>
  <c r="Q3" i="34" s="1"/>
  <c r="V3" i="34"/>
  <c r="AW3" i="34" s="1"/>
  <c r="J4" i="34"/>
  <c r="V4" i="34" s="1"/>
  <c r="AH4" i="34" s="1"/>
  <c r="BI4" i="34" s="1"/>
  <c r="BU4" i="34" s="1"/>
  <c r="CG4" i="34" s="1"/>
  <c r="CS4" i="34" s="1"/>
  <c r="O8" i="34"/>
  <c r="M13" i="34"/>
  <c r="M51" i="34" s="1"/>
  <c r="Y51" i="34" s="1"/>
  <c r="AN51" i="34" s="1"/>
  <c r="AZ51" i="34" s="1"/>
  <c r="BL51" i="34" s="1"/>
  <c r="X13" i="34"/>
  <c r="AI13" i="34"/>
  <c r="AJ13" i="34"/>
  <c r="AN13" i="34"/>
  <c r="AZ13" i="34" s="1"/>
  <c r="BL13" i="34" s="1"/>
  <c r="BX13" i="34" s="1"/>
  <c r="CJ13" i="34" s="1"/>
  <c r="CJ51" i="34" s="1"/>
  <c r="BI13" i="34"/>
  <c r="BJ13" i="34" s="1"/>
  <c r="DA13" i="34" s="1"/>
  <c r="V14" i="34"/>
  <c r="W14" i="34"/>
  <c r="X14" i="34"/>
  <c r="AI14" i="34"/>
  <c r="AJ14" i="34"/>
  <c r="BI14" i="34"/>
  <c r="BJ14" i="34" s="1"/>
  <c r="DA14" i="34" s="1"/>
  <c r="M15" i="34"/>
  <c r="M53" i="34" s="1"/>
  <c r="Y53" i="34" s="1"/>
  <c r="AN53" i="34" s="1"/>
  <c r="AZ53" i="34" s="1"/>
  <c r="BL53" i="34" s="1"/>
  <c r="V15" i="34"/>
  <c r="AX15" i="34" s="1"/>
  <c r="AI15" i="34"/>
  <c r="AN15" i="34"/>
  <c r="AZ15" i="34" s="1"/>
  <c r="V16" i="34"/>
  <c r="AX16" i="34" s="1"/>
  <c r="AI16" i="34"/>
  <c r="M17" i="34"/>
  <c r="M55" i="34" s="1"/>
  <c r="Y55" i="34" s="1"/>
  <c r="AN55" i="34" s="1"/>
  <c r="AZ55" i="34" s="1"/>
  <c r="BL55" i="34" s="1"/>
  <c r="V17" i="34"/>
  <c r="AX17" i="34" s="1"/>
  <c r="AI17" i="34"/>
  <c r="AN17" i="34"/>
  <c r="AZ17" i="34" s="1"/>
  <c r="CW17" i="34" s="1"/>
  <c r="V18" i="34"/>
  <c r="AI18" i="34"/>
  <c r="M19" i="34"/>
  <c r="M57" i="34" s="1"/>
  <c r="Y57" i="34" s="1"/>
  <c r="AN57" i="34" s="1"/>
  <c r="AZ57" i="34" s="1"/>
  <c r="BL57" i="34" s="1"/>
  <c r="V19" i="34"/>
  <c r="AX19" i="34" s="1"/>
  <c r="AI19" i="34"/>
  <c r="AN19" i="34"/>
  <c r="AZ19" i="34" s="1"/>
  <c r="CW19" i="34" s="1"/>
  <c r="V20" i="34"/>
  <c r="T58" i="34" s="1"/>
  <c r="AR20" i="34" s="1"/>
  <c r="AI20" i="34"/>
  <c r="M21" i="34"/>
  <c r="M59" i="34" s="1"/>
  <c r="Y59" i="34" s="1"/>
  <c r="AN59" i="34" s="1"/>
  <c r="AZ59" i="34" s="1"/>
  <c r="BL59" i="34" s="1"/>
  <c r="V21" i="34"/>
  <c r="AI21" i="34"/>
  <c r="AZ21" i="34"/>
  <c r="CW21" i="34" s="1"/>
  <c r="V22" i="34"/>
  <c r="AX22" i="34" s="1"/>
  <c r="AI22" i="34"/>
  <c r="M23" i="34"/>
  <c r="M61" i="34" s="1"/>
  <c r="Y61" i="34" s="1"/>
  <c r="AN61" i="34" s="1"/>
  <c r="AZ61" i="34" s="1"/>
  <c r="BL61" i="34" s="1"/>
  <c r="V23" i="34"/>
  <c r="AX23" i="34" s="1"/>
  <c r="AI23" i="34"/>
  <c r="AN23" i="34"/>
  <c r="AZ23" i="34" s="1"/>
  <c r="CW23" i="34" s="1"/>
  <c r="V24" i="34"/>
  <c r="AX24" i="34" s="1"/>
  <c r="AI24" i="34"/>
  <c r="M25" i="34"/>
  <c r="M63" i="34" s="1"/>
  <c r="Y63" i="34" s="1"/>
  <c r="AN63" i="34" s="1"/>
  <c r="AZ63" i="34" s="1"/>
  <c r="BL63" i="34" s="1"/>
  <c r="V25" i="34"/>
  <c r="AX25" i="34" s="1"/>
  <c r="AI25" i="34"/>
  <c r="AN25" i="34"/>
  <c r="AZ25" i="34" s="1"/>
  <c r="CW25" i="34" s="1"/>
  <c r="V26" i="34"/>
  <c r="T64" i="34" s="1"/>
  <c r="AR26" i="34" s="1"/>
  <c r="AI26" i="34"/>
  <c r="M27" i="34"/>
  <c r="M65" i="34" s="1"/>
  <c r="Y65" i="34" s="1"/>
  <c r="AN65" i="34" s="1"/>
  <c r="AZ65" i="34" s="1"/>
  <c r="BL65" i="34" s="1"/>
  <c r="V27" i="34"/>
  <c r="AX27" i="34" s="1"/>
  <c r="W27" i="34"/>
  <c r="X27" i="34"/>
  <c r="AI27" i="34"/>
  <c r="AJ27" i="34"/>
  <c r="AN27" i="34"/>
  <c r="AZ27" i="34" s="1"/>
  <c r="BI27" i="34"/>
  <c r="BJ27" i="34" s="1"/>
  <c r="DA27" i="34" s="1"/>
  <c r="V28" i="34"/>
  <c r="AX28" i="34" s="1"/>
  <c r="W28" i="34"/>
  <c r="X28" i="34"/>
  <c r="AI28" i="34"/>
  <c r="AJ28" i="34"/>
  <c r="BI28" i="34"/>
  <c r="BJ28" i="34" s="1"/>
  <c r="DA28" i="34" s="1"/>
  <c r="M29" i="34"/>
  <c r="M67" i="34" s="1"/>
  <c r="Y67" i="34" s="1"/>
  <c r="AN67" i="34" s="1"/>
  <c r="AZ67" i="34" s="1"/>
  <c r="BL67" i="34" s="1"/>
  <c r="V29" i="34"/>
  <c r="AX29" i="34" s="1"/>
  <c r="W29" i="34"/>
  <c r="X29" i="34"/>
  <c r="AI29" i="34"/>
  <c r="AJ29" i="34"/>
  <c r="AN29" i="34"/>
  <c r="AZ29" i="34" s="1"/>
  <c r="CW29" i="34" s="1"/>
  <c r="BI29" i="34"/>
  <c r="BJ29" i="34" s="1"/>
  <c r="DA29" i="34" s="1"/>
  <c r="V30" i="34"/>
  <c r="AX30" i="34" s="1"/>
  <c r="W30" i="34"/>
  <c r="X30" i="34"/>
  <c r="AI30" i="34"/>
  <c r="AJ30" i="34"/>
  <c r="BI30" i="34"/>
  <c r="BJ30" i="34" s="1"/>
  <c r="DA30" i="34" s="1"/>
  <c r="M31" i="34"/>
  <c r="M69" i="34" s="1"/>
  <c r="Y69" i="34" s="1"/>
  <c r="AN69" i="34" s="1"/>
  <c r="AZ69" i="34" s="1"/>
  <c r="BL69" i="34" s="1"/>
  <c r="V31" i="34"/>
  <c r="AX31" i="34" s="1"/>
  <c r="W31" i="34"/>
  <c r="X31" i="34"/>
  <c r="AI31" i="34"/>
  <c r="AJ31" i="34"/>
  <c r="AN31" i="34"/>
  <c r="AZ31" i="34" s="1"/>
  <c r="CW31" i="34" s="1"/>
  <c r="BI31" i="34"/>
  <c r="BJ31" i="34" s="1"/>
  <c r="DA31" i="34" s="1"/>
  <c r="V32" i="34"/>
  <c r="AX32" i="34" s="1"/>
  <c r="W32" i="34"/>
  <c r="X32" i="34"/>
  <c r="AI32" i="34"/>
  <c r="AJ32" i="34"/>
  <c r="BI32" i="34"/>
  <c r="BJ32" i="34" s="1"/>
  <c r="DA32" i="34" s="1"/>
  <c r="M33" i="34"/>
  <c r="M71" i="34" s="1"/>
  <c r="Y71" i="34" s="1"/>
  <c r="AN71" i="34" s="1"/>
  <c r="AZ71" i="34" s="1"/>
  <c r="BL71" i="34" s="1"/>
  <c r="M35" i="34"/>
  <c r="M73" i="34" s="1"/>
  <c r="Y73" i="34" s="1"/>
  <c r="AN73" i="34" s="1"/>
  <c r="AZ73" i="34" s="1"/>
  <c r="BL73" i="34" s="1"/>
  <c r="M37" i="34"/>
  <c r="M75" i="34" s="1"/>
  <c r="M39" i="34"/>
  <c r="M77" i="34" s="1"/>
  <c r="M41" i="34"/>
  <c r="M79" i="34" s="1"/>
  <c r="M43" i="34"/>
  <c r="M81" i="34" s="1"/>
  <c r="P51" i="34"/>
  <c r="Q51" i="34"/>
  <c r="R51" i="34"/>
  <c r="S51" i="34"/>
  <c r="V51" i="34"/>
  <c r="AO51" i="34"/>
  <c r="AP51" i="34"/>
  <c r="AT51" i="34"/>
  <c r="AW51" i="34"/>
  <c r="BI51" i="34"/>
  <c r="BJ51" i="34" s="1"/>
  <c r="DB13" i="34" s="1"/>
  <c r="BM51" i="34"/>
  <c r="BO51" i="34" s="1"/>
  <c r="BP51" i="34" s="1"/>
  <c r="BR51" i="34"/>
  <c r="O52" i="34"/>
  <c r="P52" i="34"/>
  <c r="Q52" i="34"/>
  <c r="R52" i="34"/>
  <c r="S52" i="34"/>
  <c r="V52" i="34"/>
  <c r="AO52" i="34"/>
  <c r="AP52" i="34"/>
  <c r="AT52" i="34"/>
  <c r="AW52" i="34"/>
  <c r="BI52" i="34"/>
  <c r="BM52" i="34"/>
  <c r="BO52" i="34" s="1"/>
  <c r="BP52" i="34" s="1"/>
  <c r="BR52" i="34"/>
  <c r="O53" i="34"/>
  <c r="P53" i="34"/>
  <c r="Q53" i="34"/>
  <c r="R53" i="34"/>
  <c r="V53" i="34"/>
  <c r="AO53" i="34"/>
  <c r="AP53" i="34"/>
  <c r="AT53" i="34"/>
  <c r="AW53" i="34"/>
  <c r="BI53" i="34"/>
  <c r="BJ53" i="34" s="1"/>
  <c r="DB15" i="34" s="1"/>
  <c r="BR53" i="34"/>
  <c r="O54" i="34"/>
  <c r="P54" i="34"/>
  <c r="Q54" i="34"/>
  <c r="R54" i="34"/>
  <c r="V54" i="34"/>
  <c r="AO54" i="34"/>
  <c r="AP54" i="34"/>
  <c r="AT54" i="34"/>
  <c r="AW54" i="34"/>
  <c r="BI54" i="34"/>
  <c r="BJ54" i="34" s="1"/>
  <c r="DB16" i="34" s="1"/>
  <c r="BR54" i="34"/>
  <c r="O55" i="34"/>
  <c r="P55" i="34"/>
  <c r="Q55" i="34"/>
  <c r="R55" i="34"/>
  <c r="V55" i="34"/>
  <c r="AO55" i="34"/>
  <c r="AP55" i="34"/>
  <c r="AT55" i="34"/>
  <c r="AW55" i="34"/>
  <c r="BI55" i="34"/>
  <c r="BJ55" i="34" s="1"/>
  <c r="DB17" i="34" s="1"/>
  <c r="BR55" i="34"/>
  <c r="O56" i="34"/>
  <c r="P56" i="34"/>
  <c r="Q56" i="34"/>
  <c r="R56" i="34"/>
  <c r="V56" i="34"/>
  <c r="AO56" i="34"/>
  <c r="AP56" i="34"/>
  <c r="AT56" i="34"/>
  <c r="AW56" i="34"/>
  <c r="BI56" i="34"/>
  <c r="BJ56" i="34" s="1"/>
  <c r="DB18" i="34" s="1"/>
  <c r="BR56" i="34"/>
  <c r="O57" i="34"/>
  <c r="P57" i="34"/>
  <c r="Q57" i="34"/>
  <c r="R57" i="34"/>
  <c r="V57" i="34"/>
  <c r="AO57" i="34"/>
  <c r="AP57" i="34"/>
  <c r="AT57" i="34"/>
  <c r="AW57" i="34"/>
  <c r="BI57" i="34"/>
  <c r="BJ57" i="34" s="1"/>
  <c r="DB19" i="34" s="1"/>
  <c r="BR57" i="34"/>
  <c r="O58" i="34"/>
  <c r="P58" i="34"/>
  <c r="Q58" i="34"/>
  <c r="R58" i="34"/>
  <c r="V58" i="34"/>
  <c r="AO58" i="34"/>
  <c r="AP58" i="34"/>
  <c r="AT58" i="34"/>
  <c r="AW58" i="34"/>
  <c r="BI58" i="34"/>
  <c r="BJ58" i="34" s="1"/>
  <c r="DB20" i="34" s="1"/>
  <c r="BR58" i="34"/>
  <c r="O59" i="34"/>
  <c r="P59" i="34"/>
  <c r="Q59" i="34"/>
  <c r="R59" i="34"/>
  <c r="V59" i="34"/>
  <c r="AO59" i="34"/>
  <c r="AP59" i="34"/>
  <c r="AT59" i="34"/>
  <c r="AW59" i="34"/>
  <c r="BI59" i="34"/>
  <c r="BJ59" i="34" s="1"/>
  <c r="DB21" i="34" s="1"/>
  <c r="BR59" i="34"/>
  <c r="O60" i="34"/>
  <c r="P60" i="34"/>
  <c r="Q60" i="34"/>
  <c r="R60" i="34"/>
  <c r="V60" i="34"/>
  <c r="AO60" i="34"/>
  <c r="AP60" i="34"/>
  <c r="AT60" i="34"/>
  <c r="AW60" i="34"/>
  <c r="BI60" i="34"/>
  <c r="BJ60" i="34" s="1"/>
  <c r="DB22" i="34" s="1"/>
  <c r="BR60" i="34"/>
  <c r="O61" i="34"/>
  <c r="P61" i="34"/>
  <c r="Q61" i="34"/>
  <c r="R61" i="34"/>
  <c r="V61" i="34"/>
  <c r="AO61" i="34"/>
  <c r="AP61" i="34"/>
  <c r="AT61" i="34"/>
  <c r="AW61" i="34"/>
  <c r="BI61" i="34"/>
  <c r="BJ61" i="34" s="1"/>
  <c r="DB23" i="34" s="1"/>
  <c r="BR61" i="34"/>
  <c r="O62" i="34"/>
  <c r="P62" i="34"/>
  <c r="Q62" i="34"/>
  <c r="R62" i="34"/>
  <c r="V62" i="34"/>
  <c r="AO62" i="34"/>
  <c r="AP62" i="34"/>
  <c r="AT62" i="34"/>
  <c r="AW62" i="34"/>
  <c r="BI62" i="34"/>
  <c r="BJ62" i="34" s="1"/>
  <c r="DB24" i="34" s="1"/>
  <c r="BR62" i="34"/>
  <c r="O63" i="34"/>
  <c r="P63" i="34"/>
  <c r="Q63" i="34"/>
  <c r="R63" i="34"/>
  <c r="V63" i="34"/>
  <c r="AO63" i="34"/>
  <c r="AP63" i="34"/>
  <c r="AT63" i="34"/>
  <c r="AW63" i="34"/>
  <c r="BI63" i="34"/>
  <c r="BJ63" i="34" s="1"/>
  <c r="DB25" i="34" s="1"/>
  <c r="BR63" i="34"/>
  <c r="O64" i="34"/>
  <c r="P64" i="34"/>
  <c r="Q64" i="34"/>
  <c r="R64" i="34"/>
  <c r="V64" i="34"/>
  <c r="AO64" i="34"/>
  <c r="AP64" i="34"/>
  <c r="AT64" i="34"/>
  <c r="AW64" i="34"/>
  <c r="BI64" i="34"/>
  <c r="BJ64" i="34" s="1"/>
  <c r="DB26" i="34" s="1"/>
  <c r="BR64" i="34"/>
  <c r="O65" i="34"/>
  <c r="P65" i="34"/>
  <c r="Q65" i="34"/>
  <c r="R65" i="34"/>
  <c r="S65" i="34"/>
  <c r="V65" i="34"/>
  <c r="AO65" i="34"/>
  <c r="AP65" i="34"/>
  <c r="AT65" i="34"/>
  <c r="AW65" i="34"/>
  <c r="BI65" i="34"/>
  <c r="BJ65" i="34" s="1"/>
  <c r="DB27" i="34" s="1"/>
  <c r="BM65" i="34"/>
  <c r="BO65" i="34" s="1"/>
  <c r="BP65" i="34" s="1"/>
  <c r="BR65" i="34"/>
  <c r="O66" i="34"/>
  <c r="P66" i="34"/>
  <c r="Q66" i="34"/>
  <c r="R66" i="34"/>
  <c r="S66" i="34"/>
  <c r="V66" i="34"/>
  <c r="AO66" i="34"/>
  <c r="AP66" i="34"/>
  <c r="AT66" i="34"/>
  <c r="AW66" i="34"/>
  <c r="BI66" i="34"/>
  <c r="BJ66" i="34" s="1"/>
  <c r="DB28" i="34" s="1"/>
  <c r="BM66" i="34"/>
  <c r="BO66" i="34" s="1"/>
  <c r="BP66" i="34" s="1"/>
  <c r="BR66" i="34"/>
  <c r="O67" i="34"/>
  <c r="P67" i="34"/>
  <c r="Q67" i="34"/>
  <c r="R67" i="34"/>
  <c r="S67" i="34"/>
  <c r="V67" i="34"/>
  <c r="AO67" i="34"/>
  <c r="AP67" i="34"/>
  <c r="AT67" i="34"/>
  <c r="AW67" i="34"/>
  <c r="BI67" i="34"/>
  <c r="BJ67" i="34" s="1"/>
  <c r="DB29" i="34" s="1"/>
  <c r="BM67" i="34"/>
  <c r="BO67" i="34" s="1"/>
  <c r="BP67" i="34" s="1"/>
  <c r="BR67" i="34"/>
  <c r="O68" i="34"/>
  <c r="P68" i="34"/>
  <c r="Q68" i="34"/>
  <c r="R68" i="34"/>
  <c r="S68" i="34"/>
  <c r="V68" i="34"/>
  <c r="AO68" i="34"/>
  <c r="AP68" i="34"/>
  <c r="AT68" i="34"/>
  <c r="AW68" i="34"/>
  <c r="BI68" i="34"/>
  <c r="BJ68" i="34" s="1"/>
  <c r="DB30" i="34" s="1"/>
  <c r="BM68" i="34"/>
  <c r="BO68" i="34" s="1"/>
  <c r="BP68" i="34" s="1"/>
  <c r="BR68" i="34"/>
  <c r="O69" i="34"/>
  <c r="P69" i="34"/>
  <c r="Q69" i="34"/>
  <c r="R69" i="34"/>
  <c r="S69" i="34"/>
  <c r="V69" i="34"/>
  <c r="AO69" i="34"/>
  <c r="AP69" i="34"/>
  <c r="AT69" i="34"/>
  <c r="AW69" i="34"/>
  <c r="BI69" i="34"/>
  <c r="BJ69" i="34" s="1"/>
  <c r="DB31" i="34" s="1"/>
  <c r="BM69" i="34"/>
  <c r="BO69" i="34" s="1"/>
  <c r="BP69" i="34" s="1"/>
  <c r="BR69" i="34"/>
  <c r="O70" i="34"/>
  <c r="P70" i="34"/>
  <c r="Q70" i="34"/>
  <c r="R70" i="34"/>
  <c r="S70" i="34"/>
  <c r="V70" i="34"/>
  <c r="AO70" i="34"/>
  <c r="AP70" i="34"/>
  <c r="AT70" i="34"/>
  <c r="AW70" i="34"/>
  <c r="BI70" i="34"/>
  <c r="BJ70" i="34" s="1"/>
  <c r="DB32" i="34" s="1"/>
  <c r="BM70" i="34"/>
  <c r="BO70" i="34" s="1"/>
  <c r="BP70" i="34" s="1"/>
  <c r="BR70" i="34"/>
  <c r="O91" i="34"/>
  <c r="T91" i="34"/>
  <c r="U91" i="34"/>
  <c r="CX13" i="34"/>
  <c r="CY13" i="34"/>
  <c r="CZ13" i="34"/>
  <c r="O92" i="34"/>
  <c r="T92" i="34"/>
  <c r="U92" i="34"/>
  <c r="CX14" i="34"/>
  <c r="CY14" i="34"/>
  <c r="CZ14" i="34"/>
  <c r="O93" i="34"/>
  <c r="T93" i="34"/>
  <c r="U93" i="34"/>
  <c r="CX15" i="34"/>
  <c r="CZ15" i="34"/>
  <c r="O94" i="34"/>
  <c r="T94" i="34"/>
  <c r="U94" i="34"/>
  <c r="CX16" i="34"/>
  <c r="CZ16" i="34"/>
  <c r="O95" i="34"/>
  <c r="T95" i="34"/>
  <c r="U95" i="34"/>
  <c r="CX17" i="34"/>
  <c r="CZ17" i="34"/>
  <c r="O96" i="34"/>
  <c r="T96" i="34"/>
  <c r="U96" i="34"/>
  <c r="CX18" i="34"/>
  <c r="CZ18" i="34"/>
  <c r="O97" i="34"/>
  <c r="T97" i="34"/>
  <c r="U97" i="34"/>
  <c r="CX19" i="34"/>
  <c r="CZ19" i="34"/>
  <c r="O98" i="34"/>
  <c r="T98" i="34"/>
  <c r="U98" i="34"/>
  <c r="CX20" i="34"/>
  <c r="CZ20" i="34"/>
  <c r="O99" i="34"/>
  <c r="T99" i="34"/>
  <c r="U99" i="34"/>
  <c r="CX21" i="34"/>
  <c r="CZ21" i="34"/>
  <c r="O100" i="34"/>
  <c r="T100" i="34"/>
  <c r="U100" i="34"/>
  <c r="CX22" i="34"/>
  <c r="CZ22" i="34"/>
  <c r="O101" i="34"/>
  <c r="T101" i="34"/>
  <c r="U101" i="34"/>
  <c r="CX23" i="34"/>
  <c r="CZ23" i="34"/>
  <c r="O102" i="34"/>
  <c r="T102" i="34"/>
  <c r="U102" i="34"/>
  <c r="CX24" i="34"/>
  <c r="CZ24" i="34"/>
  <c r="CX25" i="34"/>
  <c r="CZ25" i="34"/>
  <c r="CX26" i="34"/>
  <c r="CZ26" i="34"/>
  <c r="O105" i="34"/>
  <c r="S119" i="34" s="1"/>
  <c r="CX27" i="34"/>
  <c r="CY27" i="34"/>
  <c r="CZ27" i="34"/>
  <c r="O106" i="34"/>
  <c r="CX28" i="34"/>
  <c r="CY28" i="34"/>
  <c r="CZ28" i="34"/>
  <c r="O107" i="34"/>
  <c r="S120" i="34" s="1"/>
  <c r="CX29" i="34"/>
  <c r="CY29" i="34"/>
  <c r="CZ29" i="34"/>
  <c r="CX30" i="34"/>
  <c r="CY30" i="34"/>
  <c r="CZ30" i="34"/>
  <c r="O109" i="34"/>
  <c r="CX31" i="34"/>
  <c r="CY31" i="34"/>
  <c r="CZ31" i="34"/>
  <c r="CX32" i="34"/>
  <c r="CY32" i="34"/>
  <c r="CZ32" i="34"/>
  <c r="O122" i="34"/>
  <c r="O126" i="34"/>
  <c r="Q12" i="16"/>
  <c r="O12" i="16"/>
  <c r="G12" i="16"/>
  <c r="H12" i="16" s="1"/>
  <c r="AV7" i="16"/>
  <c r="AV8" i="16"/>
  <c r="AV9" i="16"/>
  <c r="AV10" i="16"/>
  <c r="AV11" i="16"/>
  <c r="AV12" i="16"/>
  <c r="AV13" i="16"/>
  <c r="AV14" i="16"/>
  <c r="AV15" i="16"/>
  <c r="AV16" i="16"/>
  <c r="AV17" i="16"/>
  <c r="AV18" i="16"/>
  <c r="AV19" i="16"/>
  <c r="AV20" i="16"/>
  <c r="AV21" i="16"/>
  <c r="AV22" i="16"/>
  <c r="AV23" i="16"/>
  <c r="AV24" i="16"/>
  <c r="AV25" i="16"/>
  <c r="AV26" i="16"/>
  <c r="AV27" i="16"/>
  <c r="AV28" i="16"/>
  <c r="AV29" i="16"/>
  <c r="AV30" i="16"/>
  <c r="AV31" i="16"/>
  <c r="AV32" i="16"/>
  <c r="AV33" i="16"/>
  <c r="AV34" i="16"/>
  <c r="AV35" i="16"/>
  <c r="AV36" i="16"/>
  <c r="AV37" i="16"/>
  <c r="AV38" i="16"/>
  <c r="AV39" i="16"/>
  <c r="AV40" i="16"/>
  <c r="AV41" i="16"/>
  <c r="AV42" i="16"/>
  <c r="AV43" i="16"/>
  <c r="AV44" i="16"/>
  <c r="AV45" i="16"/>
  <c r="AV46" i="16"/>
  <c r="AV47" i="16"/>
  <c r="AV48" i="16"/>
  <c r="AV49" i="16"/>
  <c r="AV50" i="16"/>
  <c r="AV51" i="16"/>
  <c r="AV52" i="16"/>
  <c r="AV53" i="16"/>
  <c r="AV54" i="16"/>
  <c r="AV55" i="16"/>
  <c r="AV56" i="16"/>
  <c r="AV57" i="16"/>
  <c r="AV58" i="16"/>
  <c r="AV59" i="16"/>
  <c r="AV60" i="16"/>
  <c r="AV61" i="16"/>
  <c r="AV62" i="16"/>
  <c r="AV63" i="16"/>
  <c r="AV64" i="16"/>
  <c r="AV65" i="16"/>
  <c r="AV66" i="16"/>
  <c r="AV67" i="16"/>
  <c r="AV68" i="16"/>
  <c r="AV69" i="16"/>
  <c r="AV70" i="16"/>
  <c r="AV71" i="16"/>
  <c r="AV72" i="16"/>
  <c r="AV73" i="16"/>
  <c r="AV74" i="16"/>
  <c r="AV75" i="16"/>
  <c r="AV76" i="16"/>
  <c r="AV77" i="16"/>
  <c r="AV78" i="16"/>
  <c r="AV79" i="16"/>
  <c r="AV80" i="16"/>
  <c r="AV81" i="16"/>
  <c r="AV82" i="16"/>
  <c r="AV83" i="16"/>
  <c r="AV84" i="16"/>
  <c r="AV85" i="16"/>
  <c r="AV86" i="16"/>
  <c r="AV87" i="16"/>
  <c r="AV88" i="16"/>
  <c r="AV89" i="16"/>
  <c r="AV90" i="16"/>
  <c r="AV91" i="16"/>
  <c r="AV92" i="16"/>
  <c r="AV93" i="16"/>
  <c r="AV94" i="16"/>
  <c r="AV95" i="16"/>
  <c r="AV96" i="16"/>
  <c r="AV97" i="16"/>
  <c r="AV98" i="16"/>
  <c r="AV99" i="16"/>
  <c r="AV100" i="16"/>
  <c r="AV101" i="16"/>
  <c r="AV102" i="16"/>
  <c r="AV103" i="16"/>
  <c r="AV104" i="16"/>
  <c r="AV105" i="16"/>
  <c r="AV106" i="16"/>
  <c r="AV107" i="16"/>
  <c r="AV108" i="16"/>
  <c r="AV109" i="16"/>
  <c r="AV110" i="16"/>
  <c r="AV111" i="16"/>
  <c r="AV112" i="16"/>
  <c r="AV113" i="16"/>
  <c r="AV114" i="16"/>
  <c r="AV115" i="16"/>
  <c r="AV116" i="16"/>
  <c r="AV117" i="16"/>
  <c r="AV118" i="16"/>
  <c r="AV119" i="16"/>
  <c r="AV120" i="16"/>
  <c r="AV121" i="16"/>
  <c r="AV122" i="16"/>
  <c r="AV123" i="16"/>
  <c r="AV124" i="16"/>
  <c r="AV125" i="16"/>
  <c r="AV126" i="16"/>
  <c r="AV127" i="16"/>
  <c r="AV128" i="16"/>
  <c r="AV129" i="16"/>
  <c r="AV130" i="16"/>
  <c r="AV131" i="16"/>
  <c r="AV132" i="16"/>
  <c r="AV133" i="16"/>
  <c r="AV134" i="16"/>
  <c r="AV135" i="16"/>
  <c r="AV136" i="16"/>
  <c r="AV137" i="16"/>
  <c r="AV138" i="16"/>
  <c r="AV139" i="16"/>
  <c r="AV140" i="16"/>
  <c r="AV141" i="16"/>
  <c r="AV142" i="16"/>
  <c r="AV143" i="16"/>
  <c r="AV144" i="16"/>
  <c r="AV145" i="16"/>
  <c r="AV146" i="16"/>
  <c r="AV147" i="16"/>
  <c r="AV148" i="16"/>
  <c r="AV149" i="16"/>
  <c r="AV150" i="16"/>
  <c r="AV151" i="16"/>
  <c r="AV152" i="16"/>
  <c r="AV153" i="16"/>
  <c r="AV154" i="16"/>
  <c r="AV155" i="16"/>
  <c r="AV156" i="16"/>
  <c r="AV157" i="16"/>
  <c r="AV158" i="16"/>
  <c r="AV159" i="16"/>
  <c r="AV160" i="16"/>
  <c r="AV161" i="16"/>
  <c r="AV162" i="16"/>
  <c r="AV163" i="16"/>
  <c r="AV164" i="16"/>
  <c r="AV165" i="16"/>
  <c r="AV166" i="16"/>
  <c r="AV167" i="16"/>
  <c r="AV168" i="16"/>
  <c r="AV169" i="16"/>
  <c r="AV170" i="16"/>
  <c r="AV171" i="16"/>
  <c r="AV172" i="16"/>
  <c r="AV173" i="16"/>
  <c r="AV174" i="16"/>
  <c r="AV175" i="16"/>
  <c r="AV176" i="16"/>
  <c r="AV177" i="16"/>
  <c r="AV178" i="16"/>
  <c r="AV179" i="16"/>
  <c r="AV180" i="16"/>
  <c r="AV181" i="16"/>
  <c r="AV182" i="16"/>
  <c r="AV183" i="16"/>
  <c r="AV184" i="16"/>
  <c r="AV185" i="16"/>
  <c r="AV186" i="16"/>
  <c r="AV187" i="16"/>
  <c r="AV188" i="16"/>
  <c r="AV189" i="16"/>
  <c r="AV190" i="16"/>
  <c r="AV191" i="16"/>
  <c r="AV192" i="16"/>
  <c r="AV193" i="16"/>
  <c r="AV194" i="16"/>
  <c r="AV195" i="16"/>
  <c r="AV196" i="16"/>
  <c r="AV197" i="16"/>
  <c r="AV198" i="16"/>
  <c r="AV199" i="16"/>
  <c r="AV200" i="16"/>
  <c r="AV201" i="16"/>
  <c r="AV202" i="16"/>
  <c r="AV203" i="16"/>
  <c r="AV204" i="16"/>
  <c r="AV205" i="16"/>
  <c r="AV206" i="16"/>
  <c r="AV207" i="16"/>
  <c r="AV208" i="16"/>
  <c r="AV209" i="16"/>
  <c r="AV210" i="16"/>
  <c r="AV211" i="16"/>
  <c r="AV212" i="16"/>
  <c r="AV213" i="16"/>
  <c r="AV214" i="16"/>
  <c r="AV215" i="16"/>
  <c r="AV216" i="16"/>
  <c r="AV217" i="16"/>
  <c r="AV218" i="16"/>
  <c r="AV219" i="16"/>
  <c r="AV220" i="16"/>
  <c r="AV221" i="16"/>
  <c r="AV6" i="16"/>
  <c r="AW7" i="16"/>
  <c r="AX7" i="16"/>
  <c r="AW8" i="16"/>
  <c r="AX8" i="16"/>
  <c r="AW9" i="16"/>
  <c r="AX9" i="16"/>
  <c r="AW10" i="16"/>
  <c r="AX10" i="16"/>
  <c r="AW11" i="16"/>
  <c r="AX11" i="16"/>
  <c r="AW12" i="16"/>
  <c r="AX12" i="16"/>
  <c r="AW13" i="16"/>
  <c r="AX13" i="16"/>
  <c r="AW14" i="16"/>
  <c r="AX14" i="16"/>
  <c r="AW15" i="16"/>
  <c r="AX15" i="16"/>
  <c r="AW16" i="16"/>
  <c r="AX16" i="16"/>
  <c r="AW17" i="16"/>
  <c r="AX17" i="16"/>
  <c r="AW18" i="16"/>
  <c r="AX18" i="16"/>
  <c r="AW19" i="16"/>
  <c r="AX19" i="16"/>
  <c r="AW20" i="16"/>
  <c r="AX20" i="16"/>
  <c r="AW21" i="16"/>
  <c r="AX21" i="16"/>
  <c r="AW22" i="16"/>
  <c r="AX22" i="16"/>
  <c r="AW23" i="16"/>
  <c r="AX23" i="16"/>
  <c r="AW24" i="16"/>
  <c r="AX24" i="16"/>
  <c r="AW25" i="16"/>
  <c r="AX25" i="16"/>
  <c r="AW26" i="16"/>
  <c r="AX26" i="16"/>
  <c r="AW27" i="16"/>
  <c r="AX27" i="16"/>
  <c r="AW28" i="16"/>
  <c r="AX28" i="16"/>
  <c r="AW29" i="16"/>
  <c r="AX29" i="16"/>
  <c r="AW30" i="16"/>
  <c r="AX30" i="16"/>
  <c r="AW31" i="16"/>
  <c r="AX31" i="16"/>
  <c r="AW32" i="16"/>
  <c r="AX32" i="16"/>
  <c r="AW33" i="16"/>
  <c r="AX33" i="16"/>
  <c r="AW34" i="16"/>
  <c r="AX34" i="16"/>
  <c r="AW35" i="16"/>
  <c r="AX35" i="16"/>
  <c r="AW36" i="16"/>
  <c r="AX36" i="16"/>
  <c r="AW37" i="16"/>
  <c r="AX37" i="16"/>
  <c r="AW38" i="16"/>
  <c r="AX38" i="16"/>
  <c r="AW39" i="16"/>
  <c r="AX39" i="16"/>
  <c r="AW40" i="16"/>
  <c r="AX40" i="16"/>
  <c r="AW41" i="16"/>
  <c r="AX41" i="16"/>
  <c r="AW42" i="16"/>
  <c r="AX42" i="16"/>
  <c r="AW43" i="16"/>
  <c r="AX43" i="16"/>
  <c r="AW44" i="16"/>
  <c r="AX44" i="16"/>
  <c r="AW45" i="16"/>
  <c r="AX45" i="16"/>
  <c r="AW46" i="16"/>
  <c r="AX46" i="16"/>
  <c r="AW47" i="16"/>
  <c r="AX47" i="16"/>
  <c r="AW48" i="16"/>
  <c r="AX48" i="16"/>
  <c r="AW49" i="16"/>
  <c r="AX49" i="16"/>
  <c r="AW50" i="16"/>
  <c r="AX50" i="16"/>
  <c r="AW51" i="16"/>
  <c r="AX51" i="16"/>
  <c r="AW52" i="16"/>
  <c r="AX52" i="16"/>
  <c r="AW53" i="16"/>
  <c r="AX53" i="16"/>
  <c r="AW54" i="16"/>
  <c r="AX54" i="16"/>
  <c r="AW55" i="16"/>
  <c r="AX55" i="16"/>
  <c r="AW56" i="16"/>
  <c r="AX56" i="16"/>
  <c r="AW57" i="16"/>
  <c r="AX57" i="16"/>
  <c r="AW58" i="16"/>
  <c r="AX58" i="16"/>
  <c r="AW59" i="16"/>
  <c r="AX59" i="16"/>
  <c r="AW60" i="16"/>
  <c r="AX60" i="16"/>
  <c r="AW61" i="16"/>
  <c r="AX61" i="16"/>
  <c r="AW62" i="16"/>
  <c r="AX62" i="16"/>
  <c r="AW63" i="16"/>
  <c r="AX63" i="16"/>
  <c r="AW64" i="16"/>
  <c r="AX64" i="16"/>
  <c r="AW65" i="16"/>
  <c r="AX65" i="16"/>
  <c r="AW66" i="16"/>
  <c r="AX66" i="16"/>
  <c r="AW67" i="16"/>
  <c r="AX67" i="16"/>
  <c r="AW68" i="16"/>
  <c r="AX68" i="16"/>
  <c r="AW69" i="16"/>
  <c r="AX69" i="16"/>
  <c r="AW70" i="16"/>
  <c r="AX70" i="16"/>
  <c r="AW71" i="16"/>
  <c r="AX71" i="16"/>
  <c r="AW72" i="16"/>
  <c r="AX72" i="16"/>
  <c r="AW73" i="16"/>
  <c r="AX73" i="16"/>
  <c r="AW74" i="16"/>
  <c r="AX74" i="16"/>
  <c r="AW75" i="16"/>
  <c r="AX75" i="16"/>
  <c r="AW76" i="16"/>
  <c r="AX76" i="16"/>
  <c r="AW77" i="16"/>
  <c r="AX77" i="16"/>
  <c r="AW78" i="16"/>
  <c r="AX78" i="16"/>
  <c r="AW79" i="16"/>
  <c r="AX79" i="16"/>
  <c r="AW80" i="16"/>
  <c r="AX80" i="16"/>
  <c r="AW81" i="16"/>
  <c r="AX81" i="16"/>
  <c r="AW82" i="16"/>
  <c r="AX82" i="16"/>
  <c r="AW83" i="16"/>
  <c r="AX83" i="16"/>
  <c r="AW84" i="16"/>
  <c r="AX84" i="16"/>
  <c r="AW85" i="16"/>
  <c r="AX85" i="16"/>
  <c r="AW86" i="16"/>
  <c r="AX86" i="16"/>
  <c r="AW87" i="16"/>
  <c r="AX87" i="16"/>
  <c r="AW88" i="16"/>
  <c r="AX88" i="16"/>
  <c r="AW89" i="16"/>
  <c r="AX89" i="16"/>
  <c r="AW90" i="16"/>
  <c r="AX90" i="16"/>
  <c r="AW91" i="16"/>
  <c r="AX91" i="16"/>
  <c r="AW92" i="16"/>
  <c r="AX92" i="16"/>
  <c r="AW93" i="16"/>
  <c r="AX93" i="16"/>
  <c r="AW94" i="16"/>
  <c r="AX94" i="16"/>
  <c r="AW95" i="16"/>
  <c r="AX95" i="16"/>
  <c r="AW96" i="16"/>
  <c r="AX96" i="16"/>
  <c r="AW97" i="16"/>
  <c r="AX97" i="16"/>
  <c r="AW98" i="16"/>
  <c r="AX98" i="16"/>
  <c r="AW99" i="16"/>
  <c r="AX99" i="16"/>
  <c r="AW100" i="16"/>
  <c r="AX100" i="16"/>
  <c r="AW101" i="16"/>
  <c r="AX101" i="16"/>
  <c r="AW102" i="16"/>
  <c r="AX102" i="16"/>
  <c r="AW103" i="16"/>
  <c r="AX103" i="16"/>
  <c r="AW104" i="16"/>
  <c r="AX104" i="16"/>
  <c r="AW105" i="16"/>
  <c r="AX105" i="16"/>
  <c r="AW106" i="16"/>
  <c r="AX106" i="16"/>
  <c r="AW107" i="16"/>
  <c r="AX107" i="16"/>
  <c r="AW108" i="16"/>
  <c r="AX108" i="16"/>
  <c r="AW109" i="16"/>
  <c r="AX109" i="16"/>
  <c r="AW110" i="16"/>
  <c r="AX110" i="16"/>
  <c r="AW111" i="16"/>
  <c r="AX111" i="16"/>
  <c r="AW112" i="16"/>
  <c r="AX112" i="16"/>
  <c r="AW113" i="16"/>
  <c r="AX113" i="16"/>
  <c r="AW114" i="16"/>
  <c r="AX114" i="16"/>
  <c r="AW115" i="16"/>
  <c r="AX115" i="16"/>
  <c r="AW116" i="16"/>
  <c r="AX116" i="16"/>
  <c r="AW117" i="16"/>
  <c r="AX117" i="16"/>
  <c r="AW118" i="16"/>
  <c r="AX118" i="16"/>
  <c r="AW119" i="16"/>
  <c r="AX119" i="16"/>
  <c r="AW120" i="16"/>
  <c r="AX120" i="16"/>
  <c r="AW121" i="16"/>
  <c r="AX121" i="16"/>
  <c r="AW122" i="16"/>
  <c r="AX122" i="16"/>
  <c r="AW123" i="16"/>
  <c r="AX123" i="16"/>
  <c r="AW124" i="16"/>
  <c r="AX124" i="16"/>
  <c r="AW125" i="16"/>
  <c r="AX125" i="16"/>
  <c r="AW126" i="16"/>
  <c r="AX126" i="16"/>
  <c r="AW127" i="16"/>
  <c r="AX127" i="16"/>
  <c r="AW128" i="16"/>
  <c r="AX128" i="16"/>
  <c r="AW129" i="16"/>
  <c r="AX129" i="16"/>
  <c r="AW130" i="16"/>
  <c r="AX130" i="16"/>
  <c r="AW131" i="16"/>
  <c r="AX131" i="16"/>
  <c r="AW132" i="16"/>
  <c r="AX132" i="16"/>
  <c r="AW133" i="16"/>
  <c r="AX133" i="16"/>
  <c r="AW134" i="16"/>
  <c r="AX134" i="16"/>
  <c r="AW135" i="16"/>
  <c r="AX135" i="16"/>
  <c r="AW136" i="16"/>
  <c r="AX136" i="16"/>
  <c r="AW137" i="16"/>
  <c r="AX137" i="16"/>
  <c r="AW138" i="16"/>
  <c r="AX138" i="16"/>
  <c r="AW139" i="16"/>
  <c r="AX139" i="16"/>
  <c r="AW140" i="16"/>
  <c r="AX140" i="16"/>
  <c r="AW141" i="16"/>
  <c r="AX141" i="16"/>
  <c r="AW142" i="16"/>
  <c r="AX142" i="16"/>
  <c r="AW143" i="16"/>
  <c r="AX143" i="16"/>
  <c r="AW144" i="16"/>
  <c r="AX144" i="16"/>
  <c r="AW145" i="16"/>
  <c r="AX145" i="16"/>
  <c r="AW146" i="16"/>
  <c r="AX146" i="16"/>
  <c r="AW147" i="16"/>
  <c r="AX147" i="16"/>
  <c r="AW148" i="16"/>
  <c r="AX148" i="16"/>
  <c r="AW149" i="16"/>
  <c r="AX149" i="16"/>
  <c r="AW150" i="16"/>
  <c r="AX150" i="16"/>
  <c r="AW151" i="16"/>
  <c r="AX151" i="16"/>
  <c r="AW152" i="16"/>
  <c r="AX152" i="16"/>
  <c r="AW153" i="16"/>
  <c r="AX153" i="16"/>
  <c r="AW154" i="16"/>
  <c r="AX154" i="16"/>
  <c r="AW155" i="16"/>
  <c r="AX155" i="16"/>
  <c r="AW156" i="16"/>
  <c r="AX156" i="16"/>
  <c r="AW157" i="16"/>
  <c r="AX157" i="16"/>
  <c r="AW158" i="16"/>
  <c r="AX158" i="16"/>
  <c r="AW159" i="16"/>
  <c r="AX159" i="16"/>
  <c r="AW160" i="16"/>
  <c r="AX160" i="16"/>
  <c r="AW161" i="16"/>
  <c r="AX161" i="16"/>
  <c r="AW162" i="16"/>
  <c r="AX162" i="16"/>
  <c r="AW163" i="16"/>
  <c r="AX163" i="16"/>
  <c r="AW164" i="16"/>
  <c r="AX164" i="16"/>
  <c r="AW165" i="16"/>
  <c r="AX165" i="16"/>
  <c r="AW166" i="16"/>
  <c r="AX166" i="16"/>
  <c r="AW167" i="16"/>
  <c r="AX167" i="16"/>
  <c r="AW168" i="16"/>
  <c r="AX168" i="16"/>
  <c r="AW169" i="16"/>
  <c r="AX169" i="16"/>
  <c r="AW170" i="16"/>
  <c r="AX170" i="16"/>
  <c r="AW171" i="16"/>
  <c r="AX171" i="16"/>
  <c r="AW172" i="16"/>
  <c r="AX172" i="16"/>
  <c r="AW173" i="16"/>
  <c r="AX173" i="16"/>
  <c r="AW174" i="16"/>
  <c r="AX174" i="16"/>
  <c r="AW175" i="16"/>
  <c r="AX175" i="16"/>
  <c r="AW176" i="16"/>
  <c r="AX176" i="16"/>
  <c r="AW177" i="16"/>
  <c r="AX177" i="16"/>
  <c r="AW178" i="16"/>
  <c r="AX178" i="16"/>
  <c r="AW179" i="16"/>
  <c r="AX179" i="16"/>
  <c r="AW180" i="16"/>
  <c r="AX180" i="16"/>
  <c r="AW181" i="16"/>
  <c r="AX181" i="16"/>
  <c r="AW182" i="16"/>
  <c r="AX182" i="16"/>
  <c r="AW183" i="16"/>
  <c r="AX183" i="16"/>
  <c r="AW184" i="16"/>
  <c r="AX184" i="16"/>
  <c r="AW185" i="16"/>
  <c r="AX185" i="16"/>
  <c r="AW186" i="16"/>
  <c r="AX186" i="16"/>
  <c r="AW187" i="16"/>
  <c r="AX187" i="16"/>
  <c r="AW188" i="16"/>
  <c r="AX188" i="16"/>
  <c r="AW189" i="16"/>
  <c r="AX189" i="16"/>
  <c r="AW190" i="16"/>
  <c r="AX190" i="16"/>
  <c r="AW191" i="16"/>
  <c r="AX191" i="16"/>
  <c r="AW192" i="16"/>
  <c r="AX192" i="16"/>
  <c r="AW193" i="16"/>
  <c r="AX193" i="16"/>
  <c r="AW194" i="16"/>
  <c r="AX194" i="16"/>
  <c r="AW195" i="16"/>
  <c r="AX195" i="16"/>
  <c r="AW196" i="16"/>
  <c r="AX196" i="16"/>
  <c r="AW197" i="16"/>
  <c r="AX197" i="16"/>
  <c r="AW198" i="16"/>
  <c r="AX198" i="16"/>
  <c r="AW199" i="16"/>
  <c r="AX199" i="16"/>
  <c r="AW200" i="16"/>
  <c r="AX200" i="16"/>
  <c r="AW201" i="16"/>
  <c r="AX201" i="16"/>
  <c r="AW202" i="16"/>
  <c r="AX202" i="16"/>
  <c r="AW203" i="16"/>
  <c r="AX203" i="16"/>
  <c r="AW204" i="16"/>
  <c r="AX204" i="16"/>
  <c r="AW205" i="16"/>
  <c r="AX205" i="16"/>
  <c r="AW206" i="16"/>
  <c r="AX206" i="16"/>
  <c r="AW207" i="16"/>
  <c r="AX207" i="16"/>
  <c r="AW208" i="16"/>
  <c r="AX208" i="16"/>
  <c r="AW209" i="16"/>
  <c r="AX209" i="16"/>
  <c r="AW210" i="16"/>
  <c r="AX210" i="16"/>
  <c r="AW211" i="16"/>
  <c r="AX211" i="16"/>
  <c r="AW212" i="16"/>
  <c r="AX212" i="16"/>
  <c r="AW213" i="16"/>
  <c r="AX213" i="16"/>
  <c r="AW214" i="16"/>
  <c r="AX214" i="16"/>
  <c r="AW215" i="16"/>
  <c r="AX215" i="16"/>
  <c r="AW216" i="16"/>
  <c r="AX216" i="16"/>
  <c r="AW217" i="16"/>
  <c r="AX217" i="16"/>
  <c r="AW218" i="16"/>
  <c r="AX218" i="16"/>
  <c r="AW219" i="16"/>
  <c r="AX219" i="16"/>
  <c r="AW220" i="16"/>
  <c r="AX220" i="16"/>
  <c r="AW221" i="16"/>
  <c r="AX221" i="16"/>
  <c r="AX6" i="16"/>
  <c r="AW6"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L27" i="34" l="1"/>
  <c r="BX27" i="34" s="1"/>
  <c r="CJ27" i="34" s="1"/>
  <c r="CJ65" i="34" s="1"/>
  <c r="CW27" i="34"/>
  <c r="BL15" i="34"/>
  <c r="BX15" i="34" s="1"/>
  <c r="CJ15" i="34" s="1"/>
  <c r="CJ53" i="34" s="1"/>
  <c r="CW15" i="34"/>
  <c r="T62" i="34"/>
  <c r="AR24" i="34" s="1"/>
  <c r="T54" i="34"/>
  <c r="AR16" i="34" s="1"/>
  <c r="AW14" i="34"/>
  <c r="T52" i="34"/>
  <c r="AX13" i="34"/>
  <c r="T51" i="34"/>
  <c r="AR13" i="34" s="1"/>
  <c r="BS73" i="34"/>
  <c r="CB35" i="34" s="1"/>
  <c r="CC35" i="34" s="1"/>
  <c r="BS74" i="34"/>
  <c r="CB36" i="34" s="1"/>
  <c r="CC36" i="34" s="1"/>
  <c r="CL36" i="34"/>
  <c r="BS72" i="34"/>
  <c r="CB34" i="34" s="1"/>
  <c r="CC34" i="34" s="1"/>
  <c r="BS71" i="34"/>
  <c r="CB33" i="34" s="1"/>
  <c r="CC33" i="34" s="1"/>
  <c r="CL34" i="34"/>
  <c r="CL33" i="34"/>
  <c r="CL35" i="34"/>
  <c r="BT33" i="34"/>
  <c r="BU33" i="34" s="1"/>
  <c r="BV33" i="34" s="1"/>
  <c r="CK74" i="34"/>
  <c r="CL74" i="34" s="1"/>
  <c r="BY34" i="34"/>
  <c r="BZ34" i="34" s="1"/>
  <c r="CK73" i="34"/>
  <c r="CL73" i="34" s="1"/>
  <c r="CK72" i="34"/>
  <c r="CL72" i="34" s="1"/>
  <c r="BT34" i="34"/>
  <c r="BU34" i="34" s="1"/>
  <c r="BV34" i="34" s="1"/>
  <c r="CK71" i="34"/>
  <c r="CL71" i="34" s="1"/>
  <c r="BY35" i="34"/>
  <c r="BZ35" i="34" s="1"/>
  <c r="BT35" i="34"/>
  <c r="BU35" i="34" s="1"/>
  <c r="BV35" i="34" s="1"/>
  <c r="BY36" i="34"/>
  <c r="BZ36" i="34" s="1"/>
  <c r="BT36" i="34"/>
  <c r="BU36" i="34" s="1"/>
  <c r="BV36" i="34" s="1"/>
  <c r="BY33" i="34"/>
  <c r="BZ33" i="34" s="1"/>
  <c r="CK61" i="34"/>
  <c r="CL61" i="34" s="1"/>
  <c r="BG71" i="34"/>
  <c r="BG73" i="34"/>
  <c r="BG72" i="34"/>
  <c r="BG74" i="34"/>
  <c r="BG36" i="34"/>
  <c r="BG34" i="34"/>
  <c r="BG35" i="34"/>
  <c r="AA45" i="16"/>
  <c r="W45" i="16"/>
  <c r="X45" i="16"/>
  <c r="W44" i="16"/>
  <c r="AA44" i="16"/>
  <c r="X44" i="16"/>
  <c r="W28" i="16"/>
  <c r="X28" i="16"/>
  <c r="AA28" i="16"/>
  <c r="W61" i="16"/>
  <c r="X61" i="16"/>
  <c r="AA61" i="16"/>
  <c r="W49" i="16"/>
  <c r="AA49" i="16"/>
  <c r="X49" i="16"/>
  <c r="X53" i="16"/>
  <c r="AA53" i="16"/>
  <c r="W53" i="16"/>
  <c r="P53" i="16" s="1"/>
  <c r="W36" i="16"/>
  <c r="X36" i="16"/>
  <c r="AA36" i="16"/>
  <c r="W51" i="16"/>
  <c r="X51" i="16"/>
  <c r="AA51" i="16"/>
  <c r="W43" i="16"/>
  <c r="X43" i="16"/>
  <c r="AA43" i="16"/>
  <c r="AA35" i="16"/>
  <c r="W35" i="16"/>
  <c r="X35" i="16"/>
  <c r="W27" i="16"/>
  <c r="X27" i="16"/>
  <c r="AA27" i="16"/>
  <c r="AA60" i="16"/>
  <c r="W60" i="16"/>
  <c r="X60" i="16"/>
  <c r="W39" i="16"/>
  <c r="AA39" i="16"/>
  <c r="X39" i="16"/>
  <c r="X52" i="16"/>
  <c r="AA52" i="16"/>
  <c r="W52" i="16"/>
  <c r="AA50" i="16"/>
  <c r="W50" i="16"/>
  <c r="X50" i="16"/>
  <c r="W42" i="16"/>
  <c r="X42" i="16"/>
  <c r="AA42" i="16"/>
  <c r="W34" i="16"/>
  <c r="AA34" i="16"/>
  <c r="X34" i="16"/>
  <c r="W26" i="16"/>
  <c r="AA26" i="16"/>
  <c r="X26" i="16"/>
  <c r="X59" i="16"/>
  <c r="W59" i="16"/>
  <c r="AA59" i="16"/>
  <c r="AA25" i="16"/>
  <c r="W25" i="16"/>
  <c r="X25" i="16"/>
  <c r="W58" i="16"/>
  <c r="AA58" i="16"/>
  <c r="X58" i="16"/>
  <c r="W41" i="16"/>
  <c r="X41" i="16"/>
  <c r="AA41" i="16"/>
  <c r="X33" i="16"/>
  <c r="AA33" i="16"/>
  <c r="W33" i="16"/>
  <c r="X48" i="16"/>
  <c r="AA48" i="16"/>
  <c r="W48" i="16"/>
  <c r="AB48" i="16" s="1"/>
  <c r="AA40" i="16"/>
  <c r="W40" i="16"/>
  <c r="X40" i="16"/>
  <c r="W32" i="16"/>
  <c r="X32" i="16"/>
  <c r="AA32" i="16"/>
  <c r="AA24" i="16"/>
  <c r="W24" i="16"/>
  <c r="X24" i="16"/>
  <c r="X57" i="16"/>
  <c r="P57" i="16" s="1"/>
  <c r="AA57" i="16"/>
  <c r="W57" i="16"/>
  <c r="W31" i="16"/>
  <c r="X31" i="16"/>
  <c r="AA31" i="16"/>
  <c r="W56" i="16"/>
  <c r="X56" i="16"/>
  <c r="AA56" i="16"/>
  <c r="W47" i="16"/>
  <c r="X47" i="16"/>
  <c r="AA47" i="16"/>
  <c r="W46" i="16"/>
  <c r="X46" i="16"/>
  <c r="AA46" i="16"/>
  <c r="W38" i="16"/>
  <c r="X38" i="16"/>
  <c r="AA38" i="16"/>
  <c r="AA30" i="16"/>
  <c r="W30" i="16"/>
  <c r="X30" i="16"/>
  <c r="AA55" i="16"/>
  <c r="W55" i="16"/>
  <c r="X55" i="16"/>
  <c r="W37" i="16"/>
  <c r="X37" i="16"/>
  <c r="AA37" i="16"/>
  <c r="X29" i="16"/>
  <c r="W29" i="16"/>
  <c r="AA29" i="16"/>
  <c r="W62" i="16"/>
  <c r="X62" i="16"/>
  <c r="AA62" i="16"/>
  <c r="X54" i="16"/>
  <c r="W54" i="16"/>
  <c r="AA54" i="16"/>
  <c r="T65" i="34"/>
  <c r="AR27" i="34" s="1"/>
  <c r="AQ67" i="34"/>
  <c r="AR67" i="34" s="1"/>
  <c r="H54" i="16"/>
  <c r="F54" i="16"/>
  <c r="L54" i="16"/>
  <c r="H59" i="16"/>
  <c r="H56" i="16"/>
  <c r="L62" i="16"/>
  <c r="J61" i="16"/>
  <c r="H60" i="16"/>
  <c r="F59" i="16"/>
  <c r="F58" i="16"/>
  <c r="H57" i="16"/>
  <c r="F56" i="16"/>
  <c r="F55" i="16"/>
  <c r="D54" i="16"/>
  <c r="L61" i="16"/>
  <c r="H55" i="16"/>
  <c r="J62" i="16"/>
  <c r="H61" i="16"/>
  <c r="F60" i="16"/>
  <c r="D59" i="16"/>
  <c r="D58" i="16"/>
  <c r="F57" i="16"/>
  <c r="D56" i="16"/>
  <c r="D55" i="16"/>
  <c r="N62" i="16"/>
  <c r="H58" i="16"/>
  <c r="H62" i="16"/>
  <c r="F61" i="16"/>
  <c r="D60" i="16"/>
  <c r="D57" i="16"/>
  <c r="J60" i="16"/>
  <c r="J57" i="16"/>
  <c r="F62" i="16"/>
  <c r="D61" i="16"/>
  <c r="N54" i="16"/>
  <c r="D62" i="16"/>
  <c r="N56" i="16"/>
  <c r="N60" i="16"/>
  <c r="L59" i="16"/>
  <c r="L58" i="16"/>
  <c r="N57" i="16"/>
  <c r="L56" i="16"/>
  <c r="L55" i="16"/>
  <c r="J54" i="16"/>
  <c r="N59" i="16"/>
  <c r="N58" i="16"/>
  <c r="N55" i="16"/>
  <c r="N61" i="16"/>
  <c r="L60" i="16"/>
  <c r="J59" i="16"/>
  <c r="J58" i="16"/>
  <c r="L57" i="16"/>
  <c r="J56" i="16"/>
  <c r="J55" i="16"/>
  <c r="T57" i="34"/>
  <c r="AR19" i="34" s="1"/>
  <c r="AH3" i="34"/>
  <c r="BI3" i="34" s="1"/>
  <c r="BU3" i="34" s="1"/>
  <c r="CG3" i="34" s="1"/>
  <c r="CS3" i="34" s="1"/>
  <c r="AQ52" i="34"/>
  <c r="AR52" i="34" s="1"/>
  <c r="AQ54" i="34"/>
  <c r="AR54" i="34" s="1"/>
  <c r="AX26" i="34"/>
  <c r="AX18" i="34"/>
  <c r="T70" i="34"/>
  <c r="AR32" i="34" s="1"/>
  <c r="CW13" i="34"/>
  <c r="AQ69" i="34"/>
  <c r="AR69" i="34" s="1"/>
  <c r="N68" i="34"/>
  <c r="AG68" i="34" s="1"/>
  <c r="AH68" i="34" s="1"/>
  <c r="AL30" i="34" s="1"/>
  <c r="BL17" i="34"/>
  <c r="BX17" i="34" s="1"/>
  <c r="CJ17" i="34" s="1"/>
  <c r="CJ55" i="34" s="1"/>
  <c r="AQ59" i="34"/>
  <c r="AR59" i="34" s="1"/>
  <c r="AQ65" i="34"/>
  <c r="AR65" i="34" s="1"/>
  <c r="AW13" i="34"/>
  <c r="T53" i="34"/>
  <c r="AR15" i="34" s="1"/>
  <c r="AW4" i="34"/>
  <c r="N70" i="34"/>
  <c r="BA32" i="34" s="1"/>
  <c r="BB32" i="34" s="1"/>
  <c r="BC32" i="34" s="1"/>
  <c r="BD32" i="34" s="1"/>
  <c r="N52" i="34"/>
  <c r="AI52" i="34" s="1"/>
  <c r="AJ52" i="34" s="1"/>
  <c r="AM14" i="34" s="1"/>
  <c r="N51" i="34"/>
  <c r="N69" i="34"/>
  <c r="AU31" i="34" s="1"/>
  <c r="T59" i="34"/>
  <c r="AR21" i="34" s="1"/>
  <c r="AQ68" i="34"/>
  <c r="AR68" i="34" s="1"/>
  <c r="T67" i="34"/>
  <c r="AR29" i="34" s="1"/>
  <c r="T56" i="34"/>
  <c r="AR18" i="34" s="1"/>
  <c r="T55" i="34"/>
  <c r="AR17" i="34" s="1"/>
  <c r="AW31" i="34"/>
  <c r="AX14" i="34"/>
  <c r="AR14" i="34"/>
  <c r="AQ66" i="34"/>
  <c r="AR66" i="34" s="1"/>
  <c r="T60" i="34"/>
  <c r="AR22" i="34" s="1"/>
  <c r="AQ63" i="34"/>
  <c r="AR63" i="34" s="1"/>
  <c r="J23" i="16"/>
  <c r="H26" i="16"/>
  <c r="N28" i="16"/>
  <c r="D24" i="16"/>
  <c r="L23" i="16"/>
  <c r="D53" i="16"/>
  <c r="N66" i="34"/>
  <c r="AI66" i="34" s="1"/>
  <c r="AJ66" i="34" s="1"/>
  <c r="AM28" i="34" s="1"/>
  <c r="N65" i="34"/>
  <c r="BA65" i="34" s="1"/>
  <c r="BB65" i="34" s="1"/>
  <c r="BC65" i="34" s="1"/>
  <c r="BD65" i="34" s="1"/>
  <c r="BL31" i="34"/>
  <c r="BX31" i="34" s="1"/>
  <c r="CJ31" i="34" s="1"/>
  <c r="CJ69" i="34" s="1"/>
  <c r="BL23" i="34"/>
  <c r="BX23" i="34" s="1"/>
  <c r="CJ23" i="34" s="1"/>
  <c r="CJ61" i="34" s="1"/>
  <c r="BL19" i="34"/>
  <c r="BX19" i="34" s="1"/>
  <c r="CJ19" i="34" s="1"/>
  <c r="CJ57" i="34" s="1"/>
  <c r="BL25" i="34"/>
  <c r="BX25" i="34" s="1"/>
  <c r="CJ25" i="34" s="1"/>
  <c r="CJ63" i="34" s="1"/>
  <c r="BL29" i="34"/>
  <c r="BX29" i="34" s="1"/>
  <c r="CJ29" i="34" s="1"/>
  <c r="CJ67" i="34" s="1"/>
  <c r="AQ51" i="34"/>
  <c r="AR51" i="34" s="1"/>
  <c r="AW32" i="34"/>
  <c r="AX21" i="34"/>
  <c r="T68" i="34"/>
  <c r="AR30" i="34" s="1"/>
  <c r="AW28" i="34"/>
  <c r="N67" i="34"/>
  <c r="AD29" i="34" s="1"/>
  <c r="AQ57" i="34"/>
  <c r="AR57" i="34" s="1"/>
  <c r="AQ70" i="34"/>
  <c r="AR70" i="34" s="1"/>
  <c r="T61" i="34"/>
  <c r="AR23" i="34" s="1"/>
  <c r="AQ53" i="34"/>
  <c r="AR53" i="34" s="1"/>
  <c r="BL21" i="34"/>
  <c r="BX21" i="34" s="1"/>
  <c r="CJ21" i="34" s="1"/>
  <c r="CJ59" i="34" s="1"/>
  <c r="T63" i="34"/>
  <c r="AR25" i="34" s="1"/>
  <c r="AQ64" i="34"/>
  <c r="AR64" i="34" s="1"/>
  <c r="AQ62" i="34"/>
  <c r="AR62" i="34" s="1"/>
  <c r="AQ56" i="34"/>
  <c r="AR56" i="34" s="1"/>
  <c r="T69" i="34"/>
  <c r="AR31" i="34" s="1"/>
  <c r="T66" i="34"/>
  <c r="AR28" i="34" s="1"/>
  <c r="AQ61" i="34"/>
  <c r="AR61" i="34" s="1"/>
  <c r="AQ58" i="34"/>
  <c r="AR58" i="34" s="1"/>
  <c r="AW29" i="34"/>
  <c r="AW27" i="34"/>
  <c r="AQ60" i="34"/>
  <c r="AR60" i="34" s="1"/>
  <c r="AW30" i="34"/>
  <c r="BN24" i="34"/>
  <c r="AQ55" i="34"/>
  <c r="AR55" i="34" s="1"/>
  <c r="O110" i="34"/>
  <c r="S104" i="34" s="1"/>
  <c r="O111" i="34"/>
  <c r="BG30" i="34"/>
  <c r="BG28" i="34"/>
  <c r="BG32" i="34"/>
  <c r="BG27" i="34"/>
  <c r="BG29" i="34"/>
  <c r="BG31" i="34"/>
  <c r="BM31" i="34"/>
  <c r="BN31" i="34"/>
  <c r="CK31" i="34"/>
  <c r="CK30" i="34"/>
  <c r="BY21" i="34"/>
  <c r="BZ21" i="34" s="1"/>
  <c r="BY23" i="34"/>
  <c r="BZ23" i="34" s="1"/>
  <c r="BY25" i="34"/>
  <c r="BZ25" i="34" s="1"/>
  <c r="BT15" i="34"/>
  <c r="BU15" i="34" s="1"/>
  <c r="BT17" i="34"/>
  <c r="BU17" i="34" s="1"/>
  <c r="BT19" i="34"/>
  <c r="BU19" i="34" s="1"/>
  <c r="BY13" i="34"/>
  <c r="BZ13" i="34" s="1"/>
  <c r="BT13" i="34"/>
  <c r="BU13" i="34" s="1"/>
  <c r="BG20" i="34"/>
  <c r="BG22" i="34"/>
  <c r="BG24" i="34"/>
  <c r="BG26" i="34"/>
  <c r="BG15" i="34"/>
  <c r="BY15" i="34"/>
  <c r="BZ15" i="34" s="1"/>
  <c r="BT16" i="34"/>
  <c r="BU16" i="34" s="1"/>
  <c r="BY18" i="34"/>
  <c r="BZ18" i="34" s="1"/>
  <c r="BG19" i="34"/>
  <c r="BY27" i="34"/>
  <c r="BZ27" i="34" s="1"/>
  <c r="BY29" i="34"/>
  <c r="BZ29" i="34" s="1"/>
  <c r="BY31" i="34"/>
  <c r="BZ31" i="34" s="1"/>
  <c r="BG18" i="34"/>
  <c r="BY19" i="34"/>
  <c r="BZ19" i="34" s="1"/>
  <c r="BT21" i="34"/>
  <c r="BU21" i="34" s="1"/>
  <c r="BT23" i="34"/>
  <c r="BU23" i="34" s="1"/>
  <c r="BT25" i="34"/>
  <c r="BU25" i="34" s="1"/>
  <c r="BY16" i="34"/>
  <c r="BZ16" i="34" s="1"/>
  <c r="BG17" i="34"/>
  <c r="BG13" i="34"/>
  <c r="BT14" i="34"/>
  <c r="BU14" i="34" s="1"/>
  <c r="BG16" i="34"/>
  <c r="BY17" i="34"/>
  <c r="BZ17" i="34" s="1"/>
  <c r="BT20" i="34"/>
  <c r="BU20" i="34" s="1"/>
  <c r="BY14" i="34"/>
  <c r="BZ14" i="34" s="1"/>
  <c r="BY20" i="34"/>
  <c r="BZ20" i="34" s="1"/>
  <c r="BT22" i="34"/>
  <c r="BU22" i="34" s="1"/>
  <c r="BT24" i="34"/>
  <c r="BU24" i="34" s="1"/>
  <c r="BT27" i="34"/>
  <c r="BU27" i="34" s="1"/>
  <c r="BT29" i="34"/>
  <c r="BU29" i="34" s="1"/>
  <c r="BT31" i="34"/>
  <c r="BU31" i="34" s="1"/>
  <c r="BT28" i="34"/>
  <c r="BU28" i="34" s="1"/>
  <c r="BY32" i="34"/>
  <c r="BZ32" i="34" s="1"/>
  <c r="BY30" i="34"/>
  <c r="BZ30" i="34" s="1"/>
  <c r="BY28" i="34"/>
  <c r="BZ28" i="34" s="1"/>
  <c r="BG14" i="34"/>
  <c r="BY22" i="34"/>
  <c r="BZ22" i="34" s="1"/>
  <c r="BT26" i="34"/>
  <c r="BU26" i="34" s="1"/>
  <c r="BT18" i="34"/>
  <c r="BU18" i="34" s="1"/>
  <c r="BG53" i="34"/>
  <c r="CK51" i="34"/>
  <c r="CL51" i="34" s="1"/>
  <c r="BG52" i="34"/>
  <c r="BG25" i="34"/>
  <c r="BG23" i="34"/>
  <c r="BY26" i="34"/>
  <c r="BZ26" i="34" s="1"/>
  <c r="BT30" i="34"/>
  <c r="BU30" i="34" s="1"/>
  <c r="CK53" i="34"/>
  <c r="CL53" i="34" s="1"/>
  <c r="BG54" i="34"/>
  <c r="CK52" i="34"/>
  <c r="CL52" i="34" s="1"/>
  <c r="BT32" i="34"/>
  <c r="BU32" i="34" s="1"/>
  <c r="BG57" i="34"/>
  <c r="CK58" i="34"/>
  <c r="CL58" i="34" s="1"/>
  <c r="BG61" i="34"/>
  <c r="CK62" i="34"/>
  <c r="CL62" i="34" s="1"/>
  <c r="BG65" i="34"/>
  <c r="CK66" i="34"/>
  <c r="CL66" i="34" s="1"/>
  <c r="BG69" i="34"/>
  <c r="CK70" i="34"/>
  <c r="CL70" i="34" s="1"/>
  <c r="BY24" i="34"/>
  <c r="BZ24" i="34" s="1"/>
  <c r="CK55" i="34"/>
  <c r="CL55" i="34" s="1"/>
  <c r="BG56" i="34"/>
  <c r="CK59" i="34"/>
  <c r="CL59" i="34" s="1"/>
  <c r="BG60" i="34"/>
  <c r="CK63" i="34"/>
  <c r="CL63" i="34" s="1"/>
  <c r="BG64" i="34"/>
  <c r="CK67" i="34"/>
  <c r="CL67" i="34" s="1"/>
  <c r="BG51" i="34"/>
  <c r="CK54" i="34"/>
  <c r="CL54" i="34" s="1"/>
  <c r="BG55" i="34"/>
  <c r="CK56" i="34"/>
  <c r="CL56" i="34" s="1"/>
  <c r="BG59" i="34"/>
  <c r="CK60" i="34"/>
  <c r="CL60" i="34" s="1"/>
  <c r="BG63" i="34"/>
  <c r="CK64" i="34"/>
  <c r="CL64" i="34" s="1"/>
  <c r="BG67" i="34"/>
  <c r="CK68" i="34"/>
  <c r="CL68" i="34" s="1"/>
  <c r="CK65" i="34"/>
  <c r="CL65" i="34" s="1"/>
  <c r="CK57" i="34"/>
  <c r="CL57" i="34" s="1"/>
  <c r="BG21" i="34"/>
  <c r="BG68" i="34"/>
  <c r="CK26" i="34"/>
  <c r="CK25" i="34"/>
  <c r="BG62" i="34"/>
  <c r="CK22" i="34"/>
  <c r="CK21" i="34"/>
  <c r="CK32" i="34"/>
  <c r="CK29" i="34"/>
  <c r="BG66" i="34"/>
  <c r="BG58" i="34"/>
  <c r="CK18" i="34"/>
  <c r="BG70" i="34"/>
  <c r="CK69" i="34"/>
  <c r="CL69" i="34" s="1"/>
  <c r="BM25" i="34"/>
  <c r="BN25" i="34"/>
  <c r="BM21" i="34"/>
  <c r="BN21" i="34"/>
  <c r="BM29" i="34"/>
  <c r="BN29" i="34"/>
  <c r="BM14" i="34"/>
  <c r="BN14" i="34"/>
  <c r="AP24" i="34"/>
  <c r="AP20" i="34"/>
  <c r="BM30" i="34"/>
  <c r="BN30" i="34"/>
  <c r="BM26" i="34"/>
  <c r="BN26" i="34"/>
  <c r="BM22" i="34"/>
  <c r="BN22" i="34"/>
  <c r="AQ20" i="34"/>
  <c r="BM18" i="34"/>
  <c r="BN18" i="34"/>
  <c r="CK28" i="34"/>
  <c r="BM27" i="34"/>
  <c r="BN27" i="34"/>
  <c r="CK27" i="34"/>
  <c r="CK24" i="34"/>
  <c r="BM23" i="34"/>
  <c r="BN23" i="34"/>
  <c r="CK23" i="34"/>
  <c r="CK20" i="34"/>
  <c r="BN19" i="34"/>
  <c r="BM19" i="34"/>
  <c r="CK19" i="34"/>
  <c r="BJ52" i="34"/>
  <c r="DB14" i="34" s="1"/>
  <c r="AP26" i="34"/>
  <c r="AP16" i="34"/>
  <c r="BM32" i="34"/>
  <c r="BN32" i="34"/>
  <c r="BM28" i="34"/>
  <c r="BN28" i="34"/>
  <c r="AQ26" i="34"/>
  <c r="BM24" i="34"/>
  <c r="BM20" i="34"/>
  <c r="BN20" i="34"/>
  <c r="AQ16" i="34"/>
  <c r="BN17" i="34"/>
  <c r="BM17" i="34"/>
  <c r="BM16" i="34"/>
  <c r="BN16" i="34"/>
  <c r="CK17" i="34"/>
  <c r="CK14" i="34"/>
  <c r="BM13" i="34"/>
  <c r="BN13" i="34"/>
  <c r="CK13" i="34"/>
  <c r="CK16" i="34"/>
  <c r="BM15" i="34"/>
  <c r="BN15" i="34"/>
  <c r="CK15" i="34"/>
  <c r="AX20" i="34"/>
  <c r="AR3" i="34"/>
  <c r="AC3" i="34"/>
  <c r="BD3" i="34" s="1"/>
  <c r="BP3" i="34" s="1"/>
  <c r="CB3" i="34" s="1"/>
  <c r="CN3" i="34" s="1"/>
  <c r="D45" i="16"/>
  <c r="L35" i="16"/>
  <c r="D29" i="16"/>
  <c r="N44" i="16"/>
  <c r="J39" i="16"/>
  <c r="F30" i="16"/>
  <c r="H23" i="16"/>
  <c r="F53" i="16"/>
  <c r="N51" i="16"/>
  <c r="J50" i="16"/>
  <c r="F49" i="16"/>
  <c r="N47" i="16"/>
  <c r="J46" i="16"/>
  <c r="F45" i="16"/>
  <c r="N43" i="16"/>
  <c r="J42" i="16"/>
  <c r="F41" i="16"/>
  <c r="N39" i="16"/>
  <c r="J38" i="16"/>
  <c r="F37" i="16"/>
  <c r="N35" i="16"/>
  <c r="J34" i="16"/>
  <c r="F33" i="16"/>
  <c r="N31" i="16"/>
  <c r="J30" i="16"/>
  <c r="F29" i="16"/>
  <c r="N27" i="16"/>
  <c r="J26" i="16"/>
  <c r="F25" i="16"/>
  <c r="H50" i="16"/>
  <c r="D41" i="16"/>
  <c r="H34" i="16"/>
  <c r="L27" i="16"/>
  <c r="F46" i="16"/>
  <c r="N36" i="16"/>
  <c r="N24" i="16"/>
  <c r="N23" i="16"/>
  <c r="L52" i="16"/>
  <c r="H51" i="16"/>
  <c r="D50" i="16"/>
  <c r="L48" i="16"/>
  <c r="H47" i="16"/>
  <c r="D46" i="16"/>
  <c r="L44" i="16"/>
  <c r="H43" i="16"/>
  <c r="D42" i="16"/>
  <c r="L40" i="16"/>
  <c r="H39" i="16"/>
  <c r="D38" i="16"/>
  <c r="L36" i="16"/>
  <c r="H35" i="16"/>
  <c r="D34" i="16"/>
  <c r="L32" i="16"/>
  <c r="H31" i="16"/>
  <c r="D30" i="16"/>
  <c r="L28" i="16"/>
  <c r="H27" i="16"/>
  <c r="D26" i="16"/>
  <c r="L24" i="16"/>
  <c r="L47" i="16"/>
  <c r="H42" i="16"/>
  <c r="L31" i="16"/>
  <c r="S12" i="16"/>
  <c r="N48" i="16"/>
  <c r="J43" i="16"/>
  <c r="J35" i="16"/>
  <c r="J31" i="16"/>
  <c r="J27" i="16"/>
  <c r="N53" i="16"/>
  <c r="J52" i="16"/>
  <c r="F51" i="16"/>
  <c r="N49" i="16"/>
  <c r="J48" i="16"/>
  <c r="F47" i="16"/>
  <c r="N45" i="16"/>
  <c r="J44" i="16"/>
  <c r="F43" i="16"/>
  <c r="N41" i="16"/>
  <c r="J40" i="16"/>
  <c r="F39" i="16"/>
  <c r="N37" i="16"/>
  <c r="J36" i="16"/>
  <c r="F35" i="16"/>
  <c r="N33" i="16"/>
  <c r="J32" i="16"/>
  <c r="F31" i="16"/>
  <c r="N29" i="16"/>
  <c r="J28" i="16"/>
  <c r="F27" i="16"/>
  <c r="N25" i="16"/>
  <c r="J24" i="16"/>
  <c r="H46" i="16"/>
  <c r="D37" i="16"/>
  <c r="N52" i="16"/>
  <c r="J47" i="16"/>
  <c r="N40" i="16"/>
  <c r="F34" i="16"/>
  <c r="F26" i="16"/>
  <c r="L53" i="16"/>
  <c r="H52" i="16"/>
  <c r="D51" i="16"/>
  <c r="L49" i="16"/>
  <c r="H48" i="16"/>
  <c r="D47" i="16"/>
  <c r="L45" i="16"/>
  <c r="H44" i="16"/>
  <c r="D43" i="16"/>
  <c r="L41" i="16"/>
  <c r="H40" i="16"/>
  <c r="D39" i="16"/>
  <c r="L37" i="16"/>
  <c r="H36" i="16"/>
  <c r="D35" i="16"/>
  <c r="L33" i="16"/>
  <c r="H32" i="16"/>
  <c r="D31" i="16"/>
  <c r="L29" i="16"/>
  <c r="H28" i="16"/>
  <c r="D27" i="16"/>
  <c r="L25" i="16"/>
  <c r="H24" i="16"/>
  <c r="L51" i="16"/>
  <c r="L43" i="16"/>
  <c r="H38" i="16"/>
  <c r="H30" i="16"/>
  <c r="D25" i="16"/>
  <c r="J51" i="16"/>
  <c r="F42" i="16"/>
  <c r="N32" i="16"/>
  <c r="D23" i="16"/>
  <c r="J53" i="16"/>
  <c r="F52" i="16"/>
  <c r="N50" i="16"/>
  <c r="J49" i="16"/>
  <c r="F48" i="16"/>
  <c r="N46" i="16"/>
  <c r="J45" i="16"/>
  <c r="F44" i="16"/>
  <c r="N42" i="16"/>
  <c r="J41" i="16"/>
  <c r="F40" i="16"/>
  <c r="N38" i="16"/>
  <c r="J37" i="16"/>
  <c r="F36" i="16"/>
  <c r="N34" i="16"/>
  <c r="J33" i="16"/>
  <c r="F32" i="16"/>
  <c r="N30" i="16"/>
  <c r="J29" i="16"/>
  <c r="F28" i="16"/>
  <c r="N26" i="16"/>
  <c r="J25" i="16"/>
  <c r="F24" i="16"/>
  <c r="D49" i="16"/>
  <c r="L39" i="16"/>
  <c r="D33" i="16"/>
  <c r="F50" i="16"/>
  <c r="F38" i="16"/>
  <c r="F23" i="16"/>
  <c r="H53" i="16"/>
  <c r="D52" i="16"/>
  <c r="L50" i="16"/>
  <c r="H49" i="16"/>
  <c r="D48" i="16"/>
  <c r="L46" i="16"/>
  <c r="H45" i="16"/>
  <c r="D44" i="16"/>
  <c r="L42" i="16"/>
  <c r="H41" i="16"/>
  <c r="D40" i="16"/>
  <c r="L38" i="16"/>
  <c r="H37" i="16"/>
  <c r="D36" i="16"/>
  <c r="L34" i="16"/>
  <c r="H33" i="16"/>
  <c r="D32" i="16"/>
  <c r="L30" i="16"/>
  <c r="H29" i="16"/>
  <c r="D28" i="16"/>
  <c r="L26" i="16"/>
  <c r="H25" i="16"/>
  <c r="H1" i="26"/>
  <c r="AX45" i="9"/>
  <c r="BA45" i="9" s="1"/>
  <c r="BA43" i="9"/>
  <c r="AQ24" i="34" l="1"/>
  <c r="CL13" i="34"/>
  <c r="CM13" i="34" s="1"/>
  <c r="AG51" i="34"/>
  <c r="AH51" i="34" s="1"/>
  <c r="AL13" i="34" s="1"/>
  <c r="AD13" i="34"/>
  <c r="CM74" i="34"/>
  <c r="CA35" i="34"/>
  <c r="CM73" i="34"/>
  <c r="CA34" i="34"/>
  <c r="CA36" i="34"/>
  <c r="CA33" i="34"/>
  <c r="CM35" i="34"/>
  <c r="CN35" i="34"/>
  <c r="CM34" i="34"/>
  <c r="CN34" i="34"/>
  <c r="BH35" i="34"/>
  <c r="BK35" i="34"/>
  <c r="BK72" i="34"/>
  <c r="BH72" i="34"/>
  <c r="BK73" i="34"/>
  <c r="BH73" i="34"/>
  <c r="BK34" i="34"/>
  <c r="BH34" i="34"/>
  <c r="BH71" i="34"/>
  <c r="BK71" i="34"/>
  <c r="BK33" i="34"/>
  <c r="BH33" i="34"/>
  <c r="CM71" i="34"/>
  <c r="CM36" i="34"/>
  <c r="CN36" i="34"/>
  <c r="BK36" i="34"/>
  <c r="BH36" i="34"/>
  <c r="CN33" i="34"/>
  <c r="CM33" i="34"/>
  <c r="BH74" i="34"/>
  <c r="BK74" i="34"/>
  <c r="CM72" i="34"/>
  <c r="AB62" i="16"/>
  <c r="R62" i="16" s="1"/>
  <c r="T62" i="16" s="1"/>
  <c r="AB59" i="16"/>
  <c r="AB39" i="16"/>
  <c r="P55" i="16"/>
  <c r="AB56" i="16"/>
  <c r="R56" i="16" s="1"/>
  <c r="T56" i="16" s="1"/>
  <c r="AB24" i="16"/>
  <c r="AB41" i="16"/>
  <c r="AB54" i="16"/>
  <c r="R54" i="16" s="1"/>
  <c r="T54" i="16" s="1"/>
  <c r="AB57" i="16"/>
  <c r="R57" i="16" s="1"/>
  <c r="T57" i="16" s="1"/>
  <c r="AB32" i="16"/>
  <c r="AB26" i="16"/>
  <c r="AB50" i="16"/>
  <c r="P60" i="16"/>
  <c r="AB44" i="16"/>
  <c r="AB38" i="16"/>
  <c r="AB34" i="16"/>
  <c r="AB43" i="16"/>
  <c r="P59" i="16"/>
  <c r="AB27" i="16"/>
  <c r="AB28" i="16"/>
  <c r="AB29" i="16"/>
  <c r="AB46" i="16"/>
  <c r="AB42" i="16"/>
  <c r="AB51" i="16"/>
  <c r="AB30" i="16"/>
  <c r="AB31" i="16"/>
  <c r="AB33" i="16"/>
  <c r="AB58" i="16"/>
  <c r="AB35" i="16"/>
  <c r="AB49" i="16"/>
  <c r="AB47" i="16"/>
  <c r="P25" i="16"/>
  <c r="AB25" i="16"/>
  <c r="AB60" i="16"/>
  <c r="R60" i="16" s="1"/>
  <c r="T60" i="16" s="1"/>
  <c r="AB36" i="16"/>
  <c r="AB37" i="16"/>
  <c r="AB40" i="16"/>
  <c r="AB52" i="16"/>
  <c r="AB53" i="16"/>
  <c r="R53" i="16" s="1"/>
  <c r="T53" i="16" s="1"/>
  <c r="AB61" i="16"/>
  <c r="AB45" i="16"/>
  <c r="P56" i="16"/>
  <c r="AB55" i="16"/>
  <c r="R55" i="16" s="1"/>
  <c r="T55" i="16" s="1"/>
  <c r="AQ21" i="34"/>
  <c r="AQ19" i="34"/>
  <c r="AP19" i="34"/>
  <c r="AP27" i="34"/>
  <c r="AP28" i="34"/>
  <c r="AQ22" i="34"/>
  <c r="AQ27" i="34"/>
  <c r="BO13" i="34"/>
  <c r="BP13" i="34" s="1"/>
  <c r="BT51" i="34" s="1"/>
  <c r="CP13" i="34" s="1"/>
  <c r="BS51" i="34"/>
  <c r="BS52" i="34"/>
  <c r="CB14" i="34" s="1"/>
  <c r="CC14" i="34" s="1"/>
  <c r="BO14" i="34"/>
  <c r="BP14" i="34" s="1"/>
  <c r="BT52" i="34" s="1"/>
  <c r="CP14" i="34" s="1"/>
  <c r="CL14" i="34"/>
  <c r="P62" i="16"/>
  <c r="P61" i="16"/>
  <c r="R61" i="16"/>
  <c r="T61" i="16" s="1"/>
  <c r="R59" i="16"/>
  <c r="T59" i="16" s="1"/>
  <c r="P54" i="16"/>
  <c r="R58" i="16"/>
  <c r="T58" i="16" s="1"/>
  <c r="P58" i="16"/>
  <c r="AQ17" i="34"/>
  <c r="AP22" i="34"/>
  <c r="AP15" i="34"/>
  <c r="AP32" i="34"/>
  <c r="BS68" i="34"/>
  <c r="CB30" i="34" s="1"/>
  <c r="CC30" i="34" s="1"/>
  <c r="AE32" i="34"/>
  <c r="AQ15" i="34"/>
  <c r="AP23" i="34"/>
  <c r="AQ30" i="34"/>
  <c r="AQ23" i="34"/>
  <c r="AP21" i="34"/>
  <c r="Z118" i="34"/>
  <c r="AP29" i="34"/>
  <c r="AP30" i="34"/>
  <c r="AQ31" i="34"/>
  <c r="BK32" i="34"/>
  <c r="AQ18" i="34"/>
  <c r="AQ32" i="34"/>
  <c r="AP18" i="34"/>
  <c r="AV30" i="34"/>
  <c r="AU30" i="34"/>
  <c r="BA68" i="34"/>
  <c r="BB68" i="34" s="1"/>
  <c r="BC68" i="34" s="1"/>
  <c r="BD68" i="34" s="1"/>
  <c r="BK68" i="34" s="1"/>
  <c r="BA30" i="34"/>
  <c r="BB30" i="34" s="1"/>
  <c r="BC30" i="34" s="1"/>
  <c r="BD30" i="34" s="1"/>
  <c r="BH30" i="34" s="1"/>
  <c r="AO30" i="34"/>
  <c r="AD30" i="34"/>
  <c r="BS65" i="34"/>
  <c r="CB27" i="34" s="1"/>
  <c r="CC27" i="34" s="1"/>
  <c r="BA27" i="34"/>
  <c r="BB27" i="34" s="1"/>
  <c r="BC27" i="34" s="1"/>
  <c r="BD27" i="34" s="1"/>
  <c r="BH27" i="34" s="1"/>
  <c r="AD27" i="34"/>
  <c r="AF27" i="34" s="1"/>
  <c r="AG65" i="34"/>
  <c r="AH65" i="34" s="1"/>
  <c r="AL27" i="34" s="1"/>
  <c r="AS65" i="34"/>
  <c r="AE27" i="34"/>
  <c r="Z27" i="34" s="1"/>
  <c r="AO29" i="34"/>
  <c r="Z112" i="34"/>
  <c r="AU28" i="34"/>
  <c r="BA67" i="34"/>
  <c r="BB67" i="34" s="1"/>
  <c r="BC67" i="34" s="1"/>
  <c r="BD67" i="34" s="1"/>
  <c r="BH67" i="34" s="1"/>
  <c r="AD28" i="34"/>
  <c r="AE30" i="34"/>
  <c r="AI68" i="34"/>
  <c r="AJ68" i="34" s="1"/>
  <c r="AM30" i="34" s="1"/>
  <c r="BA70" i="34"/>
  <c r="BB70" i="34" s="1"/>
  <c r="BC70" i="34" s="1"/>
  <c r="BD70" i="34" s="1"/>
  <c r="BH70" i="34" s="1"/>
  <c r="BO32" i="34"/>
  <c r="BP32" i="34" s="1"/>
  <c r="BT70" i="34" s="1"/>
  <c r="CP32" i="34" s="1"/>
  <c r="AE28" i="34"/>
  <c r="Z114" i="34"/>
  <c r="AO28" i="34"/>
  <c r="AD32" i="34"/>
  <c r="Y108" i="34" s="1"/>
  <c r="BS70" i="34"/>
  <c r="CB32" i="34" s="1"/>
  <c r="CC32" i="34" s="1"/>
  <c r="AO32" i="34"/>
  <c r="AV28" i="34"/>
  <c r="AV32" i="34"/>
  <c r="BA28" i="34"/>
  <c r="BB28" i="34" s="1"/>
  <c r="BC28" i="34" s="1"/>
  <c r="BD28" i="34" s="1"/>
  <c r="BH28" i="34" s="1"/>
  <c r="AU32" i="34"/>
  <c r="AE29" i="34"/>
  <c r="AI70" i="34"/>
  <c r="AJ70" i="34" s="1"/>
  <c r="AM32" i="34" s="1"/>
  <c r="AS70" i="34"/>
  <c r="AV27" i="34"/>
  <c r="AU27" i="34"/>
  <c r="AO27" i="34"/>
  <c r="BA66" i="34"/>
  <c r="BB66" i="34" s="1"/>
  <c r="BC66" i="34" s="1"/>
  <c r="BD66" i="34" s="1"/>
  <c r="BK66" i="34" s="1"/>
  <c r="AS68" i="34"/>
  <c r="AG70" i="34"/>
  <c r="AH70" i="34" s="1"/>
  <c r="AL32" i="34" s="1"/>
  <c r="BS59" i="34"/>
  <c r="Y115" i="34"/>
  <c r="AI51" i="34"/>
  <c r="AJ51" i="34" s="1"/>
  <c r="AM13" i="34" s="1"/>
  <c r="Y109" i="34"/>
  <c r="Z120" i="34"/>
  <c r="AV14" i="34"/>
  <c r="AG67" i="34"/>
  <c r="AH67" i="34" s="1"/>
  <c r="AL29" i="34" s="1"/>
  <c r="AV29" i="34"/>
  <c r="BA29" i="34"/>
  <c r="BB29" i="34" s="1"/>
  <c r="BC29" i="34" s="1"/>
  <c r="BD29" i="34" s="1"/>
  <c r="BK29" i="34" s="1"/>
  <c r="AU29" i="34"/>
  <c r="AS67" i="34"/>
  <c r="AS51" i="34"/>
  <c r="AE13" i="34"/>
  <c r="AO13" i="34"/>
  <c r="BA51" i="34"/>
  <c r="BB51" i="34" s="1"/>
  <c r="BC51" i="34" s="1"/>
  <c r="BD51" i="34" s="1"/>
  <c r="BK51" i="34" s="1"/>
  <c r="AV13" i="34"/>
  <c r="AU13" i="34"/>
  <c r="BA13" i="34"/>
  <c r="BB13" i="34" s="1"/>
  <c r="BC13" i="34" s="1"/>
  <c r="BD13" i="34" s="1"/>
  <c r="BK13" i="34" s="1"/>
  <c r="BA52" i="34"/>
  <c r="BB52" i="34" s="1"/>
  <c r="BC52" i="34" s="1"/>
  <c r="BD52" i="34" s="1"/>
  <c r="BK52" i="34" s="1"/>
  <c r="AG52" i="34"/>
  <c r="AH52" i="34" s="1"/>
  <c r="AL14" i="34" s="1"/>
  <c r="AE14" i="34"/>
  <c r="AG14" i="34" s="1"/>
  <c r="BA14" i="34"/>
  <c r="BB14" i="34" s="1"/>
  <c r="BC14" i="34" s="1"/>
  <c r="BD14" i="34" s="1"/>
  <c r="BK14" i="34" s="1"/>
  <c r="AS52" i="34"/>
  <c r="AO14" i="34"/>
  <c r="AU14" i="34"/>
  <c r="AD14" i="34"/>
  <c r="Y111" i="34"/>
  <c r="AI69" i="34"/>
  <c r="AJ69" i="34" s="1"/>
  <c r="AM31" i="34" s="1"/>
  <c r="AG69" i="34"/>
  <c r="AH69" i="34" s="1"/>
  <c r="AL31" i="34" s="1"/>
  <c r="BA69" i="34"/>
  <c r="BB69" i="34" s="1"/>
  <c r="BC69" i="34" s="1"/>
  <c r="BD69" i="34" s="1"/>
  <c r="BK69" i="34" s="1"/>
  <c r="AV31" i="34"/>
  <c r="AY31" i="34" s="1"/>
  <c r="AO31" i="34"/>
  <c r="AE31" i="34"/>
  <c r="BA31" i="34"/>
  <c r="BB31" i="34" s="1"/>
  <c r="BC31" i="34" s="1"/>
  <c r="BD31" i="34" s="1"/>
  <c r="BK31" i="34" s="1"/>
  <c r="BO31" i="34"/>
  <c r="BP31" i="34" s="1"/>
  <c r="BT69" i="34" s="1"/>
  <c r="CP31" i="34" s="1"/>
  <c r="AD31" i="34"/>
  <c r="BS60" i="34"/>
  <c r="BS69" i="34"/>
  <c r="CB31" i="34" s="1"/>
  <c r="CC31" i="34" s="1"/>
  <c r="AS69" i="34"/>
  <c r="AG66" i="34"/>
  <c r="AH66" i="34" s="1"/>
  <c r="AL28" i="34" s="1"/>
  <c r="BO22" i="34"/>
  <c r="BP22" i="34" s="1"/>
  <c r="BT60" i="34" s="1"/>
  <c r="CP22" i="34" s="1"/>
  <c r="AP14" i="34"/>
  <c r="AS66" i="34"/>
  <c r="AQ29" i="34"/>
  <c r="AI67" i="34"/>
  <c r="AJ67" i="34" s="1"/>
  <c r="AM29" i="34" s="1"/>
  <c r="CL28" i="34"/>
  <c r="BH32" i="34"/>
  <c r="AQ25" i="34"/>
  <c r="AQ14" i="34"/>
  <c r="AP31" i="34"/>
  <c r="BO29" i="34"/>
  <c r="BP29" i="34" s="1"/>
  <c r="BT67" i="34" s="1"/>
  <c r="CP29" i="34" s="1"/>
  <c r="AQ13" i="34"/>
  <c r="AP17" i="34"/>
  <c r="AQ28" i="34"/>
  <c r="CL29" i="34"/>
  <c r="AP13" i="34"/>
  <c r="AI65" i="34"/>
  <c r="AJ65" i="34" s="1"/>
  <c r="AM27" i="34" s="1"/>
  <c r="AF29" i="34"/>
  <c r="BO28" i="34"/>
  <c r="BP28" i="34" s="1"/>
  <c r="BT66" i="34" s="1"/>
  <c r="CP28" i="34" s="1"/>
  <c r="CL32" i="34"/>
  <c r="BS67" i="34"/>
  <c r="CB29" i="34" s="1"/>
  <c r="CC29" i="34" s="1"/>
  <c r="BH65" i="34"/>
  <c r="AP25" i="34"/>
  <c r="BO30" i="34"/>
  <c r="BP30" i="34" s="1"/>
  <c r="BT68" i="34" s="1"/>
  <c r="CP30" i="34" s="1"/>
  <c r="CL30" i="34"/>
  <c r="CL31" i="34"/>
  <c r="Y105" i="34"/>
  <c r="BO27" i="34"/>
  <c r="BP27" i="34" s="1"/>
  <c r="BT65" i="34" s="1"/>
  <c r="CP27" i="34" s="1"/>
  <c r="BS66" i="34"/>
  <c r="CB28" i="34" s="1"/>
  <c r="CC28" i="34" s="1"/>
  <c r="CL27" i="34"/>
  <c r="CL21" i="34"/>
  <c r="CL22" i="34"/>
  <c r="BO21" i="34"/>
  <c r="BP21" i="34" s="1"/>
  <c r="BT59" i="34" s="1"/>
  <c r="CP21" i="34" s="1"/>
  <c r="BK65" i="34"/>
  <c r="H24" i="9"/>
  <c r="H22" i="9"/>
  <c r="CO33" i="34" l="1"/>
  <c r="CO36" i="34"/>
  <c r="CO34" i="34"/>
  <c r="CO35" i="34"/>
  <c r="AB27" i="34"/>
  <c r="AG28" i="34"/>
  <c r="Z28" i="34"/>
  <c r="AB28" i="34" s="1"/>
  <c r="CN27" i="34"/>
  <c r="CM27" i="34"/>
  <c r="CN32" i="34"/>
  <c r="CM32" i="34"/>
  <c r="CN28" i="34"/>
  <c r="CM28" i="34"/>
  <c r="CM29" i="34"/>
  <c r="CN29" i="34"/>
  <c r="CN31" i="34"/>
  <c r="CM31" i="34"/>
  <c r="CM30" i="34"/>
  <c r="CN30" i="34"/>
  <c r="CM16" i="34"/>
  <c r="CN16" i="34"/>
  <c r="CM19" i="34"/>
  <c r="CN19" i="34"/>
  <c r="CM14" i="34"/>
  <c r="CN14" i="34"/>
  <c r="CM15" i="34"/>
  <c r="CN15" i="34"/>
  <c r="CM20" i="34"/>
  <c r="CN20" i="34"/>
  <c r="CN13" i="34"/>
  <c r="Z106" i="34"/>
  <c r="Z30" i="34"/>
  <c r="AB30" i="34" s="1"/>
  <c r="AG31" i="34"/>
  <c r="Z31" i="34"/>
  <c r="AB31" i="34" s="1"/>
  <c r="Z108" i="34"/>
  <c r="Z32" i="34"/>
  <c r="AB32" i="34" s="1"/>
  <c r="AB67" i="34"/>
  <c r="Z29" i="34"/>
  <c r="AB29" i="34" s="1"/>
  <c r="AS30" i="34"/>
  <c r="AT30" i="34" s="1"/>
  <c r="AS27" i="34"/>
  <c r="AT27" i="34" s="1"/>
  <c r="CM52" i="34"/>
  <c r="CA13" i="34"/>
  <c r="CB13" i="34"/>
  <c r="CC13" i="34" s="1"/>
  <c r="CM51" i="34"/>
  <c r="BV13" i="34"/>
  <c r="BV14" i="34"/>
  <c r="CA14" i="34"/>
  <c r="Z19" i="34"/>
  <c r="Z23" i="34"/>
  <c r="AS32" i="34"/>
  <c r="AT32" i="34" s="1"/>
  <c r="Z68" i="34"/>
  <c r="AF30" i="34"/>
  <c r="BV32" i="34"/>
  <c r="AB68" i="34"/>
  <c r="Y106" i="34"/>
  <c r="Z24" i="34"/>
  <c r="BK30" i="34"/>
  <c r="Y103" i="34"/>
  <c r="Z113" i="34"/>
  <c r="BV22" i="34"/>
  <c r="AF32" i="34"/>
  <c r="Z70" i="34"/>
  <c r="Z15" i="34"/>
  <c r="AB70" i="34"/>
  <c r="AA70" i="34"/>
  <c r="AG32" i="34"/>
  <c r="AC70" i="34"/>
  <c r="AE70" i="34"/>
  <c r="BK70" i="34"/>
  <c r="Y112" i="34"/>
  <c r="BH68" i="34"/>
  <c r="AY28" i="34"/>
  <c r="Z116" i="34"/>
  <c r="AY30" i="34"/>
  <c r="Z107" i="34"/>
  <c r="Z117" i="34"/>
  <c r="Z14" i="34"/>
  <c r="AB14" i="34" s="1"/>
  <c r="Z26" i="34"/>
  <c r="BK27" i="34"/>
  <c r="Z119" i="34"/>
  <c r="AC65" i="34"/>
  <c r="Z110" i="34"/>
  <c r="Y118" i="34"/>
  <c r="AY27" i="34"/>
  <c r="Z103" i="34"/>
  <c r="Z104" i="34"/>
  <c r="AS29" i="34"/>
  <c r="AT29" i="34" s="1"/>
  <c r="AS28" i="34"/>
  <c r="AT28" i="34" s="1"/>
  <c r="Z66" i="34"/>
  <c r="Z115" i="34"/>
  <c r="Y119" i="34"/>
  <c r="AY32" i="34"/>
  <c r="AS31" i="34"/>
  <c r="AT31" i="34" s="1"/>
  <c r="AF28" i="34"/>
  <c r="AB66" i="34"/>
  <c r="AB65" i="34"/>
  <c r="BK67" i="34"/>
  <c r="Z111" i="34"/>
  <c r="Z109" i="34"/>
  <c r="AE66" i="34"/>
  <c r="Y104" i="34"/>
  <c r="AA66" i="34"/>
  <c r="AC66" i="34"/>
  <c r="AA67" i="34"/>
  <c r="AC68" i="34"/>
  <c r="CM70" i="34"/>
  <c r="BK28" i="34"/>
  <c r="AE68" i="34"/>
  <c r="AA68" i="34"/>
  <c r="AG30" i="34"/>
  <c r="CA32" i="34"/>
  <c r="Z65" i="34"/>
  <c r="AE65" i="34"/>
  <c r="AA65" i="34"/>
  <c r="AG27" i="34"/>
  <c r="BH66" i="34"/>
  <c r="Y117" i="34"/>
  <c r="CA31" i="34"/>
  <c r="BH31" i="34"/>
  <c r="BV31" i="34"/>
  <c r="CM69" i="34"/>
  <c r="AC67" i="34"/>
  <c r="AG29" i="34"/>
  <c r="Z105" i="34"/>
  <c r="AE67" i="34"/>
  <c r="Y114" i="34"/>
  <c r="Z67" i="34"/>
  <c r="CM25" i="34"/>
  <c r="Z16" i="34"/>
  <c r="Z51" i="34"/>
  <c r="BH52" i="34"/>
  <c r="BH69" i="34"/>
  <c r="Z69" i="34"/>
  <c r="Y89" i="34"/>
  <c r="AB51" i="34"/>
  <c r="AE69" i="34"/>
  <c r="AA69" i="34"/>
  <c r="CA22" i="34"/>
  <c r="Y116" i="34"/>
  <c r="AC69" i="34"/>
  <c r="AG13" i="34"/>
  <c r="CM59" i="34"/>
  <c r="CM67" i="34"/>
  <c r="AY13" i="34"/>
  <c r="AY29" i="34"/>
  <c r="AS14" i="34"/>
  <c r="AT14" i="34" s="1"/>
  <c r="Z90" i="34"/>
  <c r="AY14" i="34"/>
  <c r="AA51" i="34"/>
  <c r="AA52" i="34"/>
  <c r="AE51" i="34"/>
  <c r="AC51" i="34"/>
  <c r="AF13" i="34"/>
  <c r="Z89" i="34"/>
  <c r="AB69" i="34"/>
  <c r="BV30" i="34"/>
  <c r="CA30" i="34"/>
  <c r="BV29" i="34"/>
  <c r="BH29" i="34"/>
  <c r="Z13" i="34"/>
  <c r="AB13" i="34" s="1"/>
  <c r="BH51" i="34"/>
  <c r="BH13" i="34"/>
  <c r="Y90" i="34"/>
  <c r="AE52" i="34"/>
  <c r="AF14" i="34"/>
  <c r="BH14" i="34"/>
  <c r="AB52" i="34"/>
  <c r="AC52" i="34"/>
  <c r="Z52" i="34"/>
  <c r="CN23" i="34"/>
  <c r="CM68" i="34"/>
  <c r="Y113" i="34"/>
  <c r="CN26" i="34"/>
  <c r="CM66" i="34"/>
  <c r="Y107" i="34"/>
  <c r="AF31" i="34"/>
  <c r="AS13" i="34"/>
  <c r="AT13" i="34" s="1"/>
  <c r="Y120" i="34"/>
  <c r="CA29" i="34"/>
  <c r="Y110" i="34"/>
  <c r="CA28" i="34"/>
  <c r="BV28" i="34"/>
  <c r="BV27" i="34"/>
  <c r="CM65" i="34"/>
  <c r="CM21" i="34"/>
  <c r="CN21" i="34"/>
  <c r="CN24" i="34"/>
  <c r="CM24" i="34"/>
  <c r="CN22" i="34"/>
  <c r="CM22" i="34"/>
  <c r="BV21" i="34"/>
  <c r="CM60" i="34"/>
  <c r="CA27" i="34"/>
  <c r="CA21" i="34"/>
  <c r="Q3" i="32"/>
  <c r="Q2" i="32"/>
  <c r="Q1" i="32"/>
  <c r="A1" i="32"/>
  <c r="Q3" i="31"/>
  <c r="Q2" i="31"/>
  <c r="Q1" i="31"/>
  <c r="A1" i="31"/>
  <c r="AD51" i="34" l="1"/>
  <c r="AK13" i="34" s="1"/>
  <c r="CO32" i="34"/>
  <c r="CO28" i="34"/>
  <c r="CO27" i="34"/>
  <c r="CO31" i="34"/>
  <c r="CO30" i="34"/>
  <c r="CO29" i="34"/>
  <c r="CO16" i="34"/>
  <c r="CO13" i="34"/>
  <c r="CO14" i="34"/>
  <c r="CO15" i="34"/>
  <c r="CO20" i="34"/>
  <c r="CO19" i="34"/>
  <c r="AD70" i="34"/>
  <c r="AK32" i="34" s="1"/>
  <c r="AD66" i="34"/>
  <c r="AK28" i="34" s="1"/>
  <c r="AD67" i="34"/>
  <c r="AK29" i="34" s="1"/>
  <c r="AD65" i="34"/>
  <c r="AK27" i="34" s="1"/>
  <c r="AD68" i="34"/>
  <c r="AK30" i="34" s="1"/>
  <c r="AD69" i="34"/>
  <c r="AK31" i="34" s="1"/>
  <c r="AD52" i="34"/>
  <c r="AK14" i="34" s="1"/>
  <c r="CO24" i="34"/>
  <c r="CO22" i="34"/>
  <c r="CO21" i="34"/>
  <c r="AI14" i="14" l="1"/>
  <c r="AJ14" i="14"/>
  <c r="AK14" i="14"/>
  <c r="AI15" i="14"/>
  <c r="AJ15" i="14"/>
  <c r="AK15" i="14"/>
  <c r="AI16" i="14"/>
  <c r="AJ16" i="14"/>
  <c r="AK16" i="14"/>
  <c r="AI17" i="14"/>
  <c r="AJ17" i="14"/>
  <c r="AK17" i="14"/>
  <c r="AI18" i="14"/>
  <c r="AJ18" i="14"/>
  <c r="AK18" i="14"/>
  <c r="AI19" i="14"/>
  <c r="AJ19" i="14"/>
  <c r="AK19" i="14"/>
  <c r="AI20" i="14"/>
  <c r="AJ20" i="14"/>
  <c r="AK20" i="14"/>
  <c r="AI21" i="14"/>
  <c r="AJ21" i="14"/>
  <c r="AK21" i="14"/>
  <c r="AI22" i="14"/>
  <c r="AJ22" i="14"/>
  <c r="AK22" i="14"/>
  <c r="AI23" i="14"/>
  <c r="AJ23" i="14"/>
  <c r="AK23" i="14"/>
  <c r="AI24" i="14"/>
  <c r="AJ24" i="14"/>
  <c r="AK24" i="14"/>
  <c r="AI25" i="14"/>
  <c r="AJ25" i="14"/>
  <c r="AK25" i="14"/>
  <c r="AI26" i="14"/>
  <c r="AJ26" i="14"/>
  <c r="AK26" i="14"/>
  <c r="AI27" i="14"/>
  <c r="AJ27" i="14"/>
  <c r="AK27" i="14"/>
  <c r="AI28" i="14"/>
  <c r="AJ28" i="14"/>
  <c r="AK28" i="14"/>
  <c r="AI29" i="14"/>
  <c r="AJ29" i="14"/>
  <c r="AK29" i="14"/>
  <c r="AI30" i="14"/>
  <c r="AJ30" i="14"/>
  <c r="AK30" i="14"/>
  <c r="AI31" i="14"/>
  <c r="AJ31" i="14"/>
  <c r="AK31" i="14"/>
  <c r="AI32" i="14"/>
  <c r="AJ32" i="14"/>
  <c r="AK32" i="14"/>
  <c r="AI33" i="14"/>
  <c r="AJ33" i="14"/>
  <c r="AK33" i="14"/>
  <c r="AI34" i="14"/>
  <c r="AJ34" i="14"/>
  <c r="AK34" i="14"/>
  <c r="AI35" i="14"/>
  <c r="AJ35" i="14"/>
  <c r="AK35" i="14"/>
  <c r="AI36" i="14"/>
  <c r="AJ36" i="14"/>
  <c r="AK36" i="14"/>
  <c r="AI37" i="14"/>
  <c r="AJ37" i="14"/>
  <c r="AK37" i="14"/>
  <c r="AI38" i="14"/>
  <c r="AJ38" i="14"/>
  <c r="AK38" i="14"/>
  <c r="AI39" i="14"/>
  <c r="AJ39" i="14"/>
  <c r="AK39" i="14"/>
  <c r="AI40" i="14"/>
  <c r="AJ40" i="14"/>
  <c r="AK40" i="14"/>
  <c r="AI41" i="14"/>
  <c r="AJ41" i="14"/>
  <c r="AK41" i="14"/>
  <c r="AI42" i="14"/>
  <c r="AJ42" i="14"/>
  <c r="AK42" i="14"/>
  <c r="AI43" i="14"/>
  <c r="AJ43" i="14"/>
  <c r="AK43" i="14"/>
  <c r="AI44" i="14"/>
  <c r="AJ44" i="14"/>
  <c r="AK44" i="14"/>
  <c r="AI45" i="14"/>
  <c r="AJ45" i="14"/>
  <c r="AK45" i="14"/>
  <c r="AI46" i="14"/>
  <c r="AJ46" i="14"/>
  <c r="AK46" i="14"/>
  <c r="AI47" i="14"/>
  <c r="AJ47" i="14"/>
  <c r="AK47" i="14"/>
  <c r="AI48" i="14"/>
  <c r="AJ48" i="14"/>
  <c r="AK48" i="14"/>
  <c r="AI49" i="14"/>
  <c r="AJ49" i="14"/>
  <c r="AK49" i="14"/>
  <c r="AI50" i="14"/>
  <c r="AJ50" i="14"/>
  <c r="AK50" i="14"/>
  <c r="AI51" i="14"/>
  <c r="AJ51" i="14"/>
  <c r="AK51" i="14"/>
  <c r="AI52" i="14"/>
  <c r="AJ52" i="14"/>
  <c r="AK52" i="14"/>
  <c r="AI53" i="14"/>
  <c r="AJ53" i="14"/>
  <c r="AK53" i="14"/>
  <c r="AI54" i="14"/>
  <c r="AJ54" i="14"/>
  <c r="AK54" i="14"/>
  <c r="AI55" i="14"/>
  <c r="AJ55" i="14"/>
  <c r="AK55" i="14"/>
  <c r="AI56" i="14"/>
  <c r="AJ56" i="14"/>
  <c r="AK56" i="14"/>
  <c r="AI57" i="14"/>
  <c r="AJ57" i="14"/>
  <c r="AK57" i="14"/>
  <c r="AI58" i="14"/>
  <c r="AJ58" i="14"/>
  <c r="AK58" i="14"/>
  <c r="AI59" i="14"/>
  <c r="AJ59" i="14"/>
  <c r="AK59" i="14"/>
  <c r="AI60" i="14"/>
  <c r="AJ60" i="14"/>
  <c r="AK60" i="14"/>
  <c r="AK13" i="14"/>
  <c r="Q132" i="14" l="1"/>
  <c r="Q133" i="14"/>
  <c r="Q134" i="14"/>
  <c r="Q135" i="14"/>
  <c r="Q136" i="14"/>
  <c r="Q137" i="14"/>
  <c r="Q138" i="14"/>
  <c r="Q139" i="14"/>
  <c r="Q140" i="14"/>
  <c r="Q141" i="14"/>
  <c r="Q142" i="14"/>
  <c r="Q143" i="14"/>
  <c r="Q144" i="14"/>
  <c r="Q145" i="14"/>
  <c r="Q146" i="14"/>
  <c r="Q147" i="14"/>
  <c r="Q148" i="14"/>
  <c r="Q149" i="14"/>
  <c r="Q150" i="14"/>
  <c r="O132" i="14"/>
  <c r="O133" i="14"/>
  <c r="O134" i="14"/>
  <c r="O135" i="14"/>
  <c r="O136" i="14"/>
  <c r="O137" i="14"/>
  <c r="O138" i="14"/>
  <c r="O139" i="14"/>
  <c r="O140" i="14"/>
  <c r="O141" i="14"/>
  <c r="O142" i="14"/>
  <c r="O143" i="14"/>
  <c r="O144" i="14"/>
  <c r="O145" i="14"/>
  <c r="O146" i="14"/>
  <c r="O147" i="14"/>
  <c r="O148" i="14"/>
  <c r="O149" i="14"/>
  <c r="O150" i="14"/>
  <c r="L132" i="14"/>
  <c r="L133" i="14"/>
  <c r="L134" i="14"/>
  <c r="L135" i="14"/>
  <c r="L136" i="14"/>
  <c r="L137" i="14"/>
  <c r="L138" i="14"/>
  <c r="L139" i="14"/>
  <c r="L140" i="14"/>
  <c r="L141" i="14"/>
  <c r="L142" i="14"/>
  <c r="L143" i="14"/>
  <c r="L144" i="14"/>
  <c r="L145" i="14"/>
  <c r="L146" i="14"/>
  <c r="L147" i="14"/>
  <c r="L148" i="14"/>
  <c r="L149" i="14"/>
  <c r="L150" i="14"/>
  <c r="I132" i="14"/>
  <c r="I133" i="14"/>
  <c r="I134" i="14"/>
  <c r="I135" i="14"/>
  <c r="I136" i="14"/>
  <c r="I137" i="14"/>
  <c r="I138" i="14"/>
  <c r="I139" i="14"/>
  <c r="I140" i="14"/>
  <c r="I141" i="14"/>
  <c r="I142" i="14"/>
  <c r="I143" i="14"/>
  <c r="I144" i="14"/>
  <c r="I145" i="14"/>
  <c r="I146" i="14"/>
  <c r="I147" i="14"/>
  <c r="I148" i="14"/>
  <c r="I149" i="14"/>
  <c r="I150" i="14"/>
  <c r="G132" i="14"/>
  <c r="G133" i="14"/>
  <c r="G134" i="14"/>
  <c r="G135" i="14"/>
  <c r="G136" i="14"/>
  <c r="G137" i="14"/>
  <c r="G138" i="14"/>
  <c r="G139" i="14"/>
  <c r="G140" i="14"/>
  <c r="G141" i="14"/>
  <c r="G142" i="14"/>
  <c r="G143" i="14"/>
  <c r="G144" i="14"/>
  <c r="G145" i="14"/>
  <c r="G146" i="14"/>
  <c r="G147" i="14"/>
  <c r="G148" i="14"/>
  <c r="G149" i="14"/>
  <c r="G150" i="14"/>
  <c r="E132" i="14"/>
  <c r="E133" i="14"/>
  <c r="E134" i="14"/>
  <c r="E135" i="14"/>
  <c r="E136" i="14"/>
  <c r="E137" i="14"/>
  <c r="E138" i="14"/>
  <c r="E139" i="14"/>
  <c r="E140" i="14"/>
  <c r="E141" i="14"/>
  <c r="E142" i="14"/>
  <c r="E143" i="14"/>
  <c r="E144" i="14"/>
  <c r="E145" i="14"/>
  <c r="E146" i="14"/>
  <c r="E147" i="14"/>
  <c r="E148" i="14"/>
  <c r="E149" i="14"/>
  <c r="E150" i="14"/>
  <c r="D132" i="14"/>
  <c r="D133" i="14"/>
  <c r="D134" i="14"/>
  <c r="D135" i="14"/>
  <c r="D136" i="14"/>
  <c r="D137" i="14"/>
  <c r="D138" i="14"/>
  <c r="D139" i="14"/>
  <c r="D140" i="14"/>
  <c r="D141" i="14"/>
  <c r="D142" i="14"/>
  <c r="D143" i="14"/>
  <c r="D144" i="14"/>
  <c r="D145" i="14"/>
  <c r="D146" i="14"/>
  <c r="D147" i="14"/>
  <c r="D148" i="14"/>
  <c r="D149" i="14"/>
  <c r="D150" i="14"/>
  <c r="Q131" i="14"/>
  <c r="O131" i="14"/>
  <c r="L131" i="14"/>
  <c r="I131" i="14"/>
  <c r="G131" i="14"/>
  <c r="E131" i="14"/>
  <c r="D131" i="14"/>
  <c r="B132" i="14"/>
  <c r="B133" i="14"/>
  <c r="B134" i="14"/>
  <c r="B135" i="14"/>
  <c r="B136" i="14"/>
  <c r="B137" i="14"/>
  <c r="B138" i="14"/>
  <c r="B139" i="14"/>
  <c r="B140" i="14"/>
  <c r="B141" i="14"/>
  <c r="B142" i="14"/>
  <c r="B143" i="14"/>
  <c r="B144" i="14"/>
  <c r="B145" i="14"/>
  <c r="B146" i="14"/>
  <c r="B147" i="14"/>
  <c r="B148" i="14"/>
  <c r="B149" i="14"/>
  <c r="B150" i="14"/>
  <c r="B131" i="14"/>
  <c r="Q89" i="14"/>
  <c r="Q90" i="14"/>
  <c r="Q91" i="14"/>
  <c r="Q92" i="14"/>
  <c r="Q93" i="14"/>
  <c r="Q94" i="14"/>
  <c r="Q95" i="14"/>
  <c r="Q96" i="14"/>
  <c r="O89" i="14"/>
  <c r="O90" i="14"/>
  <c r="O91" i="14"/>
  <c r="O92" i="14"/>
  <c r="O93" i="14"/>
  <c r="O94" i="14"/>
  <c r="O95" i="14"/>
  <c r="O96" i="14"/>
  <c r="L89" i="14"/>
  <c r="L90" i="14"/>
  <c r="L91" i="14"/>
  <c r="L92" i="14"/>
  <c r="L93" i="14"/>
  <c r="L94" i="14"/>
  <c r="L95" i="14"/>
  <c r="L96" i="14"/>
  <c r="I89" i="14"/>
  <c r="I90" i="14"/>
  <c r="I91" i="14"/>
  <c r="I92" i="14"/>
  <c r="I93" i="14"/>
  <c r="I94" i="14"/>
  <c r="I95" i="14"/>
  <c r="I96" i="14"/>
  <c r="G89" i="14"/>
  <c r="G90" i="14"/>
  <c r="G91" i="14"/>
  <c r="G92" i="14"/>
  <c r="G93" i="14"/>
  <c r="G94" i="14"/>
  <c r="G95" i="14"/>
  <c r="G96" i="14"/>
  <c r="E89" i="14"/>
  <c r="E90" i="14"/>
  <c r="E91" i="14"/>
  <c r="E92" i="14"/>
  <c r="E93" i="14"/>
  <c r="E94" i="14"/>
  <c r="E95" i="14"/>
  <c r="E96" i="14"/>
  <c r="D89" i="14"/>
  <c r="D90" i="14"/>
  <c r="D91" i="14"/>
  <c r="D92" i="14"/>
  <c r="D93" i="14"/>
  <c r="D94" i="14"/>
  <c r="D95" i="14"/>
  <c r="D96"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S149" i="14" l="1"/>
  <c r="S141" i="14"/>
  <c r="S133" i="14"/>
  <c r="S150" i="14"/>
  <c r="S142" i="14"/>
  <c r="S96" i="14"/>
  <c r="S134" i="14"/>
  <c r="S148" i="14"/>
  <c r="S140" i="14"/>
  <c r="S132" i="14"/>
  <c r="S89" i="14"/>
  <c r="S131" i="14"/>
  <c r="S145" i="14"/>
  <c r="S147" i="14"/>
  <c r="S92" i="14"/>
  <c r="S93" i="14"/>
  <c r="S139" i="14"/>
  <c r="S95" i="14"/>
  <c r="S146" i="14"/>
  <c r="S136" i="14"/>
  <c r="S94" i="14"/>
  <c r="S143" i="14"/>
  <c r="S135" i="14"/>
  <c r="S91" i="14"/>
  <c r="S90" i="14"/>
  <c r="S138" i="14"/>
  <c r="S137" i="14"/>
  <c r="S144" i="14"/>
  <c r="I140" i="4"/>
  <c r="AN32" i="9"/>
  <c r="AE48" i="9"/>
  <c r="AE47" i="9"/>
  <c r="K33" i="9"/>
  <c r="K31" i="9" l="1"/>
  <c r="K30" i="9"/>
  <c r="H25" i="9"/>
  <c r="K24" i="9"/>
  <c r="H23" i="9"/>
  <c r="K23" i="9" s="1"/>
  <c r="K22" i="9"/>
  <c r="H27" i="9" l="1"/>
  <c r="K27" i="9" s="1"/>
  <c r="K25" i="9"/>
  <c r="Q3" i="29" l="1"/>
  <c r="Q2" i="29"/>
  <c r="Q1" i="29"/>
  <c r="A1" i="29"/>
  <c r="Q3" i="9"/>
  <c r="Q3" i="13"/>
  <c r="Q3" i="10"/>
  <c r="Q3" i="5"/>
  <c r="Q3" i="4"/>
  <c r="Q3" i="11"/>
  <c r="Q3" i="12"/>
  <c r="Q3" i="14"/>
  <c r="Q3" i="22"/>
  <c r="Q3" i="27"/>
  <c r="Q3" i="28"/>
  <c r="Q3" i="1"/>
  <c r="Q2" i="9"/>
  <c r="Q2" i="13"/>
  <c r="Q2" i="10"/>
  <c r="Q2" i="5"/>
  <c r="Q2" i="4"/>
  <c r="Q2" i="11"/>
  <c r="Q2" i="12"/>
  <c r="Q2" i="14"/>
  <c r="Q2" i="22"/>
  <c r="Q2" i="27"/>
  <c r="Q2" i="28"/>
  <c r="Q2" i="1"/>
  <c r="Q1" i="9"/>
  <c r="Q1" i="13"/>
  <c r="Q1" i="10"/>
  <c r="Q1" i="5"/>
  <c r="Q1" i="4"/>
  <c r="Q1" i="11"/>
  <c r="Q1" i="12"/>
  <c r="Q1" i="14"/>
  <c r="Q1" i="22"/>
  <c r="Q1" i="27"/>
  <c r="Q1" i="28"/>
  <c r="Q1" i="1"/>
  <c r="B18" i="26"/>
  <c r="Q77" i="14"/>
  <c r="Q78" i="14"/>
  <c r="Q79" i="14"/>
  <c r="Q80" i="14"/>
  <c r="Q81" i="14"/>
  <c r="Q82" i="14"/>
  <c r="Q83" i="14"/>
  <c r="Q84" i="14"/>
  <c r="Q85" i="14"/>
  <c r="Q86" i="14"/>
  <c r="Q87" i="14"/>
  <c r="Q88" i="14"/>
  <c r="O77" i="14"/>
  <c r="O78" i="14"/>
  <c r="O79" i="14"/>
  <c r="O80" i="14"/>
  <c r="O81" i="14"/>
  <c r="O82" i="14"/>
  <c r="O83" i="14"/>
  <c r="O84" i="14"/>
  <c r="O85" i="14"/>
  <c r="O86" i="14"/>
  <c r="O87" i="14"/>
  <c r="O88" i="14"/>
  <c r="L77" i="14"/>
  <c r="L78" i="14"/>
  <c r="L79" i="14"/>
  <c r="L80" i="14"/>
  <c r="L81" i="14"/>
  <c r="L82" i="14"/>
  <c r="L83" i="14"/>
  <c r="L84" i="14"/>
  <c r="L85" i="14"/>
  <c r="L86" i="14"/>
  <c r="L87" i="14"/>
  <c r="L88" i="14"/>
  <c r="I77" i="14"/>
  <c r="I78" i="14"/>
  <c r="I79" i="14"/>
  <c r="I80" i="14"/>
  <c r="I81" i="14"/>
  <c r="I82" i="14"/>
  <c r="I83" i="14"/>
  <c r="I84" i="14"/>
  <c r="I85" i="14"/>
  <c r="I86" i="14"/>
  <c r="I87" i="14"/>
  <c r="I88" i="14"/>
  <c r="G77" i="14"/>
  <c r="G78" i="14"/>
  <c r="G79" i="14"/>
  <c r="G80" i="14"/>
  <c r="G81" i="14"/>
  <c r="G82" i="14"/>
  <c r="G83" i="14"/>
  <c r="G84" i="14"/>
  <c r="G85" i="14"/>
  <c r="G86" i="14"/>
  <c r="G87" i="14"/>
  <c r="G88" i="14"/>
  <c r="E77" i="14"/>
  <c r="E78" i="14"/>
  <c r="E79" i="14"/>
  <c r="E80" i="14"/>
  <c r="E81" i="14"/>
  <c r="E82" i="14"/>
  <c r="E83" i="14"/>
  <c r="E84" i="14"/>
  <c r="E85" i="14"/>
  <c r="E86" i="14"/>
  <c r="E87" i="14"/>
  <c r="E88" i="14"/>
  <c r="D77" i="14"/>
  <c r="D78" i="14"/>
  <c r="D79" i="14"/>
  <c r="D80" i="14"/>
  <c r="D81" i="14"/>
  <c r="D82" i="14"/>
  <c r="D83" i="14"/>
  <c r="D84" i="14"/>
  <c r="D85" i="14"/>
  <c r="D86" i="14"/>
  <c r="D87" i="14"/>
  <c r="D88" i="14"/>
  <c r="M34" i="1"/>
  <c r="K26" i="10"/>
  <c r="D39" i="12" s="1"/>
  <c r="P148" i="4"/>
  <c r="H40" i="9"/>
  <c r="K38" i="9"/>
  <c r="AC16" i="9"/>
  <c r="AC20" i="9" s="1"/>
  <c r="AF20" i="9" s="1"/>
  <c r="A1" i="28"/>
  <c r="A1" i="27"/>
  <c r="A1" i="14"/>
  <c r="A1" i="22"/>
  <c r="A1" i="12"/>
  <c r="A1" i="9"/>
  <c r="A1" i="13"/>
  <c r="A1" i="5"/>
  <c r="A1" i="10"/>
  <c r="A1" i="4"/>
  <c r="A1" i="11"/>
  <c r="A1" i="1"/>
  <c r="B8" i="5"/>
  <c r="P145" i="4"/>
  <c r="L23" i="1" a="1"/>
  <c r="L23" i="1" s="1"/>
  <c r="B17" i="26"/>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K41" i="24"/>
  <c r="I10" i="24"/>
  <c r="K10" i="24"/>
  <c r="J94" i="1"/>
  <c r="J87" i="1"/>
  <c r="AC41" i="24"/>
  <c r="AE41" i="24"/>
  <c r="Z42" i="24"/>
  <c r="AA42" i="24" s="1"/>
  <c r="AC42" i="24"/>
  <c r="AE42" i="24"/>
  <c r="Z43" i="24"/>
  <c r="AA43" i="24" s="1"/>
  <c r="AC43" i="24"/>
  <c r="AE43" i="24"/>
  <c r="Z44" i="24"/>
  <c r="AA44" i="24" s="1"/>
  <c r="AC44" i="24"/>
  <c r="AE44" i="24"/>
  <c r="Z45" i="24"/>
  <c r="AA45" i="24" s="1"/>
  <c r="AC45" i="24"/>
  <c r="AE45" i="24"/>
  <c r="Z46" i="24"/>
  <c r="AA46" i="24" s="1"/>
  <c r="AC46" i="24"/>
  <c r="AE46" i="24"/>
  <c r="Z47" i="24"/>
  <c r="AA47" i="24" s="1"/>
  <c r="AC47" i="24"/>
  <c r="AE47" i="24"/>
  <c r="Z48" i="24"/>
  <c r="AA48" i="24" s="1"/>
  <c r="AC48" i="24"/>
  <c r="AE48" i="24"/>
  <c r="Z49" i="24"/>
  <c r="AA49" i="24" s="1"/>
  <c r="AC49" i="24"/>
  <c r="AE49" i="24"/>
  <c r="Z50" i="24"/>
  <c r="AA50" i="24" s="1"/>
  <c r="AC50" i="24"/>
  <c r="AE50" i="24"/>
  <c r="Z51" i="24"/>
  <c r="AA51" i="24" s="1"/>
  <c r="AC51" i="24"/>
  <c r="AE51" i="24"/>
  <c r="Z52" i="24"/>
  <c r="AA52" i="24" s="1"/>
  <c r="AC52" i="24"/>
  <c r="AE52" i="24"/>
  <c r="Z53" i="24"/>
  <c r="AA53" i="24" s="1"/>
  <c r="AC53" i="24"/>
  <c r="AE53" i="24"/>
  <c r="Z54" i="24"/>
  <c r="AA54" i="24" s="1"/>
  <c r="AC54" i="24"/>
  <c r="AE54" i="24"/>
  <c r="Z55" i="24"/>
  <c r="AA55" i="24" s="1"/>
  <c r="AC55" i="24"/>
  <c r="AE55" i="24"/>
  <c r="Z56" i="24"/>
  <c r="AA56" i="24" s="1"/>
  <c r="AC56" i="24"/>
  <c r="AE56" i="24"/>
  <c r="Z57" i="24"/>
  <c r="AA57" i="24" s="1"/>
  <c r="AC57" i="24"/>
  <c r="AE57" i="24"/>
  <c r="Z58" i="24"/>
  <c r="AA58" i="24" s="1"/>
  <c r="AC58" i="24"/>
  <c r="AE58" i="24"/>
  <c r="Z59" i="24"/>
  <c r="AA59" i="24" s="1"/>
  <c r="AC59" i="24"/>
  <c r="AE59" i="24"/>
  <c r="Z60" i="24"/>
  <c r="AA60" i="24" s="1"/>
  <c r="AC60" i="24"/>
  <c r="AE60" i="24"/>
  <c r="Z61" i="24"/>
  <c r="AA61" i="24" s="1"/>
  <c r="AC61" i="24"/>
  <c r="AE61" i="24"/>
  <c r="Z62" i="24"/>
  <c r="AA62" i="24" s="1"/>
  <c r="AC62" i="24"/>
  <c r="AE62" i="24"/>
  <c r="Z63" i="24"/>
  <c r="AA63" i="24" s="1"/>
  <c r="AC63" i="24"/>
  <c r="AE63" i="24"/>
  <c r="Z64" i="24"/>
  <c r="AA64" i="24" s="1"/>
  <c r="AC64" i="24"/>
  <c r="AE64" i="24"/>
  <c r="M41" i="24"/>
  <c r="Q41" i="24"/>
  <c r="L10" i="24"/>
  <c r="F10" i="24"/>
  <c r="Q40" i="24"/>
  <c r="X42" i="24"/>
  <c r="X43" i="24"/>
  <c r="X44" i="24"/>
  <c r="X45" i="24"/>
  <c r="X46" i="24"/>
  <c r="X47" i="24"/>
  <c r="X48" i="24"/>
  <c r="X49" i="24"/>
  <c r="X50" i="24"/>
  <c r="X51" i="24"/>
  <c r="X52" i="24"/>
  <c r="X53" i="24"/>
  <c r="X54" i="24"/>
  <c r="X55" i="24"/>
  <c r="X56" i="24"/>
  <c r="X57" i="24"/>
  <c r="X58" i="24"/>
  <c r="X59" i="24"/>
  <c r="X60" i="24"/>
  <c r="X61" i="24"/>
  <c r="X62" i="24"/>
  <c r="X63" i="24"/>
  <c r="X64" i="24"/>
  <c r="K40" i="24"/>
  <c r="L9" i="24"/>
  <c r="R9" i="24" s="1"/>
  <c r="AE40" i="24"/>
  <c r="X24" i="24"/>
  <c r="X23" i="24"/>
  <c r="X22" i="24"/>
  <c r="X21" i="24"/>
  <c r="X20" i="24"/>
  <c r="X19" i="24"/>
  <c r="X18" i="24"/>
  <c r="X17" i="24"/>
  <c r="X16" i="24"/>
  <c r="AC40" i="24"/>
  <c r="F9" i="24"/>
  <c r="S13" i="11" l="1"/>
  <c r="J1" i="37"/>
  <c r="V1" i="37" s="1"/>
  <c r="J1" i="35"/>
  <c r="V1" i="35" s="1"/>
  <c r="J1" i="36"/>
  <c r="V1" i="36" s="1"/>
  <c r="J1" i="34"/>
  <c r="V1" i="34" s="1"/>
  <c r="J2" i="37"/>
  <c r="V2" i="37" s="1"/>
  <c r="J2" i="36"/>
  <c r="V2" i="36" s="1"/>
  <c r="J2" i="35"/>
  <c r="V2" i="35" s="1"/>
  <c r="J2" i="34"/>
  <c r="V2" i="34" s="1"/>
  <c r="K40" i="9"/>
  <c r="S77" i="14"/>
  <c r="H1" i="22"/>
  <c r="E1" i="34" s="1"/>
  <c r="Q1" i="34" s="1"/>
  <c r="H1" i="31"/>
  <c r="H1" i="32"/>
  <c r="S85" i="14"/>
  <c r="S83" i="14"/>
  <c r="S82" i="14"/>
  <c r="S88" i="14"/>
  <c r="S80" i="14"/>
  <c r="S87" i="14"/>
  <c r="S79" i="14"/>
  <c r="S84" i="14"/>
  <c r="S81" i="14"/>
  <c r="S86" i="14"/>
  <c r="S78" i="14"/>
  <c r="H1" i="14"/>
  <c r="H1" i="27"/>
  <c r="H1" i="12"/>
  <c r="H1" i="11"/>
  <c r="H1" i="1"/>
  <c r="H1" i="4"/>
  <c r="H1" i="29"/>
  <c r="H1" i="9"/>
  <c r="H1" i="5"/>
  <c r="H1" i="28"/>
  <c r="H1" i="10"/>
  <c r="H1" i="13"/>
  <c r="R10" i="24"/>
  <c r="T10" i="24" s="1"/>
  <c r="Z41" i="24" s="1"/>
  <c r="AA41" i="24" s="1"/>
  <c r="R41" i="24"/>
  <c r="S41" i="24" s="1"/>
  <c r="T9" i="24"/>
  <c r="Z40" i="24" s="1"/>
  <c r="S9" i="24"/>
  <c r="X40" i="24" s="1"/>
  <c r="C40" i="24" s="1"/>
  <c r="E40" i="24" s="1"/>
  <c r="M40" i="24"/>
  <c r="AH1" i="34" l="1"/>
  <c r="BI1" i="34" s="1"/>
  <c r="BU1" i="34" s="1"/>
  <c r="CG1" i="34" s="1"/>
  <c r="CS1" i="34" s="1"/>
  <c r="AW1" i="34"/>
  <c r="AW1" i="35"/>
  <c r="AH1" i="35"/>
  <c r="BI1" i="35" s="1"/>
  <c r="BU1" i="35" s="1"/>
  <c r="CG1" i="35" s="1"/>
  <c r="CS1" i="35" s="1"/>
  <c r="AW1" i="36"/>
  <c r="AH1" i="36"/>
  <c r="BI1" i="36" s="1"/>
  <c r="BU1" i="36" s="1"/>
  <c r="CG1" i="36" s="1"/>
  <c r="CS1" i="36" s="1"/>
  <c r="AH1" i="37"/>
  <c r="BF1" i="37" s="1"/>
  <c r="BR1" i="37" s="1"/>
  <c r="CD1" i="37" s="1"/>
  <c r="CP1" i="37" s="1"/>
  <c r="AT1" i="37"/>
  <c r="AH2" i="34"/>
  <c r="BI2" i="34" s="1"/>
  <c r="BU2" i="34" s="1"/>
  <c r="CG2" i="34" s="1"/>
  <c r="CS2" i="34" s="1"/>
  <c r="AW2" i="34"/>
  <c r="AH2" i="35"/>
  <c r="BI2" i="35" s="1"/>
  <c r="BU2" i="35" s="1"/>
  <c r="CG2" i="35" s="1"/>
  <c r="CS2" i="35" s="1"/>
  <c r="AW2" i="35"/>
  <c r="AW2" i="36"/>
  <c r="AH2" i="36"/>
  <c r="BI2" i="36" s="1"/>
  <c r="BU2" i="36" s="1"/>
  <c r="CG2" i="36" s="1"/>
  <c r="CS2" i="36" s="1"/>
  <c r="AH2" i="37"/>
  <c r="BF2" i="37" s="1"/>
  <c r="BR2" i="37" s="1"/>
  <c r="CD2" i="37" s="1"/>
  <c r="CP2" i="37" s="1"/>
  <c r="AT2" i="37"/>
  <c r="H35" i="9"/>
  <c r="K32" i="9"/>
  <c r="K35" i="9" s="1"/>
  <c r="AR1" i="34"/>
  <c r="AC1" i="34"/>
  <c r="BD1" i="34" s="1"/>
  <c r="BP1" i="34" s="1"/>
  <c r="CB1" i="34" s="1"/>
  <c r="CN1" i="34" s="1"/>
  <c r="S10" i="24"/>
  <c r="X41" i="24" s="1"/>
  <c r="C41" i="24" s="1"/>
  <c r="E41" i="24" s="1"/>
  <c r="T41" i="24"/>
  <c r="AA40" i="24"/>
  <c r="R40" i="24" s="1"/>
  <c r="S40" i="24" s="1"/>
  <c r="T40" i="24" s="1"/>
  <c r="J86" i="1" l="1"/>
  <c r="J82" i="1"/>
  <c r="J81" i="1"/>
  <c r="J97" i="1" s="1"/>
  <c r="N84" i="4"/>
  <c r="BE12" i="17"/>
  <c r="BE13" i="17"/>
  <c r="BE14" i="17"/>
  <c r="BE15" i="17"/>
  <c r="BE16" i="17"/>
  <c r="BE17" i="17"/>
  <c r="BE18" i="17"/>
  <c r="BE19" i="17"/>
  <c r="BE20" i="17"/>
  <c r="BE21" i="17"/>
  <c r="BE22" i="17"/>
  <c r="BE23" i="17"/>
  <c r="BE24" i="17"/>
  <c r="BE11" i="17"/>
  <c r="AL12" i="17"/>
  <c r="V12" i="17" s="1"/>
  <c r="AN12" i="17"/>
  <c r="W12" i="17" s="1"/>
  <c r="AW12" i="17"/>
  <c r="Z12" i="17" s="1"/>
  <c r="AY12" i="17"/>
  <c r="AA12" i="17" s="1"/>
  <c r="BC12" i="17"/>
  <c r="BH12" i="17" s="1"/>
  <c r="BD12" i="17"/>
  <c r="BI12" i="17" s="1"/>
  <c r="AL13" i="17"/>
  <c r="V13" i="17" s="1"/>
  <c r="AN13" i="17"/>
  <c r="W13" i="17" s="1"/>
  <c r="AW13" i="17"/>
  <c r="Z13" i="17" s="1"/>
  <c r="AY13" i="17"/>
  <c r="AA13" i="17" s="1"/>
  <c r="BC13" i="17"/>
  <c r="BH13" i="17" s="1"/>
  <c r="BD13" i="17"/>
  <c r="BI13" i="17" s="1"/>
  <c r="AL14" i="17"/>
  <c r="AN14" i="17"/>
  <c r="AP14" i="17"/>
  <c r="AW14" i="17"/>
  <c r="AY14" i="17"/>
  <c r="BA14" i="17"/>
  <c r="BC14" i="17"/>
  <c r="BJ14" i="17" s="1"/>
  <c r="BD14" i="17"/>
  <c r="BI14" i="17"/>
  <c r="AL15" i="17"/>
  <c r="AP15" i="17" s="1"/>
  <c r="AN15" i="17"/>
  <c r="AW15" i="17"/>
  <c r="AY15" i="17"/>
  <c r="BA15" i="17"/>
  <c r="BC15" i="17"/>
  <c r="BH15" i="17" s="1"/>
  <c r="BD15" i="17"/>
  <c r="BI15" i="17" s="1"/>
  <c r="AL16" i="17"/>
  <c r="AP16" i="17" s="1"/>
  <c r="AN16" i="17"/>
  <c r="AW16" i="17"/>
  <c r="AY16" i="17"/>
  <c r="BA16" i="17"/>
  <c r="BC16" i="17"/>
  <c r="BH16" i="17" s="1"/>
  <c r="BD16" i="17"/>
  <c r="BI16" i="17" s="1"/>
  <c r="AL17" i="17"/>
  <c r="AP17" i="17" s="1"/>
  <c r="AN17" i="17"/>
  <c r="AW17" i="17"/>
  <c r="AY17" i="17"/>
  <c r="BA17" i="17"/>
  <c r="BC17" i="17"/>
  <c r="BH17" i="17" s="1"/>
  <c r="BD17" i="17"/>
  <c r="AL18" i="17"/>
  <c r="AP18" i="17" s="1"/>
  <c r="AN18" i="17"/>
  <c r="AW18" i="17"/>
  <c r="AY18" i="17"/>
  <c r="BA18" i="17"/>
  <c r="BC18" i="17"/>
  <c r="BD18" i="17"/>
  <c r="BI18" i="17" s="1"/>
  <c r="AL19" i="17"/>
  <c r="AP19" i="17" s="1"/>
  <c r="AN19" i="17"/>
  <c r="AW19" i="17"/>
  <c r="AY19" i="17"/>
  <c r="BA19" i="17"/>
  <c r="BC19" i="17"/>
  <c r="BH19" i="17" s="1"/>
  <c r="BD19" i="17"/>
  <c r="BI19" i="17" s="1"/>
  <c r="AL20" i="17"/>
  <c r="AP20" i="17" s="1"/>
  <c r="AN20" i="17"/>
  <c r="AW20" i="17"/>
  <c r="AY20" i="17"/>
  <c r="BA20" i="17"/>
  <c r="BC20" i="17"/>
  <c r="BH20" i="17" s="1"/>
  <c r="BD20" i="17"/>
  <c r="BI20" i="17" s="1"/>
  <c r="AL21" i="17"/>
  <c r="AP21" i="17" s="1"/>
  <c r="AN21" i="17"/>
  <c r="AW21" i="17"/>
  <c r="AY21" i="17"/>
  <c r="BA21" i="17"/>
  <c r="BC21" i="17"/>
  <c r="BH21" i="17" s="1"/>
  <c r="BD21" i="17"/>
  <c r="BI21" i="17" s="1"/>
  <c r="AL22" i="17"/>
  <c r="AP22" i="17" s="1"/>
  <c r="AN22" i="17"/>
  <c r="AW22" i="17"/>
  <c r="AY22" i="17"/>
  <c r="BA22" i="17"/>
  <c r="BC22" i="17"/>
  <c r="BH22" i="17" s="1"/>
  <c r="BD22" i="17"/>
  <c r="BI22" i="17" s="1"/>
  <c r="AL23" i="17"/>
  <c r="AP23" i="17" s="1"/>
  <c r="AN23" i="17"/>
  <c r="AW23" i="17"/>
  <c r="AY23" i="17"/>
  <c r="BA23" i="17"/>
  <c r="BC23" i="17"/>
  <c r="BH23" i="17" s="1"/>
  <c r="BD23" i="17"/>
  <c r="BI23" i="17" s="1"/>
  <c r="AL24" i="17"/>
  <c r="AP24" i="17" s="1"/>
  <c r="AN24" i="17"/>
  <c r="AW24" i="17"/>
  <c r="AY24" i="17"/>
  <c r="BA24" i="17"/>
  <c r="BC24" i="17"/>
  <c r="BH24" i="17" s="1"/>
  <c r="BD24" i="17"/>
  <c r="BI24" i="17" s="1"/>
  <c r="Q70" i="14"/>
  <c r="Q71" i="14"/>
  <c r="Q72" i="14"/>
  <c r="Q73" i="14"/>
  <c r="Q74" i="14"/>
  <c r="Q75" i="14"/>
  <c r="Q76" i="14"/>
  <c r="O76" i="14"/>
  <c r="O70" i="14"/>
  <c r="O71" i="14"/>
  <c r="S71" i="14" s="1"/>
  <c r="O72" i="14"/>
  <c r="O73" i="14"/>
  <c r="O74" i="14"/>
  <c r="O75" i="14"/>
  <c r="L70" i="14"/>
  <c r="L71" i="14"/>
  <c r="L72" i="14"/>
  <c r="L73" i="14"/>
  <c r="L74" i="14"/>
  <c r="L75" i="14"/>
  <c r="L76" i="14"/>
  <c r="I70" i="14"/>
  <c r="I71" i="14"/>
  <c r="I72" i="14"/>
  <c r="I73" i="14"/>
  <c r="I74" i="14"/>
  <c r="I75" i="14"/>
  <c r="I76" i="14"/>
  <c r="G70" i="14"/>
  <c r="G71" i="14"/>
  <c r="G72" i="14"/>
  <c r="G73" i="14"/>
  <c r="G74" i="14"/>
  <c r="G75" i="14"/>
  <c r="G76" i="14"/>
  <c r="E70" i="14"/>
  <c r="E71" i="14"/>
  <c r="E72" i="14"/>
  <c r="E73" i="14"/>
  <c r="E74" i="14"/>
  <c r="E75" i="14"/>
  <c r="E76" i="14"/>
  <c r="D70" i="14"/>
  <c r="D71" i="14"/>
  <c r="D72" i="14"/>
  <c r="D73" i="14"/>
  <c r="D74" i="14"/>
  <c r="D75" i="14"/>
  <c r="D76" i="14"/>
  <c r="Q69" i="14"/>
  <c r="O69" i="14"/>
  <c r="L69" i="14"/>
  <c r="I69" i="14"/>
  <c r="E69" i="14"/>
  <c r="D69" i="14"/>
  <c r="B69" i="14"/>
  <c r="G69"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13" i="14"/>
  <c r="S72" i="14" l="1"/>
  <c r="S70" i="14"/>
  <c r="S73" i="14"/>
  <c r="S75" i="14"/>
  <c r="J88" i="1"/>
  <c r="J90" i="1" s="1"/>
  <c r="J91" i="1" s="1"/>
  <c r="J98" i="1" s="1"/>
  <c r="BJ18" i="17"/>
  <c r="S76" i="14"/>
  <c r="BJ16" i="17"/>
  <c r="BH14" i="17"/>
  <c r="BJ21" i="17"/>
  <c r="BJ17" i="17"/>
  <c r="BO18" i="17"/>
  <c r="BJ15" i="17"/>
  <c r="BJ13" i="17"/>
  <c r="BM14" i="17"/>
  <c r="BO20" i="17"/>
  <c r="BK20" i="17"/>
  <c r="BM20" i="17"/>
  <c r="BO19" i="17"/>
  <c r="BO13" i="17"/>
  <c r="BK13" i="17"/>
  <c r="BM13" i="17"/>
  <c r="BM17" i="17"/>
  <c r="BO24" i="17"/>
  <c r="BO23" i="17"/>
  <c r="BO22" i="17"/>
  <c r="BO16" i="17"/>
  <c r="BK21" i="17"/>
  <c r="BL21" i="17" s="1"/>
  <c r="BM21" i="17"/>
  <c r="BO12" i="17"/>
  <c r="BK12" i="17"/>
  <c r="BK23" i="17"/>
  <c r="BM23" i="17"/>
  <c r="BK16" i="17"/>
  <c r="BL16" i="17" s="1"/>
  <c r="BM16" i="17"/>
  <c r="BO15" i="17"/>
  <c r="BM24" i="17"/>
  <c r="BK24" i="17"/>
  <c r="BK22" i="17"/>
  <c r="BM22" i="17"/>
  <c r="BO21" i="17"/>
  <c r="BK19" i="17"/>
  <c r="BH18" i="17"/>
  <c r="BK15" i="17"/>
  <c r="BK14" i="17"/>
  <c r="BL14" i="17" s="1"/>
  <c r="BM12" i="17"/>
  <c r="BJ24" i="17"/>
  <c r="BI17" i="17"/>
  <c r="BK17" i="17" s="1"/>
  <c r="BL17" i="17" s="1"/>
  <c r="BJ23" i="17"/>
  <c r="BJ22" i="17"/>
  <c r="BM19" i="17"/>
  <c r="BJ20" i="17"/>
  <c r="BN20" i="17" s="1"/>
  <c r="BJ12" i="17"/>
  <c r="BJ19" i="17"/>
  <c r="BL19" i="17" s="1"/>
  <c r="BO14" i="17"/>
  <c r="BM15" i="17"/>
  <c r="S74" i="14"/>
  <c r="AW11" i="17"/>
  <c r="Z11" i="17" s="1"/>
  <c r="AY11" i="17"/>
  <c r="AA11" i="17" s="1"/>
  <c r="AN11" i="17"/>
  <c r="W11" i="17" s="1"/>
  <c r="AL11" i="17"/>
  <c r="V11" i="17" s="1"/>
  <c r="BD11" i="17"/>
  <c r="BI11" i="17" s="1"/>
  <c r="BC11" i="17"/>
  <c r="U3" i="17"/>
  <c r="U2" i="17"/>
  <c r="N11" i="17"/>
  <c r="L11" i="17"/>
  <c r="E11" i="17"/>
  <c r="F11" i="17" s="1"/>
  <c r="B23" i="16"/>
  <c r="Q11" i="16"/>
  <c r="O11" i="16"/>
  <c r="G11" i="16"/>
  <c r="H11" i="16" s="1"/>
  <c r="P11" i="17" l="1"/>
  <c r="S11" i="16"/>
  <c r="BN21" i="17"/>
  <c r="BL13" i="17"/>
  <c r="U13" i="17" s="1"/>
  <c r="AP13" i="17" s="1"/>
  <c r="BN15" i="17"/>
  <c r="BN19" i="17"/>
  <c r="BL12" i="17"/>
  <c r="U12" i="17" s="1"/>
  <c r="BL22" i="17"/>
  <c r="BN23" i="17"/>
  <c r="BL20" i="17"/>
  <c r="BN13" i="17"/>
  <c r="Y13" i="17" s="1"/>
  <c r="BA13" i="17" s="1"/>
  <c r="AA23" i="16"/>
  <c r="X23" i="16"/>
  <c r="W23" i="16"/>
  <c r="BN24" i="17"/>
  <c r="BL23" i="17"/>
  <c r="BN22" i="17"/>
  <c r="BL24" i="17"/>
  <c r="BK18" i="17"/>
  <c r="BN18" i="17" s="1"/>
  <c r="BM18" i="17"/>
  <c r="BL15" i="17"/>
  <c r="BN14" i="17"/>
  <c r="BN12" i="17"/>
  <c r="Y12" i="17" s="1"/>
  <c r="BN16" i="17"/>
  <c r="BN17" i="17"/>
  <c r="BO17" i="17"/>
  <c r="BJ11" i="17"/>
  <c r="R11" i="17"/>
  <c r="BO11" i="17"/>
  <c r="BH11" i="17"/>
  <c r="BM11" i="17" s="1"/>
  <c r="R48" i="16" l="1"/>
  <c r="R45" i="16"/>
  <c r="R36" i="16"/>
  <c r="R32" i="16"/>
  <c r="R51" i="16"/>
  <c r="R42" i="16"/>
  <c r="R49" i="16"/>
  <c r="R52" i="16"/>
  <c r="R50" i="16"/>
  <c r="R35" i="16"/>
  <c r="AB23" i="16"/>
  <c r="R23" i="16" s="1"/>
  <c r="R34" i="16"/>
  <c r="R26" i="16"/>
  <c r="R31" i="16"/>
  <c r="R40" i="16"/>
  <c r="R41" i="16"/>
  <c r="R29" i="16"/>
  <c r="R30" i="16"/>
  <c r="R24" i="16"/>
  <c r="R37" i="16"/>
  <c r="R44" i="16"/>
  <c r="R43" i="16"/>
  <c r="P30" i="16"/>
  <c r="P23" i="16"/>
  <c r="AP12" i="17"/>
  <c r="BA12" i="17"/>
  <c r="P40" i="16"/>
  <c r="P41" i="16"/>
  <c r="P35" i="16"/>
  <c r="P45" i="16"/>
  <c r="P52" i="16"/>
  <c r="P36" i="16"/>
  <c r="P29" i="16"/>
  <c r="P24" i="16"/>
  <c r="P34" i="16"/>
  <c r="P26" i="16"/>
  <c r="P31" i="16"/>
  <c r="P49" i="16"/>
  <c r="BL18" i="17"/>
  <c r="P44" i="16"/>
  <c r="P32" i="16"/>
  <c r="P50" i="16"/>
  <c r="P42" i="16"/>
  <c r="P48" i="16"/>
  <c r="P37" i="16"/>
  <c r="P51" i="16"/>
  <c r="P43" i="16"/>
  <c r="BK11" i="17"/>
  <c r="BN11" i="17" s="1"/>
  <c r="Y11" i="17" s="1"/>
  <c r="BA11" i="17" s="1"/>
  <c r="R46" i="16" l="1"/>
  <c r="R38" i="16"/>
  <c r="R39" i="16"/>
  <c r="R27" i="16"/>
  <c r="R33" i="16"/>
  <c r="R47" i="16"/>
  <c r="R25" i="16"/>
  <c r="R28" i="16"/>
  <c r="P47" i="16"/>
  <c r="P39" i="16"/>
  <c r="P46" i="16"/>
  <c r="P38" i="16"/>
  <c r="P28" i="16"/>
  <c r="P33" i="16"/>
  <c r="P27" i="16"/>
  <c r="BL11" i="17"/>
  <c r="U11" i="17" s="1"/>
  <c r="AP11" i="17" s="1"/>
  <c r="Q3" i="16" l="1"/>
  <c r="Q2" i="16"/>
  <c r="B14" i="14"/>
  <c r="D14" i="14"/>
  <c r="E14" i="14"/>
  <c r="I14" i="14"/>
  <c r="L14" i="14"/>
  <c r="O14" i="14"/>
  <c r="Q14" i="14"/>
  <c r="B15" i="14"/>
  <c r="D15" i="14"/>
  <c r="E15" i="14"/>
  <c r="I15" i="14"/>
  <c r="L15" i="14"/>
  <c r="O15" i="14"/>
  <c r="Q15" i="14"/>
  <c r="B16" i="14"/>
  <c r="D16" i="14"/>
  <c r="E16" i="14"/>
  <c r="I16" i="14"/>
  <c r="L16" i="14"/>
  <c r="O16" i="14"/>
  <c r="Q16" i="14"/>
  <c r="B17" i="14"/>
  <c r="D17" i="14"/>
  <c r="E17" i="14"/>
  <c r="I17" i="14"/>
  <c r="L17" i="14"/>
  <c r="O17" i="14"/>
  <c r="Q17" i="14"/>
  <c r="B18" i="14"/>
  <c r="D18" i="14"/>
  <c r="E18" i="14"/>
  <c r="I18" i="14"/>
  <c r="L18" i="14"/>
  <c r="O18" i="14"/>
  <c r="Q18" i="14"/>
  <c r="B19" i="14"/>
  <c r="D19" i="14"/>
  <c r="E19" i="14"/>
  <c r="I19" i="14"/>
  <c r="L19" i="14"/>
  <c r="O19" i="14"/>
  <c r="Q19" i="14"/>
  <c r="B20" i="14"/>
  <c r="D20" i="14"/>
  <c r="E20" i="14"/>
  <c r="I20" i="14"/>
  <c r="L20" i="14"/>
  <c r="O20" i="14"/>
  <c r="Q20" i="14"/>
  <c r="B21" i="14"/>
  <c r="D21" i="14"/>
  <c r="E21" i="14"/>
  <c r="I21" i="14"/>
  <c r="L21" i="14"/>
  <c r="O21" i="14"/>
  <c r="Q21" i="14"/>
  <c r="B22" i="14"/>
  <c r="D22" i="14"/>
  <c r="E22" i="14"/>
  <c r="I22" i="14"/>
  <c r="L22" i="14"/>
  <c r="O22" i="14"/>
  <c r="Q22" i="14"/>
  <c r="B23" i="14"/>
  <c r="D23" i="14"/>
  <c r="E23" i="14"/>
  <c r="I23" i="14"/>
  <c r="L23" i="14"/>
  <c r="O23" i="14"/>
  <c r="Q23" i="14"/>
  <c r="B24" i="14"/>
  <c r="D24" i="14"/>
  <c r="E24" i="14"/>
  <c r="I24" i="14"/>
  <c r="L24" i="14"/>
  <c r="O24" i="14"/>
  <c r="Q24" i="14"/>
  <c r="B25" i="14"/>
  <c r="D25" i="14"/>
  <c r="E25" i="14"/>
  <c r="I25" i="14"/>
  <c r="L25" i="14"/>
  <c r="O25" i="14"/>
  <c r="Q25" i="14"/>
  <c r="B26" i="14"/>
  <c r="D26" i="14"/>
  <c r="E26" i="14"/>
  <c r="I26" i="14"/>
  <c r="L26" i="14"/>
  <c r="O26" i="14"/>
  <c r="Q26" i="14"/>
  <c r="B27" i="14"/>
  <c r="D27" i="14"/>
  <c r="E27" i="14"/>
  <c r="I27" i="14"/>
  <c r="L27" i="14"/>
  <c r="O27" i="14"/>
  <c r="Q27" i="14"/>
  <c r="B28" i="14"/>
  <c r="D28" i="14"/>
  <c r="E28" i="14"/>
  <c r="I28" i="14"/>
  <c r="L28" i="14"/>
  <c r="O28" i="14"/>
  <c r="Q28" i="14"/>
  <c r="B29" i="14"/>
  <c r="D29" i="14"/>
  <c r="E29" i="14"/>
  <c r="I29" i="14"/>
  <c r="L29" i="14"/>
  <c r="O29" i="14"/>
  <c r="Q29" i="14"/>
  <c r="B30" i="14"/>
  <c r="D30" i="14"/>
  <c r="E30" i="14"/>
  <c r="I30" i="14"/>
  <c r="L30" i="14"/>
  <c r="O30" i="14"/>
  <c r="Q30" i="14"/>
  <c r="B31" i="14"/>
  <c r="D31" i="14"/>
  <c r="E31" i="14"/>
  <c r="I31" i="14"/>
  <c r="L31" i="14"/>
  <c r="O31" i="14"/>
  <c r="Q31" i="14"/>
  <c r="B32" i="14"/>
  <c r="D32" i="14"/>
  <c r="E32" i="14"/>
  <c r="I32" i="14"/>
  <c r="L32" i="14"/>
  <c r="O32" i="14"/>
  <c r="Q32" i="14"/>
  <c r="B33" i="14"/>
  <c r="D33" i="14"/>
  <c r="E33" i="14"/>
  <c r="I33" i="14"/>
  <c r="L33" i="14"/>
  <c r="O33" i="14"/>
  <c r="Q33" i="14"/>
  <c r="B34" i="14"/>
  <c r="D34" i="14"/>
  <c r="E34" i="14"/>
  <c r="I34" i="14"/>
  <c r="L34" i="14"/>
  <c r="O34" i="14"/>
  <c r="Q34" i="14"/>
  <c r="B35" i="14"/>
  <c r="D35" i="14"/>
  <c r="E35" i="14"/>
  <c r="I35" i="14"/>
  <c r="L35" i="14"/>
  <c r="O35" i="14"/>
  <c r="Q35" i="14"/>
  <c r="B36" i="14"/>
  <c r="D36" i="14"/>
  <c r="E36" i="14"/>
  <c r="I36" i="14"/>
  <c r="L36" i="14"/>
  <c r="O36" i="14"/>
  <c r="Q36" i="14"/>
  <c r="B37" i="14"/>
  <c r="D37" i="14"/>
  <c r="E37" i="14"/>
  <c r="I37" i="14"/>
  <c r="L37" i="14"/>
  <c r="O37" i="14"/>
  <c r="Q37" i="14"/>
  <c r="B38" i="14"/>
  <c r="D38" i="14"/>
  <c r="E38" i="14"/>
  <c r="I38" i="14"/>
  <c r="L38" i="14"/>
  <c r="O38" i="14"/>
  <c r="Q38" i="14"/>
  <c r="B39" i="14"/>
  <c r="D39" i="14"/>
  <c r="E39" i="14"/>
  <c r="I39" i="14"/>
  <c r="L39" i="14"/>
  <c r="O39" i="14"/>
  <c r="Q39" i="14"/>
  <c r="B40" i="14"/>
  <c r="D40" i="14"/>
  <c r="E40" i="14"/>
  <c r="I40" i="14"/>
  <c r="L40" i="14"/>
  <c r="O40" i="14"/>
  <c r="Q40" i="14"/>
  <c r="B41" i="14"/>
  <c r="D41" i="14"/>
  <c r="E41" i="14"/>
  <c r="I41" i="14"/>
  <c r="L41" i="14"/>
  <c r="O41" i="14"/>
  <c r="Q41" i="14"/>
  <c r="B42" i="14"/>
  <c r="D42" i="14"/>
  <c r="E42" i="14"/>
  <c r="I42" i="14"/>
  <c r="L42" i="14"/>
  <c r="O42" i="14"/>
  <c r="Q42" i="14"/>
  <c r="B43" i="14"/>
  <c r="D43" i="14"/>
  <c r="E43" i="14"/>
  <c r="I43" i="14"/>
  <c r="L43" i="14"/>
  <c r="O43" i="14"/>
  <c r="Q43" i="14"/>
  <c r="B44" i="14"/>
  <c r="D44" i="14"/>
  <c r="E44" i="14"/>
  <c r="I44" i="14"/>
  <c r="L44" i="14"/>
  <c r="O44" i="14"/>
  <c r="Q44" i="14"/>
  <c r="B45" i="14"/>
  <c r="D45" i="14"/>
  <c r="E45" i="14"/>
  <c r="I45" i="14"/>
  <c r="L45" i="14"/>
  <c r="O45" i="14"/>
  <c r="Q45" i="14"/>
  <c r="B46" i="14"/>
  <c r="D46" i="14"/>
  <c r="E46" i="14"/>
  <c r="I46" i="14"/>
  <c r="L46" i="14"/>
  <c r="O46" i="14"/>
  <c r="Q46" i="14"/>
  <c r="B47" i="14"/>
  <c r="D47" i="14"/>
  <c r="E47" i="14"/>
  <c r="I47" i="14"/>
  <c r="L47" i="14"/>
  <c r="O47" i="14"/>
  <c r="Q47" i="14"/>
  <c r="B48" i="14"/>
  <c r="D48" i="14"/>
  <c r="E48" i="14"/>
  <c r="I48" i="14"/>
  <c r="L48" i="14"/>
  <c r="O48" i="14"/>
  <c r="Q48" i="14"/>
  <c r="B49" i="14"/>
  <c r="D49" i="14"/>
  <c r="E49" i="14"/>
  <c r="I49" i="14"/>
  <c r="L49" i="14"/>
  <c r="O49" i="14"/>
  <c r="Q49" i="14"/>
  <c r="B50" i="14"/>
  <c r="D50" i="14"/>
  <c r="E50" i="14"/>
  <c r="I50" i="14"/>
  <c r="L50" i="14"/>
  <c r="O50" i="14"/>
  <c r="Q50" i="14"/>
  <c r="B51" i="14"/>
  <c r="D51" i="14"/>
  <c r="E51" i="14"/>
  <c r="I51" i="14"/>
  <c r="L51" i="14"/>
  <c r="Q51" i="14"/>
  <c r="B52" i="14"/>
  <c r="D52" i="14"/>
  <c r="E52" i="14"/>
  <c r="I52" i="14"/>
  <c r="L52" i="14"/>
  <c r="O52" i="14"/>
  <c r="Q52" i="14"/>
  <c r="B53" i="14"/>
  <c r="D53" i="14"/>
  <c r="E53" i="14"/>
  <c r="I53" i="14"/>
  <c r="L53" i="14"/>
  <c r="O53" i="14"/>
  <c r="Q53" i="14"/>
  <c r="B54" i="14"/>
  <c r="D54" i="14"/>
  <c r="E54" i="14"/>
  <c r="I54" i="14"/>
  <c r="L54" i="14"/>
  <c r="O54" i="14"/>
  <c r="Q54" i="14"/>
  <c r="B55" i="14"/>
  <c r="D55" i="14"/>
  <c r="E55" i="14"/>
  <c r="I55" i="14"/>
  <c r="L55" i="14"/>
  <c r="O55" i="14"/>
  <c r="Q55" i="14"/>
  <c r="B56" i="14"/>
  <c r="D56" i="14"/>
  <c r="E56" i="14"/>
  <c r="I56" i="14"/>
  <c r="L56" i="14"/>
  <c r="O56" i="14"/>
  <c r="Q56" i="14"/>
  <c r="B57" i="14"/>
  <c r="D57" i="14"/>
  <c r="E57" i="14"/>
  <c r="I57" i="14"/>
  <c r="L57" i="14"/>
  <c r="O57" i="14"/>
  <c r="Q57" i="14"/>
  <c r="B58" i="14"/>
  <c r="D58" i="14"/>
  <c r="E58" i="14"/>
  <c r="I58" i="14"/>
  <c r="L58" i="14"/>
  <c r="O58" i="14"/>
  <c r="Q58" i="14"/>
  <c r="B59" i="14"/>
  <c r="D59" i="14"/>
  <c r="E59" i="14"/>
  <c r="I59" i="14"/>
  <c r="L59" i="14"/>
  <c r="O59" i="14"/>
  <c r="Q59" i="14"/>
  <c r="B60" i="14"/>
  <c r="D60" i="14"/>
  <c r="E60" i="14"/>
  <c r="I60" i="14"/>
  <c r="L60" i="14"/>
  <c r="O60" i="14"/>
  <c r="Q60" i="14"/>
  <c r="Q13" i="14"/>
  <c r="O13" i="14"/>
  <c r="L13" i="14"/>
  <c r="I13" i="14"/>
  <c r="E13" i="14"/>
  <c r="D13" i="14"/>
  <c r="B13" i="14"/>
  <c r="AJ13" i="14"/>
  <c r="AI13" i="14"/>
  <c r="W5" i="14" l="1"/>
  <c r="Y5" i="14"/>
  <c r="U1" i="17"/>
  <c r="Q1" i="16"/>
  <c r="L1" i="17"/>
  <c r="H1" i="16"/>
  <c r="S53" i="14"/>
  <c r="S27" i="14"/>
  <c r="S20" i="14"/>
  <c r="S13" i="14"/>
  <c r="AH13" i="14" s="1"/>
  <c r="S48" i="14"/>
  <c r="S47" i="14"/>
  <c r="S45" i="14"/>
  <c r="S43" i="14"/>
  <c r="S40" i="14"/>
  <c r="S39" i="14"/>
  <c r="S38" i="14"/>
  <c r="S37" i="14"/>
  <c r="S32" i="14"/>
  <c r="S31" i="14"/>
  <c r="S30" i="14"/>
  <c r="S56" i="14"/>
  <c r="S69" i="14"/>
  <c r="S59" i="14"/>
  <c r="S58" i="14"/>
  <c r="S51" i="14"/>
  <c r="S49" i="14"/>
  <c r="S41" i="14"/>
  <c r="S35" i="14"/>
  <c r="S33" i="14"/>
  <c r="S29" i="14"/>
  <c r="S28" i="14"/>
  <c r="S24" i="14"/>
  <c r="S23" i="14"/>
  <c r="S22" i="14"/>
  <c r="S21" i="14"/>
  <c r="S19" i="14"/>
  <c r="S18" i="14"/>
  <c r="S17" i="14"/>
  <c r="S16" i="14"/>
  <c r="S15" i="14"/>
  <c r="S14" i="14"/>
  <c r="S57" i="14"/>
  <c r="S36" i="14"/>
  <c r="S55" i="14"/>
  <c r="S54" i="14"/>
  <c r="S52" i="14"/>
  <c r="S34" i="14"/>
  <c r="S50" i="14"/>
  <c r="S46" i="14"/>
  <c r="S44" i="14"/>
  <c r="S26" i="14"/>
  <c r="S25" i="14"/>
  <c r="S60" i="14"/>
  <c r="S42" i="14"/>
  <c r="AH28" i="14" l="1"/>
  <c r="AH29" i="14"/>
  <c r="AH54" i="14"/>
  <c r="AH18" i="14"/>
  <c r="AH33" i="14"/>
  <c r="AH40" i="14"/>
  <c r="AH27" i="14"/>
  <c r="AH16" i="14"/>
  <c r="AH52" i="14"/>
  <c r="AH39" i="14"/>
  <c r="AH19" i="14"/>
  <c r="AH35" i="14"/>
  <c r="AH56" i="14"/>
  <c r="AH43" i="14"/>
  <c r="AH53" i="14"/>
  <c r="AH34" i="14"/>
  <c r="AH26" i="14"/>
  <c r="AH30" i="14"/>
  <c r="AH57" i="14"/>
  <c r="AH22" i="14"/>
  <c r="AH49" i="14"/>
  <c r="AH31" i="14"/>
  <c r="AH47" i="14"/>
  <c r="AH59" i="14"/>
  <c r="AH17" i="14"/>
  <c r="AH25" i="14"/>
  <c r="AH55" i="14"/>
  <c r="AH21" i="14"/>
  <c r="AH45" i="14"/>
  <c r="AH14" i="14"/>
  <c r="AH51" i="14"/>
  <c r="AH32" i="14"/>
  <c r="AH48" i="14"/>
  <c r="AH60" i="14"/>
  <c r="AH38" i="14"/>
  <c r="AH20" i="14"/>
  <c r="AH36" i="14"/>
  <c r="AH41" i="14"/>
  <c r="AH44" i="14"/>
  <c r="AH46" i="14"/>
  <c r="AH23" i="14"/>
  <c r="AH42" i="14"/>
  <c r="AH50" i="14"/>
  <c r="AH15" i="14"/>
  <c r="AH24" i="14"/>
  <c r="AH58" i="14"/>
  <c r="AH37" i="14"/>
  <c r="T24" i="16"/>
  <c r="J8" i="14"/>
  <c r="Q9" i="14" l="1"/>
  <c r="Q8" i="14"/>
  <c r="L8" i="14"/>
  <c r="L42" i="1"/>
  <c r="I45" i="12" l="1"/>
  <c r="B48" i="12" l="1"/>
  <c r="B47" i="12"/>
  <c r="D35" i="12"/>
  <c r="D34" i="12"/>
  <c r="D33" i="12"/>
  <c r="D32" i="12"/>
  <c r="D31" i="12"/>
  <c r="D30" i="12"/>
  <c r="D29" i="12"/>
  <c r="D28" i="12"/>
  <c r="D27" i="12"/>
  <c r="D26" i="12"/>
  <c r="O12" i="12"/>
  <c r="N12" i="12"/>
  <c r="N8" i="12"/>
  <c r="H16" i="12"/>
  <c r="P13" i="11"/>
  <c r="D13" i="11"/>
  <c r="S27" i="11" s="1"/>
  <c r="D25" i="12"/>
  <c r="D36" i="12"/>
  <c r="K24" i="10"/>
  <c r="D37" i="12" s="1"/>
  <c r="K25" i="10"/>
  <c r="D38" i="12" s="1"/>
  <c r="S17" i="11" l="1"/>
  <c r="S24" i="11"/>
  <c r="S25" i="11" s="1"/>
  <c r="H17" i="12"/>
  <c r="M39" i="1" s="1"/>
  <c r="M38" i="1"/>
  <c r="D40" i="12"/>
  <c r="F25" i="12"/>
  <c r="M37" i="1" l="1"/>
  <c r="D14" i="12"/>
  <c r="F26" i="12"/>
  <c r="AB12" i="10"/>
  <c r="AB13" i="10"/>
  <c r="AB14" i="10"/>
  <c r="AB15" i="10"/>
  <c r="AB16" i="10"/>
  <c r="AB17" i="10"/>
  <c r="AB18" i="10"/>
  <c r="AB19" i="10"/>
  <c r="AB11" i="10"/>
  <c r="F27" i="12" l="1"/>
  <c r="W12" i="10"/>
  <c r="W13" i="10" s="1"/>
  <c r="F12" i="10"/>
  <c r="H13" i="10"/>
  <c r="B26" i="12" s="1"/>
  <c r="H14" i="10"/>
  <c r="B27" i="12" s="1"/>
  <c r="H15" i="10"/>
  <c r="B28" i="12" s="1"/>
  <c r="H16" i="10"/>
  <c r="B29" i="12" s="1"/>
  <c r="H17" i="10"/>
  <c r="B30" i="12" s="1"/>
  <c r="H18" i="10"/>
  <c r="B31" i="12" s="1"/>
  <c r="H19" i="10"/>
  <c r="B32" i="12" s="1"/>
  <c r="H20" i="10"/>
  <c r="B33" i="12" s="1"/>
  <c r="H21" i="10"/>
  <c r="B34" i="12" s="1"/>
  <c r="H22" i="10"/>
  <c r="B35" i="12" s="1"/>
  <c r="H23" i="10"/>
  <c r="B36" i="12" s="1"/>
  <c r="H24" i="10"/>
  <c r="B37" i="12" s="1"/>
  <c r="H25" i="10"/>
  <c r="B38" i="12" s="1"/>
  <c r="H26" i="10"/>
  <c r="B39" i="12" s="1"/>
  <c r="H12" i="10"/>
  <c r="B25" i="12" s="1"/>
  <c r="AF18" i="9"/>
  <c r="AF17" i="9"/>
  <c r="F28" i="12" l="1"/>
  <c r="N82" i="4"/>
  <c r="N80" i="4"/>
  <c r="N81" i="4"/>
  <c r="N79" i="4"/>
  <c r="K27" i="10"/>
  <c r="W14" i="10"/>
  <c r="F14" i="10"/>
  <c r="F13" i="10"/>
  <c r="F29" i="12" l="1"/>
  <c r="F15" i="10"/>
  <c r="W15" i="10"/>
  <c r="F30" i="12" l="1"/>
  <c r="F16" i="10"/>
  <c r="W16" i="10"/>
  <c r="F17" i="10" s="1"/>
  <c r="F31" i="12" l="1"/>
  <c r="W17" i="10"/>
  <c r="F18" i="10" s="1"/>
  <c r="F32" i="12" l="1"/>
  <c r="W18" i="10"/>
  <c r="F19" i="10" s="1"/>
  <c r="F33" i="12" l="1"/>
  <c r="W19" i="10"/>
  <c r="F20" i="10" s="1"/>
  <c r="F34" i="12" l="1"/>
  <c r="W20" i="10"/>
  <c r="F21" i="10" s="1"/>
  <c r="F35" i="12" l="1"/>
  <c r="W21" i="10"/>
  <c r="F22" i="10" s="1"/>
  <c r="F36" i="12" l="1"/>
  <c r="W22" i="10"/>
  <c r="F23" i="10" s="1"/>
  <c r="F37" i="12" l="1"/>
  <c r="W23" i="10"/>
  <c r="F24" i="10" s="1"/>
  <c r="F38" i="12" l="1"/>
  <c r="F39" i="12" s="1"/>
  <c r="W24" i="10"/>
  <c r="F25" i="10" s="1"/>
  <c r="W25" i="10" l="1"/>
  <c r="F26" i="10" s="1"/>
  <c r="J71" i="1" l="1"/>
  <c r="J72" i="1"/>
  <c r="J73" i="1"/>
  <c r="J74" i="1"/>
  <c r="J75" i="1"/>
  <c r="J76" i="1"/>
  <c r="M21" i="5"/>
  <c r="D15" i="12" s="1"/>
  <c r="M20" i="5"/>
  <c r="E113" i="4"/>
  <c r="F113" i="4"/>
  <c r="E114" i="4"/>
  <c r="F114" i="4"/>
  <c r="E115" i="4"/>
  <c r="F115" i="4"/>
  <c r="E116" i="4"/>
  <c r="F116" i="4"/>
  <c r="E117" i="4"/>
  <c r="F117" i="4"/>
  <c r="E118" i="4"/>
  <c r="F118" i="4"/>
  <c r="E119" i="4"/>
  <c r="F119" i="4"/>
  <c r="E120" i="4"/>
  <c r="F120" i="4"/>
  <c r="F112" i="4"/>
  <c r="E112" i="4"/>
  <c r="I133" i="4"/>
  <c r="AF16" i="9" l="1"/>
  <c r="S18" i="11"/>
  <c r="T27" i="16" l="1"/>
  <c r="T26" i="16"/>
  <c r="T28" i="16"/>
  <c r="T29" i="16"/>
  <c r="T25" i="16"/>
  <c r="T30" i="16"/>
  <c r="T31" i="16"/>
  <c r="T44" i="16"/>
  <c r="T33" i="16" l="1"/>
  <c r="T51" i="16"/>
  <c r="T42" i="16"/>
  <c r="T39" i="16"/>
  <c r="T47" i="16"/>
  <c r="T36" i="16"/>
  <c r="T35" i="16"/>
  <c r="T46" i="16"/>
  <c r="T34" i="16"/>
  <c r="T50" i="16"/>
  <c r="T43" i="16"/>
  <c r="T40" i="16"/>
  <c r="T48" i="16"/>
  <c r="T52" i="16"/>
  <c r="T49" i="16"/>
  <c r="T41" i="16"/>
  <c r="T37" i="16"/>
  <c r="T45" i="16"/>
  <c r="T32" i="16"/>
  <c r="T38" i="16"/>
  <c r="AZ4" i="5"/>
  <c r="AZ5" i="5" s="1"/>
  <c r="AZ6" i="5" s="1"/>
  <c r="AZ7" i="5" s="1"/>
  <c r="AZ8" i="5" s="1"/>
  <c r="AZ9" i="5" s="1"/>
  <c r="AZ10" i="5" s="1"/>
  <c r="AZ11" i="5" s="1"/>
  <c r="AZ12" i="5" s="1"/>
  <c r="AZ13" i="5" s="1"/>
  <c r="AZ14" i="5" s="1"/>
  <c r="AZ15" i="5" s="1"/>
  <c r="AZ16" i="5" s="1"/>
  <c r="AZ17" i="5" s="1"/>
  <c r="AZ18" i="5" s="1"/>
  <c r="AZ19" i="5" s="1"/>
  <c r="AZ20" i="5" s="1"/>
  <c r="AZ21" i="5" s="1"/>
  <c r="AZ22" i="5" s="1"/>
  <c r="AZ23" i="5" s="1"/>
  <c r="AZ24" i="5" s="1"/>
  <c r="AZ25" i="5" s="1"/>
  <c r="AZ26" i="5" s="1"/>
  <c r="AZ27" i="5" s="1"/>
  <c r="AZ28" i="5" s="1"/>
  <c r="AZ29" i="5" s="1"/>
  <c r="AZ30" i="5" s="1"/>
  <c r="AZ31" i="5" s="1"/>
  <c r="AZ32" i="5" s="1"/>
  <c r="AZ33" i="5" s="1"/>
  <c r="AZ34" i="5" s="1"/>
  <c r="AZ35" i="5" s="1"/>
  <c r="AZ36" i="5" s="1"/>
  <c r="AZ37" i="5" s="1"/>
  <c r="AZ38" i="5" s="1"/>
  <c r="AZ39" i="5" s="1"/>
  <c r="AZ40" i="5" s="1"/>
  <c r="AZ41" i="5" s="1"/>
  <c r="AZ42" i="5" s="1"/>
  <c r="AZ43" i="5" s="1"/>
  <c r="AZ44" i="5" s="1"/>
  <c r="AZ45" i="5" s="1"/>
  <c r="AZ46" i="5" s="1"/>
  <c r="AZ47" i="5" s="1"/>
  <c r="AZ48" i="5" s="1"/>
  <c r="AZ49" i="5" s="1"/>
  <c r="AZ50" i="5" s="1"/>
  <c r="AZ51" i="5" s="1"/>
  <c r="AZ52" i="5" s="1"/>
  <c r="AZ53" i="5" s="1"/>
  <c r="AZ54" i="5" s="1"/>
  <c r="AZ55" i="5" s="1"/>
  <c r="AZ56" i="5" s="1"/>
  <c r="AZ57" i="5" s="1"/>
  <c r="AZ58" i="5" s="1"/>
  <c r="AZ59" i="5" s="1"/>
  <c r="AZ60" i="5" s="1"/>
  <c r="AZ61" i="5" s="1"/>
  <c r="AZ62" i="5" s="1"/>
  <c r="AZ63" i="5" s="1"/>
  <c r="AZ64" i="5" s="1"/>
  <c r="AZ65" i="5" s="1"/>
  <c r="AZ66" i="5" s="1"/>
  <c r="AZ67" i="5" s="1"/>
  <c r="AZ68" i="5" s="1"/>
  <c r="AZ69" i="5" s="1"/>
  <c r="AZ70" i="5" s="1"/>
  <c r="AZ71" i="5" s="1"/>
  <c r="AZ72" i="5" s="1"/>
  <c r="AZ73" i="5" s="1"/>
  <c r="AZ74" i="5" s="1"/>
  <c r="AZ75" i="5" s="1"/>
  <c r="AZ76" i="5" s="1"/>
  <c r="AZ77" i="5" s="1"/>
  <c r="AZ78" i="5" s="1"/>
  <c r="AZ79" i="5" s="1"/>
  <c r="AZ80" i="5" s="1"/>
  <c r="AZ81" i="5" s="1"/>
  <c r="AZ82" i="5" s="1"/>
  <c r="AZ83" i="5" s="1"/>
  <c r="AZ84" i="5" s="1"/>
  <c r="AZ85" i="5" s="1"/>
  <c r="AZ86" i="5" s="1"/>
  <c r="AZ87" i="5" s="1"/>
  <c r="AZ88" i="5" s="1"/>
  <c r="AZ89" i="5" s="1"/>
  <c r="AZ90" i="5" s="1"/>
  <c r="AZ91" i="5" s="1"/>
  <c r="AZ92" i="5" s="1"/>
  <c r="AZ93" i="5" s="1"/>
  <c r="AZ94" i="5" s="1"/>
  <c r="AZ95" i="5" s="1"/>
  <c r="AZ96" i="5" s="1"/>
  <c r="AZ97" i="5" s="1"/>
  <c r="AZ98" i="5" s="1"/>
  <c r="AZ99" i="5" s="1"/>
  <c r="AZ100" i="5" s="1"/>
  <c r="AZ101" i="5" s="1"/>
  <c r="AZ102" i="5" s="1"/>
  <c r="AZ103" i="5" s="1"/>
  <c r="AZ104" i="5" s="1"/>
  <c r="AZ105" i="5" s="1"/>
  <c r="AZ106" i="5" s="1"/>
  <c r="AZ107" i="5" s="1"/>
  <c r="AZ108" i="5" s="1"/>
  <c r="AZ109" i="5" s="1"/>
  <c r="AZ110" i="5" s="1"/>
  <c r="AZ111" i="5" s="1"/>
  <c r="AZ112" i="5" s="1"/>
  <c r="AZ113" i="5" s="1"/>
  <c r="AZ114" i="5" s="1"/>
  <c r="AZ115" i="5" s="1"/>
  <c r="AZ116" i="5" s="1"/>
  <c r="AZ117" i="5" s="1"/>
  <c r="AZ118" i="5" s="1"/>
  <c r="AZ119" i="5" s="1"/>
  <c r="AZ120" i="5" s="1"/>
  <c r="AZ121" i="5" s="1"/>
  <c r="AZ122" i="5" s="1"/>
  <c r="AZ123" i="5" s="1"/>
  <c r="AZ124" i="5" s="1"/>
  <c r="AZ125" i="5" s="1"/>
  <c r="AZ126" i="5" s="1"/>
  <c r="AZ127" i="5" s="1"/>
  <c r="AZ128" i="5" s="1"/>
  <c r="AZ129" i="5" s="1"/>
  <c r="AZ130" i="5" s="1"/>
  <c r="AZ131" i="5" s="1"/>
  <c r="AZ132" i="5" s="1"/>
  <c r="AZ133" i="5" s="1"/>
  <c r="AZ134" i="5" s="1"/>
  <c r="AZ135" i="5" s="1"/>
  <c r="AZ136" i="5" s="1"/>
  <c r="AZ137" i="5" s="1"/>
  <c r="AZ138" i="5" s="1"/>
  <c r="AZ139" i="5" s="1"/>
  <c r="AZ140" i="5" s="1"/>
  <c r="AZ141" i="5" s="1"/>
  <c r="AZ142" i="5" s="1"/>
  <c r="AZ143" i="5" s="1"/>
  <c r="AZ144" i="5" s="1"/>
  <c r="AZ145" i="5" s="1"/>
  <c r="AZ146" i="5" s="1"/>
  <c r="AZ147" i="5" s="1"/>
  <c r="AZ148" i="5" s="1"/>
  <c r="AZ149" i="5" s="1"/>
  <c r="AZ150" i="5" s="1"/>
  <c r="AZ151" i="5" s="1"/>
  <c r="AZ152" i="5" s="1"/>
  <c r="AZ153" i="5" s="1"/>
  <c r="AZ154" i="5" s="1"/>
  <c r="AZ155" i="5" s="1"/>
  <c r="AZ156" i="5" s="1"/>
  <c r="AZ157" i="5" s="1"/>
  <c r="AZ158" i="5" s="1"/>
  <c r="AZ159" i="5" s="1"/>
  <c r="AZ160" i="5" s="1"/>
  <c r="AZ161" i="5" s="1"/>
  <c r="AZ162" i="5" s="1"/>
  <c r="AZ163" i="5" s="1"/>
  <c r="AT4" i="5"/>
  <c r="AT5" i="5" s="1"/>
  <c r="AT6" i="5" s="1"/>
  <c r="AT7" i="5" s="1"/>
  <c r="AT8" i="5" s="1"/>
  <c r="AT9" i="5" s="1"/>
  <c r="AT10" i="5" s="1"/>
  <c r="AT11" i="5" s="1"/>
  <c r="AT12" i="5" s="1"/>
  <c r="AT13" i="5" s="1"/>
  <c r="AT14" i="5" s="1"/>
  <c r="AT15" i="5" s="1"/>
  <c r="AT16" i="5" s="1"/>
  <c r="AT17" i="5" s="1"/>
  <c r="AT18" i="5" s="1"/>
  <c r="AT19" i="5" s="1"/>
  <c r="AT20" i="5" s="1"/>
  <c r="AT21" i="5" s="1"/>
  <c r="AT22" i="5" s="1"/>
  <c r="AT23" i="5" s="1"/>
  <c r="AT24" i="5" s="1"/>
  <c r="AT25" i="5" s="1"/>
  <c r="AT26" i="5" s="1"/>
  <c r="AT27" i="5" s="1"/>
  <c r="AT28" i="5" s="1"/>
  <c r="AT29" i="5" s="1"/>
  <c r="AT30" i="5" s="1"/>
  <c r="AT31" i="5" s="1"/>
  <c r="AT32" i="5" s="1"/>
  <c r="AT33" i="5" s="1"/>
  <c r="AT34" i="5" s="1"/>
  <c r="AT35" i="5" s="1"/>
  <c r="AT36" i="5" s="1"/>
  <c r="AT37" i="5" s="1"/>
  <c r="AT38" i="5" s="1"/>
  <c r="AT39" i="5" s="1"/>
  <c r="AT40" i="5" s="1"/>
  <c r="AT41" i="5" s="1"/>
  <c r="AT42" i="5" s="1"/>
  <c r="AT43" i="5" s="1"/>
  <c r="AT44" i="5" s="1"/>
  <c r="AT45" i="5" s="1"/>
  <c r="AT46" i="5" s="1"/>
  <c r="AT47" i="5" s="1"/>
  <c r="AT48" i="5" s="1"/>
  <c r="AT49" i="5" s="1"/>
  <c r="AT50" i="5" s="1"/>
  <c r="AT51" i="5" s="1"/>
  <c r="AT52" i="5" s="1"/>
  <c r="AT53" i="5" s="1"/>
  <c r="AT54" i="5" s="1"/>
  <c r="AT55" i="5" s="1"/>
  <c r="AT56" i="5" s="1"/>
  <c r="AT57" i="5" s="1"/>
  <c r="AT58" i="5" s="1"/>
  <c r="AT59" i="5" s="1"/>
  <c r="AT60" i="5" s="1"/>
  <c r="AT61" i="5" s="1"/>
  <c r="AT62" i="5" s="1"/>
  <c r="AT63" i="5" s="1"/>
  <c r="AT64" i="5" s="1"/>
  <c r="AT65" i="5" s="1"/>
  <c r="AT66" i="5" s="1"/>
  <c r="AT67" i="5" s="1"/>
  <c r="AT68" i="5" s="1"/>
  <c r="AT69" i="5" s="1"/>
  <c r="AT70" i="5" s="1"/>
  <c r="AT71" i="5" s="1"/>
  <c r="AT72" i="5" s="1"/>
  <c r="AT73" i="5" s="1"/>
  <c r="AT74" i="5" s="1"/>
  <c r="AT75" i="5" s="1"/>
  <c r="AT76" i="5" s="1"/>
  <c r="AT77" i="5" s="1"/>
  <c r="AT78" i="5" s="1"/>
  <c r="AT79" i="5" s="1"/>
  <c r="AT80" i="5" s="1"/>
  <c r="AT81" i="5" s="1"/>
  <c r="AT82" i="5" s="1"/>
  <c r="AT83" i="5" s="1"/>
  <c r="AT84" i="5" s="1"/>
  <c r="AT85" i="5" s="1"/>
  <c r="AT86" i="5" s="1"/>
  <c r="AT87" i="5" s="1"/>
  <c r="AT88" i="5" s="1"/>
  <c r="AT89" i="5" s="1"/>
  <c r="AT90" i="5" s="1"/>
  <c r="AT91" i="5" s="1"/>
  <c r="AT92" i="5" s="1"/>
  <c r="AT93" i="5" s="1"/>
  <c r="AT94" i="5" s="1"/>
  <c r="AT95" i="5" s="1"/>
  <c r="AT96" i="5" s="1"/>
  <c r="AT97" i="5" s="1"/>
  <c r="AT98" i="5" s="1"/>
  <c r="AT99" i="5" s="1"/>
  <c r="AT100" i="5" s="1"/>
  <c r="AT101" i="5" s="1"/>
  <c r="AT102" i="5" s="1"/>
  <c r="AT103" i="5" s="1"/>
  <c r="AT104" i="5" s="1"/>
  <c r="AT105" i="5" s="1"/>
  <c r="AT106" i="5" s="1"/>
  <c r="AT107" i="5" s="1"/>
  <c r="AT108" i="5" s="1"/>
  <c r="AT109" i="5" s="1"/>
  <c r="AT110" i="5" s="1"/>
  <c r="AT111" i="5" s="1"/>
  <c r="AT112" i="5" s="1"/>
  <c r="AT113" i="5" s="1"/>
  <c r="AT114" i="5" s="1"/>
  <c r="AT115" i="5" s="1"/>
  <c r="AT116" i="5" s="1"/>
  <c r="AT117" i="5" s="1"/>
  <c r="AT118" i="5" s="1"/>
  <c r="AT119" i="5" s="1"/>
  <c r="AT120" i="5" s="1"/>
  <c r="AT121" i="5" s="1"/>
  <c r="AT122" i="5" s="1"/>
  <c r="AT123" i="5" s="1"/>
  <c r="AT124" i="5" s="1"/>
  <c r="AT125" i="5" s="1"/>
  <c r="AT126" i="5" s="1"/>
  <c r="AT127" i="5" s="1"/>
  <c r="AT128" i="5" s="1"/>
  <c r="AT129" i="5" s="1"/>
  <c r="AT130" i="5" s="1"/>
  <c r="AT131" i="5" s="1"/>
  <c r="AT132" i="5" s="1"/>
  <c r="AT133" i="5" s="1"/>
  <c r="AT134" i="5" s="1"/>
  <c r="AT135" i="5" s="1"/>
  <c r="AT136" i="5" s="1"/>
  <c r="AT137" i="5" s="1"/>
  <c r="AT138" i="5" s="1"/>
  <c r="AT139" i="5" s="1"/>
  <c r="AT140" i="5" s="1"/>
  <c r="AT141" i="5" s="1"/>
  <c r="AT142" i="5" s="1"/>
  <c r="AT143" i="5" s="1"/>
  <c r="AT144" i="5" s="1"/>
  <c r="AT145" i="5" s="1"/>
  <c r="AT146" i="5" s="1"/>
  <c r="AT147" i="5" s="1"/>
  <c r="AT148" i="5" s="1"/>
  <c r="AT149" i="5" s="1"/>
  <c r="AT150" i="5" s="1"/>
  <c r="AT151" i="5" s="1"/>
  <c r="AT152" i="5" s="1"/>
  <c r="AT153" i="5" s="1"/>
  <c r="AT154" i="5" s="1"/>
  <c r="AT155" i="5" s="1"/>
  <c r="AT156" i="5" s="1"/>
  <c r="AT157" i="5" s="1"/>
  <c r="AT158" i="5" s="1"/>
  <c r="AT159" i="5" s="1"/>
  <c r="AT160" i="5" s="1"/>
  <c r="AT161" i="5" s="1"/>
  <c r="AT162" i="5" s="1"/>
  <c r="AT163" i="5" s="1"/>
  <c r="AP4" i="5"/>
  <c r="AP5" i="5" s="1"/>
  <c r="AP6" i="5" s="1"/>
  <c r="AP7" i="5" s="1"/>
  <c r="AP8" i="5" s="1"/>
  <c r="AP9" i="5" s="1"/>
  <c r="AP10" i="5" s="1"/>
  <c r="AP11" i="5" s="1"/>
  <c r="AP12" i="5" s="1"/>
  <c r="AP13" i="5" s="1"/>
  <c r="AP14" i="5" s="1"/>
  <c r="AP15" i="5" s="1"/>
  <c r="AP16" i="5" s="1"/>
  <c r="AP17" i="5" s="1"/>
  <c r="AP18" i="5" s="1"/>
  <c r="AP19" i="5" s="1"/>
  <c r="AP20" i="5" s="1"/>
  <c r="AP21" i="5" s="1"/>
  <c r="AP22" i="5" s="1"/>
  <c r="AP23" i="5" s="1"/>
  <c r="AP24" i="5" s="1"/>
  <c r="AP25" i="5" s="1"/>
  <c r="AP26" i="5" s="1"/>
  <c r="AP27" i="5" s="1"/>
  <c r="AP28" i="5" s="1"/>
  <c r="AP29" i="5" s="1"/>
  <c r="AP30" i="5" s="1"/>
  <c r="AP31" i="5" s="1"/>
  <c r="AP32" i="5" s="1"/>
  <c r="AP33" i="5" s="1"/>
  <c r="AP34" i="5" s="1"/>
  <c r="AP35" i="5" s="1"/>
  <c r="AP36" i="5" s="1"/>
  <c r="AP37" i="5" s="1"/>
  <c r="AP38" i="5" s="1"/>
  <c r="AP39" i="5" s="1"/>
  <c r="AP40" i="5" s="1"/>
  <c r="AP41" i="5" s="1"/>
  <c r="AP42" i="5" s="1"/>
  <c r="AP43" i="5" s="1"/>
  <c r="AP44" i="5" s="1"/>
  <c r="AP45" i="5" s="1"/>
  <c r="AP46" i="5" s="1"/>
  <c r="AP47" i="5" s="1"/>
  <c r="AP48" i="5" s="1"/>
  <c r="AP49" i="5" s="1"/>
  <c r="AP50" i="5" s="1"/>
  <c r="AP51" i="5" s="1"/>
  <c r="AP52" i="5" s="1"/>
  <c r="AP53" i="5" s="1"/>
  <c r="AP54" i="5" s="1"/>
  <c r="AP55" i="5" s="1"/>
  <c r="AP56" i="5" s="1"/>
  <c r="AP57" i="5" s="1"/>
  <c r="AP58" i="5" s="1"/>
  <c r="AP59" i="5" s="1"/>
  <c r="AP60" i="5" s="1"/>
  <c r="AP61" i="5" s="1"/>
  <c r="AP62" i="5" s="1"/>
  <c r="AP63" i="5" s="1"/>
  <c r="AP64" i="5" s="1"/>
  <c r="AP65" i="5" s="1"/>
  <c r="AP66" i="5" s="1"/>
  <c r="AP67" i="5" s="1"/>
  <c r="AP68" i="5" s="1"/>
  <c r="AP69" i="5" s="1"/>
  <c r="AP70" i="5" s="1"/>
  <c r="AP71" i="5" s="1"/>
  <c r="AP72" i="5" s="1"/>
  <c r="AP73" i="5" s="1"/>
  <c r="AP74" i="5" s="1"/>
  <c r="AP75" i="5" s="1"/>
  <c r="AP76" i="5" s="1"/>
  <c r="AP77" i="5" s="1"/>
  <c r="AP78" i="5" s="1"/>
  <c r="AP79" i="5" s="1"/>
  <c r="AP80" i="5" s="1"/>
  <c r="AP81" i="5" s="1"/>
  <c r="AP82" i="5" s="1"/>
  <c r="AP83" i="5" s="1"/>
  <c r="AP84" i="5" s="1"/>
  <c r="AP85" i="5" s="1"/>
  <c r="AP86" i="5" s="1"/>
  <c r="AP87" i="5" s="1"/>
  <c r="AP88" i="5" s="1"/>
  <c r="AP89" i="5" s="1"/>
  <c r="AP90" i="5" s="1"/>
  <c r="AP91" i="5" s="1"/>
  <c r="AP92" i="5" s="1"/>
  <c r="AP93" i="5" s="1"/>
  <c r="AP94" i="5" s="1"/>
  <c r="AP95" i="5" s="1"/>
  <c r="AP96" i="5" s="1"/>
  <c r="AP97" i="5" s="1"/>
  <c r="AP98" i="5" s="1"/>
  <c r="AP99" i="5" s="1"/>
  <c r="AP100" i="5" s="1"/>
  <c r="AP101" i="5" s="1"/>
  <c r="AP102" i="5" s="1"/>
  <c r="AP103" i="5" s="1"/>
  <c r="AP104" i="5" s="1"/>
  <c r="AP105" i="5" s="1"/>
  <c r="AP106" i="5" s="1"/>
  <c r="AP107" i="5" s="1"/>
  <c r="AP108" i="5" s="1"/>
  <c r="AP109" i="5" s="1"/>
  <c r="AP110" i="5" s="1"/>
  <c r="AP111" i="5" s="1"/>
  <c r="AP112" i="5" s="1"/>
  <c r="AP113" i="5" s="1"/>
  <c r="AP114" i="5" s="1"/>
  <c r="AP115" i="5" s="1"/>
  <c r="AP116" i="5" s="1"/>
  <c r="AP117" i="5" s="1"/>
  <c r="AP118" i="5" s="1"/>
  <c r="AP119" i="5" s="1"/>
  <c r="AP120" i="5" s="1"/>
  <c r="AP121" i="5" s="1"/>
  <c r="AP122" i="5" s="1"/>
  <c r="AP123" i="5" s="1"/>
  <c r="AP124" i="5" s="1"/>
  <c r="AP125" i="5" s="1"/>
  <c r="AP126" i="5" s="1"/>
  <c r="AP127" i="5" s="1"/>
  <c r="AP128" i="5" s="1"/>
  <c r="AP129" i="5" s="1"/>
  <c r="AP130" i="5" s="1"/>
  <c r="AP131" i="5" s="1"/>
  <c r="AP132" i="5" s="1"/>
  <c r="AP133" i="5" s="1"/>
  <c r="AP134" i="5" s="1"/>
  <c r="AP135" i="5" s="1"/>
  <c r="AP136" i="5" s="1"/>
  <c r="AP137" i="5" s="1"/>
  <c r="AP138" i="5" s="1"/>
  <c r="AP139" i="5" s="1"/>
  <c r="AP140" i="5" s="1"/>
  <c r="AP141" i="5" s="1"/>
  <c r="AP142" i="5" s="1"/>
  <c r="AP143" i="5" s="1"/>
  <c r="AP144" i="5" s="1"/>
  <c r="AP145" i="5" s="1"/>
  <c r="AP146" i="5" s="1"/>
  <c r="AP147" i="5" s="1"/>
  <c r="AP148" i="5" s="1"/>
  <c r="AP149" i="5" s="1"/>
  <c r="AP150" i="5" s="1"/>
  <c r="AP151" i="5" s="1"/>
  <c r="AP152" i="5" s="1"/>
  <c r="AP153" i="5" s="1"/>
  <c r="AP154" i="5" s="1"/>
  <c r="AP155" i="5" s="1"/>
  <c r="AP156" i="5" s="1"/>
  <c r="AP157" i="5" s="1"/>
  <c r="AP158" i="5" s="1"/>
  <c r="AP159" i="5" s="1"/>
  <c r="AP160" i="5" s="1"/>
  <c r="AP161" i="5" s="1"/>
  <c r="AP162" i="5" s="1"/>
  <c r="AP163" i="5" s="1"/>
  <c r="F17" i="5" l="1"/>
  <c r="F16" i="5"/>
  <c r="BA1" i="5" s="1"/>
  <c r="AI15" i="5"/>
  <c r="AI6" i="5"/>
  <c r="AF20" i="5"/>
  <c r="AD20" i="5"/>
  <c r="AB20" i="5"/>
  <c r="Z20" i="5"/>
  <c r="AF19" i="5"/>
  <c r="AD19" i="5"/>
  <c r="AB19" i="5"/>
  <c r="Z19" i="5"/>
  <c r="AF18" i="5"/>
  <c r="AD18" i="5"/>
  <c r="AB18" i="5"/>
  <c r="Z18" i="5"/>
  <c r="AF17" i="5"/>
  <c r="AD17" i="5"/>
  <c r="AB17" i="5"/>
  <c r="Z17" i="5"/>
  <c r="AF16" i="5"/>
  <c r="AD16" i="5"/>
  <c r="AB16" i="5"/>
  <c r="Z16" i="5"/>
  <c r="Y15" i="5"/>
  <c r="Z15" i="5" s="1"/>
  <c r="AA15" i="5" s="1"/>
  <c r="AB15" i="5" s="1"/>
  <c r="AC15" i="5" s="1"/>
  <c r="AD15" i="5" s="1"/>
  <c r="AE15" i="5" s="1"/>
  <c r="AF15" i="5" s="1"/>
  <c r="AG15" i="5" s="1"/>
  <c r="AF11" i="5"/>
  <c r="AD11" i="5"/>
  <c r="AB11" i="5"/>
  <c r="Z11" i="5"/>
  <c r="AF10" i="5"/>
  <c r="AD10" i="5"/>
  <c r="AB10" i="5"/>
  <c r="Z10" i="5"/>
  <c r="AF9" i="5"/>
  <c r="AD9" i="5"/>
  <c r="AB9" i="5"/>
  <c r="Z9" i="5"/>
  <c r="AF8" i="5"/>
  <c r="AD8" i="5"/>
  <c r="AB8" i="5"/>
  <c r="Z8" i="5"/>
  <c r="AF7" i="5"/>
  <c r="AD7" i="5"/>
  <c r="AB7" i="5"/>
  <c r="Z7" i="5"/>
  <c r="Y6" i="5"/>
  <c r="Z6" i="5" s="1"/>
  <c r="AA6" i="5" s="1"/>
  <c r="AB6" i="5" s="1"/>
  <c r="AC6" i="5" s="1"/>
  <c r="AD6" i="5" s="1"/>
  <c r="AE6" i="5" s="1"/>
  <c r="AF6" i="5" s="1"/>
  <c r="AG6" i="5" s="1"/>
  <c r="M145" i="4"/>
  <c r="M148" i="4"/>
  <c r="M33" i="1" s="1"/>
  <c r="C123" i="4"/>
  <c r="N97" i="4"/>
  <c r="O81" i="4"/>
  <c r="O80" i="4"/>
  <c r="O79" i="4"/>
  <c r="O78" i="4"/>
  <c r="O77" i="4"/>
  <c r="O76" i="4"/>
  <c r="O75" i="4"/>
  <c r="C96" i="4"/>
  <c r="O74" i="4"/>
  <c r="C84" i="4"/>
  <c r="Q52" i="4"/>
  <c r="F52" i="4"/>
  <c r="P33" i="4"/>
  <c r="G33" i="4"/>
  <c r="P32" i="4"/>
  <c r="G32" i="4"/>
  <c r="N18" i="4"/>
  <c r="N17" i="4"/>
  <c r="AF24" i="5" l="1"/>
  <c r="AF25" i="5"/>
  <c r="M146" i="4"/>
  <c r="AI7" i="5"/>
  <c r="AI10" i="5"/>
  <c r="AI9" i="5"/>
  <c r="AI11" i="5"/>
  <c r="AE24" i="5" s="1"/>
  <c r="AI8" i="5"/>
  <c r="N19" i="4"/>
  <c r="R38" i="4"/>
  <c r="R39" i="4" s="1"/>
  <c r="AG25" i="5"/>
  <c r="AH77" i="5" s="1"/>
  <c r="N31" i="1" s="1"/>
  <c r="AG24" i="5"/>
  <c r="AH76" i="5" s="1"/>
  <c r="N30" i="1" s="1"/>
  <c r="AM8" i="5"/>
  <c r="AN8" i="5"/>
  <c r="AH79" i="5" s="1"/>
  <c r="AM9" i="5"/>
  <c r="AN9" i="5"/>
  <c r="AH80" i="5" s="1"/>
  <c r="H38" i="4"/>
  <c r="H39" i="4" s="1"/>
  <c r="M23" i="5" l="1"/>
  <c r="M29" i="1" s="1"/>
  <c r="AK23" i="5"/>
  <c r="I19" i="4"/>
  <c r="M147" i="4" s="1"/>
  <c r="P147" i="4" s="1"/>
  <c r="M32" i="1"/>
  <c r="P146" i="4"/>
  <c r="P150" i="4" l="1"/>
  <c r="M150" i="4"/>
  <c r="M31" i="1"/>
  <c r="M35" i="1" l="1"/>
  <c r="H60" i="12"/>
  <c r="M36" i="1"/>
  <c r="H61" i="12"/>
  <c r="L14" i="1"/>
  <c r="F18" i="5" s="1"/>
  <c r="J70" i="1"/>
  <c r="S70" i="1"/>
  <c r="M28" i="1" l="1"/>
  <c r="AV36" i="5"/>
  <c r="AV100" i="5"/>
  <c r="AV38" i="5"/>
  <c r="AV102" i="5"/>
  <c r="AV39" i="5"/>
  <c r="AV103" i="5"/>
  <c r="AV40" i="5"/>
  <c r="AV104" i="5"/>
  <c r="AV41" i="5"/>
  <c r="AV105" i="5"/>
  <c r="AV35" i="5"/>
  <c r="AV99" i="5"/>
  <c r="AV163" i="5"/>
  <c r="AV162" i="5"/>
  <c r="AV138" i="5"/>
  <c r="AV114" i="5"/>
  <c r="AV154" i="5"/>
  <c r="AV3" i="5"/>
  <c r="AV31" i="5"/>
  <c r="AV33" i="5"/>
  <c r="AV13" i="5"/>
  <c r="AV6" i="5"/>
  <c r="AV8" i="5"/>
  <c r="AV18" i="5"/>
  <c r="AV28" i="5"/>
  <c r="AV44" i="5"/>
  <c r="AV108" i="5"/>
  <c r="AV46" i="5"/>
  <c r="AV110" i="5"/>
  <c r="AV47" i="5"/>
  <c r="AV111" i="5"/>
  <c r="AV48" i="5"/>
  <c r="AV112" i="5"/>
  <c r="AV49" i="5"/>
  <c r="AV113" i="5"/>
  <c r="AV43" i="5"/>
  <c r="AV107" i="5"/>
  <c r="AV61" i="5"/>
  <c r="AV37" i="5"/>
  <c r="AV45" i="5"/>
  <c r="AV146" i="5"/>
  <c r="AV11" i="5"/>
  <c r="AV58" i="5"/>
  <c r="AV52" i="5"/>
  <c r="AV116" i="5"/>
  <c r="AV54" i="5"/>
  <c r="AV118" i="5"/>
  <c r="AV55" i="5"/>
  <c r="AV119" i="5"/>
  <c r="AV56" i="5"/>
  <c r="AV120" i="5"/>
  <c r="AV57" i="5"/>
  <c r="AV121" i="5"/>
  <c r="AV51" i="5"/>
  <c r="AV115" i="5"/>
  <c r="AV93" i="5"/>
  <c r="AV69" i="5"/>
  <c r="AV77" i="5"/>
  <c r="AV122" i="5"/>
  <c r="AU19" i="5"/>
  <c r="AV14" i="5"/>
  <c r="AV16" i="5"/>
  <c r="AV19" i="5"/>
  <c r="AV26" i="5"/>
  <c r="AV9" i="5"/>
  <c r="AV159" i="5"/>
  <c r="AV106" i="5"/>
  <c r="AV10" i="5"/>
  <c r="AV60" i="5"/>
  <c r="AV124" i="5"/>
  <c r="AV62" i="5"/>
  <c r="AV126" i="5"/>
  <c r="AV63" i="5"/>
  <c r="AV127" i="5"/>
  <c r="AV64" i="5"/>
  <c r="AV128" i="5"/>
  <c r="AV65" i="5"/>
  <c r="AV129" i="5"/>
  <c r="AV59" i="5"/>
  <c r="AV123" i="5"/>
  <c r="AV125" i="5"/>
  <c r="AV101" i="5"/>
  <c r="AV109" i="5"/>
  <c r="AV53" i="5"/>
  <c r="AU21" i="5"/>
  <c r="AV22" i="5"/>
  <c r="AV24" i="5"/>
  <c r="AV27" i="5"/>
  <c r="AV21" i="5"/>
  <c r="AV7" i="5"/>
  <c r="AV95" i="5"/>
  <c r="AV91" i="5"/>
  <c r="AV82" i="5"/>
  <c r="AV68" i="5"/>
  <c r="AV132" i="5"/>
  <c r="AV70" i="5"/>
  <c r="AV134" i="5"/>
  <c r="AV71" i="5"/>
  <c r="AV135" i="5"/>
  <c r="AV72" i="5"/>
  <c r="AV136" i="5"/>
  <c r="AV73" i="5"/>
  <c r="AV137" i="5"/>
  <c r="AV67" i="5"/>
  <c r="AV131" i="5"/>
  <c r="AV157" i="5"/>
  <c r="AV133" i="5"/>
  <c r="AV141" i="5"/>
  <c r="AV85" i="5"/>
  <c r="AU23" i="5"/>
  <c r="AU22" i="5"/>
  <c r="AV4" i="5"/>
  <c r="AV30" i="5"/>
  <c r="AV32" i="5"/>
  <c r="AV29" i="5"/>
  <c r="AV34" i="5"/>
  <c r="AV97" i="5"/>
  <c r="AV25" i="5"/>
  <c r="AV76" i="5"/>
  <c r="AV140" i="5"/>
  <c r="AV78" i="5"/>
  <c r="AV142" i="5"/>
  <c r="AV79" i="5"/>
  <c r="AV143" i="5"/>
  <c r="AV80" i="5"/>
  <c r="AV144" i="5"/>
  <c r="AV81" i="5"/>
  <c r="AV145" i="5"/>
  <c r="AV75" i="5"/>
  <c r="AV139" i="5"/>
  <c r="AV66" i="5"/>
  <c r="AV42" i="5"/>
  <c r="AV90" i="5"/>
  <c r="AV117" i="5"/>
  <c r="AU18" i="5"/>
  <c r="AV12" i="5"/>
  <c r="AV160" i="5"/>
  <c r="AV130" i="5"/>
  <c r="AV84" i="5"/>
  <c r="AV148" i="5"/>
  <c r="AV86" i="5"/>
  <c r="AV150" i="5"/>
  <c r="AV87" i="5"/>
  <c r="AV151" i="5"/>
  <c r="AV88" i="5"/>
  <c r="AV152" i="5"/>
  <c r="AV89" i="5"/>
  <c r="AV153" i="5"/>
  <c r="AV83" i="5"/>
  <c r="AV147" i="5"/>
  <c r="AV98" i="5"/>
  <c r="AV74" i="5"/>
  <c r="AV50" i="5"/>
  <c r="AV149" i="5"/>
  <c r="AU20" i="5"/>
  <c r="AV20" i="5"/>
  <c r="AV15" i="5"/>
  <c r="AV17" i="5"/>
  <c r="AV5" i="5"/>
  <c r="AV92" i="5"/>
  <c r="AV156" i="5"/>
  <c r="AV94" i="5"/>
  <c r="AV158" i="5"/>
  <c r="AV96" i="5"/>
  <c r="AV161" i="5"/>
  <c r="AV155" i="5"/>
  <c r="AV23" i="5"/>
  <c r="AU17" i="5"/>
  <c r="AW17" i="5" s="1"/>
  <c r="AU10" i="5"/>
  <c r="AU14" i="5"/>
  <c r="AU3" i="5"/>
  <c r="AW3" i="5" s="1"/>
  <c r="AU16" i="5"/>
  <c r="AW16" i="5" s="1"/>
  <c r="AU11" i="5"/>
  <c r="AU4" i="5"/>
  <c r="AU15" i="5"/>
  <c r="AU8" i="5"/>
  <c r="AW8" i="5" s="1"/>
  <c r="AU5" i="5"/>
  <c r="AU6" i="5"/>
  <c r="AU13" i="5"/>
  <c r="AU9" i="5"/>
  <c r="AU7" i="5"/>
  <c r="AU12" i="5"/>
  <c r="AW10" i="5" l="1"/>
  <c r="AW13" i="5"/>
  <c r="AW14" i="5"/>
  <c r="AW6" i="5"/>
  <c r="AW4" i="5"/>
  <c r="AW22" i="5"/>
  <c r="M22" i="5"/>
  <c r="F60" i="12"/>
  <c r="F61" i="12" s="1"/>
  <c r="AW12" i="5"/>
  <c r="AW7" i="5"/>
  <c r="AW9" i="5"/>
  <c r="AW18" i="5"/>
  <c r="AW5" i="5"/>
  <c r="AW19" i="5"/>
  <c r="AW11" i="5"/>
  <c r="AW20" i="5"/>
  <c r="AW23" i="5"/>
  <c r="AW21" i="5"/>
  <c r="AW15" i="5"/>
  <c r="X53" i="5" l="1"/>
  <c r="AA53" i="5" l="1"/>
  <c r="T23" i="16"/>
  <c r="CM26" i="34" l="1"/>
  <c r="CO26" i="34" s="1"/>
  <c r="CN25" i="34"/>
  <c r="CO25" i="34" s="1"/>
  <c r="CM23" i="34"/>
  <c r="CO23" i="34" s="1"/>
  <c r="Z25" i="34"/>
  <c r="Z20" i="34"/>
  <c r="AJ15" i="34"/>
  <c r="S53" i="34"/>
  <c r="BI15" i="34"/>
  <c r="BJ15" i="34" s="1"/>
  <c r="DA15" i="34" s="1"/>
  <c r="CY15" i="34"/>
  <c r="BM53" i="34"/>
  <c r="BO53" i="34" s="1"/>
  <c r="BP53" i="34" s="1"/>
  <c r="X15" i="34"/>
  <c r="AW15" i="34"/>
  <c r="X17" i="34"/>
  <c r="AJ17" i="34"/>
  <c r="S55" i="34"/>
  <c r="BI17" i="34"/>
  <c r="BJ17" i="34" s="1"/>
  <c r="DA17" i="34" s="1"/>
  <c r="CY17" i="34"/>
  <c r="BM55" i="34"/>
  <c r="BO55" i="34" s="1"/>
  <c r="BP55" i="34" s="1"/>
  <c r="AW17" i="34"/>
  <c r="BJ20" i="34"/>
  <c r="DA20" i="34" s="1"/>
  <c r="BI20" i="34"/>
  <c r="BM58" i="34"/>
  <c r="BO58" i="34" s="1"/>
  <c r="BP58" i="34" s="1"/>
  <c r="CY20" i="34"/>
  <c r="S58" i="34"/>
  <c r="X20" i="34"/>
  <c r="AJ20" i="34"/>
  <c r="AW20" i="34"/>
  <c r="CY24" i="34"/>
  <c r="X24" i="34"/>
  <c r="AJ24" i="34"/>
  <c r="BI24" i="34"/>
  <c r="BJ24" i="34" s="1"/>
  <c r="DA24" i="34" s="1"/>
  <c r="BM62" i="34"/>
  <c r="BO62" i="34" s="1"/>
  <c r="BP62" i="34" s="1"/>
  <c r="S62" i="34"/>
  <c r="AW24" i="34"/>
  <c r="BI25" i="34"/>
  <c r="BJ25" i="34" s="1"/>
  <c r="DA25" i="34" s="1"/>
  <c r="CY25" i="34"/>
  <c r="BO63" i="34"/>
  <c r="BP63" i="34" s="1"/>
  <c r="BM63" i="34"/>
  <c r="X25" i="34"/>
  <c r="AJ25" i="34"/>
  <c r="S63" i="34"/>
  <c r="AW25" i="34"/>
  <c r="CY16" i="34"/>
  <c r="S54" i="34"/>
  <c r="X16" i="34"/>
  <c r="AJ16" i="34"/>
  <c r="BI16" i="34"/>
  <c r="BJ16" i="34" s="1"/>
  <c r="DA16" i="34" s="1"/>
  <c r="BM54" i="34"/>
  <c r="BO54" i="34" s="1"/>
  <c r="BP54" i="34" s="1"/>
  <c r="AW16" i="34"/>
  <c r="CY18" i="34"/>
  <c r="S56" i="34"/>
  <c r="X18" i="34"/>
  <c r="AJ18" i="34"/>
  <c r="BI18" i="34"/>
  <c r="BJ18" i="34" s="1"/>
  <c r="DA18" i="34" s="1"/>
  <c r="BM56" i="34"/>
  <c r="BO56" i="34" s="1"/>
  <c r="BP56" i="34" s="1"/>
  <c r="AW18" i="34"/>
  <c r="CY22" i="34"/>
  <c r="BI22" i="34"/>
  <c r="BJ22" i="34" s="1"/>
  <c r="DA22" i="34" s="1"/>
  <c r="BM60" i="34"/>
  <c r="BO60" i="34" s="1"/>
  <c r="BP60" i="34" s="1"/>
  <c r="S60" i="34"/>
  <c r="X22" i="34"/>
  <c r="AJ22" i="34"/>
  <c r="AW22" i="34"/>
  <c r="BM59" i="34"/>
  <c r="BO59" i="34" s="1"/>
  <c r="BP59" i="34" s="1"/>
  <c r="X21" i="34"/>
  <c r="AJ21" i="34"/>
  <c r="S59" i="34"/>
  <c r="CY21" i="34"/>
  <c r="AW21" i="34"/>
  <c r="X19" i="34"/>
  <c r="AJ19" i="34"/>
  <c r="S57" i="34"/>
  <c r="BI19" i="34"/>
  <c r="BJ19" i="34" s="1"/>
  <c r="DA19" i="34" s="1"/>
  <c r="CY19" i="34"/>
  <c r="BM57" i="34"/>
  <c r="BO57" i="34" s="1"/>
  <c r="BP57" i="34" s="1"/>
  <c r="AW19" i="34"/>
  <c r="X26" i="34"/>
  <c r="N64" i="34" s="1"/>
  <c r="AG64" i="34" s="1"/>
  <c r="AH64" i="34" s="1"/>
  <c r="AL26" i="34" s="1"/>
  <c r="AJ26" i="34"/>
  <c r="BI26" i="34"/>
  <c r="BJ26" i="34" s="1"/>
  <c r="DA26" i="34" s="1"/>
  <c r="BM64" i="34"/>
  <c r="BO64" i="34" s="1"/>
  <c r="BP64" i="34" s="1"/>
  <c r="CY26" i="34"/>
  <c r="S64" i="34"/>
  <c r="AW26" i="34"/>
  <c r="BM61" i="34"/>
  <c r="BO61" i="34" s="1"/>
  <c r="BP61" i="34" s="1"/>
  <c r="X23" i="34"/>
  <c r="CY23" i="34"/>
  <c r="AJ23" i="34"/>
  <c r="S61" i="34"/>
  <c r="BI23" i="34"/>
  <c r="BJ23" i="34" s="1"/>
  <c r="DA23" i="34" s="1"/>
  <c r="AW23" i="34"/>
  <c r="BI21" i="34"/>
  <c r="BJ21" i="34" s="1"/>
  <c r="DA21" i="34" s="1"/>
  <c r="O104" i="34"/>
  <c r="S105" i="34" s="1"/>
  <c r="W21" i="34"/>
  <c r="W17" i="34"/>
  <c r="N55" i="34" s="1"/>
  <c r="AG55" i="34" s="1"/>
  <c r="AH55" i="34" s="1"/>
  <c r="AL17" i="34" s="1"/>
  <c r="W23" i="34"/>
  <c r="W20" i="34"/>
  <c r="N58" i="34" s="1"/>
  <c r="W18" i="34"/>
  <c r="W26" i="34"/>
  <c r="W22" i="34"/>
  <c r="W19" i="34"/>
  <c r="W24" i="34"/>
  <c r="W16" i="34"/>
  <c r="W25" i="34"/>
  <c r="W15" i="34"/>
  <c r="N60" i="34" l="1"/>
  <c r="AD22" i="34" s="1"/>
  <c r="AF22" i="34" s="1"/>
  <c r="N59" i="34"/>
  <c r="AI59" i="34" s="1"/>
  <c r="AJ59" i="34" s="1"/>
  <c r="AM21" i="34" s="1"/>
  <c r="AD21" i="34"/>
  <c r="AF21" i="34" s="1"/>
  <c r="N63" i="34"/>
  <c r="AS63" i="34" s="1"/>
  <c r="N56" i="34"/>
  <c r="AG56" i="34" s="1"/>
  <c r="AH56" i="34" s="1"/>
  <c r="AL18" i="34" s="1"/>
  <c r="BA17" i="34"/>
  <c r="BB17" i="34" s="1"/>
  <c r="BC17" i="34" s="1"/>
  <c r="BD17" i="34" s="1"/>
  <c r="BK17" i="34" s="1"/>
  <c r="N53" i="34"/>
  <c r="AG53" i="34" s="1"/>
  <c r="AH53" i="34" s="1"/>
  <c r="AL15" i="34" s="1"/>
  <c r="N54" i="34"/>
  <c r="AI54" i="34" s="1"/>
  <c r="AJ54" i="34" s="1"/>
  <c r="AM16" i="34" s="1"/>
  <c r="AD17" i="34"/>
  <c r="AF17" i="34" s="1"/>
  <c r="AE18" i="34"/>
  <c r="AG18" i="34" s="1"/>
  <c r="AO18" i="34"/>
  <c r="AS18" i="34" s="1"/>
  <c r="AT18" i="34" s="1"/>
  <c r="BA59" i="34"/>
  <c r="BB59" i="34" s="1"/>
  <c r="BC59" i="34" s="1"/>
  <c r="BD59" i="34" s="1"/>
  <c r="BH59" i="34" s="1"/>
  <c r="CL17" i="34"/>
  <c r="CN17" i="34" s="1"/>
  <c r="BA22" i="34"/>
  <c r="BB22" i="34" s="1"/>
  <c r="BC22" i="34" s="1"/>
  <c r="BD22" i="34" s="1"/>
  <c r="BK22" i="34" s="1"/>
  <c r="AU17" i="34"/>
  <c r="AG63" i="34"/>
  <c r="AH63" i="34" s="1"/>
  <c r="AL25" i="34" s="1"/>
  <c r="N62" i="34"/>
  <c r="AG62" i="34" s="1"/>
  <c r="AH62" i="34" s="1"/>
  <c r="AL24" i="34" s="1"/>
  <c r="N61" i="34"/>
  <c r="AS61" i="34" s="1"/>
  <c r="BO25" i="34"/>
  <c r="AE25" i="34"/>
  <c r="AG25" i="34" s="1"/>
  <c r="BA25" i="34"/>
  <c r="BB25" i="34" s="1"/>
  <c r="BC25" i="34" s="1"/>
  <c r="BD25" i="34" s="1"/>
  <c r="S107" i="34"/>
  <c r="S118" i="34"/>
  <c r="S108" i="34"/>
  <c r="S112" i="34"/>
  <c r="AI58" i="34"/>
  <c r="AJ58" i="34" s="1"/>
  <c r="AM20" i="34" s="1"/>
  <c r="AB20" i="34"/>
  <c r="AE20" i="34"/>
  <c r="AG20" i="34" s="1"/>
  <c r="BO20" i="34"/>
  <c r="AS58" i="34"/>
  <c r="BS58" i="34"/>
  <c r="AV20" i="34"/>
  <c r="AG58" i="34"/>
  <c r="AH58" i="34" s="1"/>
  <c r="AL20" i="34" s="1"/>
  <c r="BA58" i="34"/>
  <c r="BB58" i="34" s="1"/>
  <c r="BC58" i="34" s="1"/>
  <c r="BD58" i="34" s="1"/>
  <c r="AO20" i="34"/>
  <c r="AS20" i="34" s="1"/>
  <c r="AT20" i="34" s="1"/>
  <c r="AD20" i="34"/>
  <c r="CL20" i="34"/>
  <c r="AU20" i="34"/>
  <c r="BA20" i="34"/>
  <c r="BB20" i="34" s="1"/>
  <c r="BC20" i="34" s="1"/>
  <c r="BD20" i="34" s="1"/>
  <c r="BO26" i="34"/>
  <c r="AU26" i="34"/>
  <c r="BS64" i="34"/>
  <c r="AI64" i="34"/>
  <c r="AJ64" i="34" s="1"/>
  <c r="AM26" i="34" s="1"/>
  <c r="AB26" i="34"/>
  <c r="CL26" i="34"/>
  <c r="BA26" i="34"/>
  <c r="BB26" i="34" s="1"/>
  <c r="BC26" i="34" s="1"/>
  <c r="BD26" i="34" s="1"/>
  <c r="AS64" i="34"/>
  <c r="AE26" i="34"/>
  <c r="AG26" i="34" s="1"/>
  <c r="AD26" i="34"/>
  <c r="AO26" i="34"/>
  <c r="AS26" i="34" s="1"/>
  <c r="AT26" i="34" s="1"/>
  <c r="BA64" i="34"/>
  <c r="BB64" i="34" s="1"/>
  <c r="BC64" i="34" s="1"/>
  <c r="BD64" i="34" s="1"/>
  <c r="AV26" i="34"/>
  <c r="CB21" i="34"/>
  <c r="CC21" i="34" s="1"/>
  <c r="AO21" i="34"/>
  <c r="AS21" i="34" s="1"/>
  <c r="AT21" i="34" s="1"/>
  <c r="BA21" i="34"/>
  <c r="BB21" i="34" s="1"/>
  <c r="BC21" i="34" s="1"/>
  <c r="BD21" i="34" s="1"/>
  <c r="AU21" i="34"/>
  <c r="AV21" i="34"/>
  <c r="AI60" i="34"/>
  <c r="AJ60" i="34" s="1"/>
  <c r="AM22" i="34" s="1"/>
  <c r="AO22" i="34"/>
  <c r="AS22" i="34" s="1"/>
  <c r="AT22" i="34" s="1"/>
  <c r="AG60" i="34"/>
  <c r="AH60" i="34" s="1"/>
  <c r="AL22" i="34" s="1"/>
  <c r="BA60" i="34"/>
  <c r="BB60" i="34" s="1"/>
  <c r="BC60" i="34" s="1"/>
  <c r="BD60" i="34" s="1"/>
  <c r="AV22" i="34"/>
  <c r="AS60" i="34"/>
  <c r="Y98" i="34"/>
  <c r="BO18" i="34"/>
  <c r="CL18" i="34"/>
  <c r="CM18" i="34" s="1"/>
  <c r="AI56" i="34"/>
  <c r="AJ56" i="34" s="1"/>
  <c r="AM18" i="34" s="1"/>
  <c r="BA56" i="34"/>
  <c r="BB56" i="34" s="1"/>
  <c r="BC56" i="34" s="1"/>
  <c r="BD56" i="34" s="1"/>
  <c r="N57" i="34"/>
  <c r="AO17" i="34"/>
  <c r="AS17" i="34" s="1"/>
  <c r="AT17" i="34" s="1"/>
  <c r="AS53" i="34"/>
  <c r="BA55" i="34"/>
  <c r="BB55" i="34" s="1"/>
  <c r="BC55" i="34" s="1"/>
  <c r="BD55" i="34" s="1"/>
  <c r="BO17" i="34"/>
  <c r="AI55" i="34"/>
  <c r="AJ55" i="34" s="1"/>
  <c r="AM17" i="34" s="1"/>
  <c r="AS55" i="34"/>
  <c r="AE17" i="34"/>
  <c r="AV17" i="34"/>
  <c r="BS55" i="34"/>
  <c r="CB17" i="34" s="1"/>
  <c r="CC17" i="34" s="1"/>
  <c r="AD25" i="34"/>
  <c r="S110" i="34" l="1"/>
  <c r="S114" i="34" s="1"/>
  <c r="BS53" i="34"/>
  <c r="AA64" i="34"/>
  <c r="BA63" i="34"/>
  <c r="BB63" i="34" s="1"/>
  <c r="BC63" i="34" s="1"/>
  <c r="BD63" i="34" s="1"/>
  <c r="BK63" i="34" s="1"/>
  <c r="AE21" i="34"/>
  <c r="AC59" i="34" s="1"/>
  <c r="AE22" i="34"/>
  <c r="AA60" i="34" s="1"/>
  <c r="AS59" i="34"/>
  <c r="AU22" i="34"/>
  <c r="AY22" i="34" s="1"/>
  <c r="CB22" i="34"/>
  <c r="CC22" i="34" s="1"/>
  <c r="AG59" i="34"/>
  <c r="AH59" i="34" s="1"/>
  <c r="AL21" i="34" s="1"/>
  <c r="BA15" i="34"/>
  <c r="BB15" i="34" s="1"/>
  <c r="BC15" i="34" s="1"/>
  <c r="BD15" i="34" s="1"/>
  <c r="BH15" i="34" s="1"/>
  <c r="AE16" i="34"/>
  <c r="AG16" i="34" s="1"/>
  <c r="AB16" i="34"/>
  <c r="AO15" i="34"/>
  <c r="AS15" i="34" s="1"/>
  <c r="AT15" i="34" s="1"/>
  <c r="BA18" i="34"/>
  <c r="BB18" i="34" s="1"/>
  <c r="BC18" i="34" s="1"/>
  <c r="BD18" i="34" s="1"/>
  <c r="BK18" i="34" s="1"/>
  <c r="AU18" i="34"/>
  <c r="AU25" i="34"/>
  <c r="AB25" i="34"/>
  <c r="AD18" i="34"/>
  <c r="AB56" i="34" s="1"/>
  <c r="AO25" i="34"/>
  <c r="AS25" i="34" s="1"/>
  <c r="AT25" i="34" s="1"/>
  <c r="AD15" i="34"/>
  <c r="Y91" i="34" s="1"/>
  <c r="Y97" i="34"/>
  <c r="CL25" i="34"/>
  <c r="BS56" i="34"/>
  <c r="CB18" i="34" s="1"/>
  <c r="CC18" i="34" s="1"/>
  <c r="BO15" i="34"/>
  <c r="BP15" i="34" s="1"/>
  <c r="BT53" i="34" s="1"/>
  <c r="CP15" i="34" s="1"/>
  <c r="AI63" i="34"/>
  <c r="AJ63" i="34" s="1"/>
  <c r="AM25" i="34" s="1"/>
  <c r="AV15" i="34"/>
  <c r="AE15" i="34"/>
  <c r="AG15" i="34" s="1"/>
  <c r="BA53" i="34"/>
  <c r="BB53" i="34" s="1"/>
  <c r="BC53" i="34" s="1"/>
  <c r="BD53" i="34" s="1"/>
  <c r="BH53" i="34" s="1"/>
  <c r="BS62" i="34"/>
  <c r="CB24" i="34" s="1"/>
  <c r="CC24" i="34" s="1"/>
  <c r="AE55" i="34"/>
  <c r="BA54" i="34"/>
  <c r="BB54" i="34" s="1"/>
  <c r="BC54" i="34" s="1"/>
  <c r="BD54" i="34" s="1"/>
  <c r="BH54" i="34" s="1"/>
  <c r="AU15" i="34"/>
  <c r="BH17" i="34"/>
  <c r="BA16" i="34"/>
  <c r="BB16" i="34" s="1"/>
  <c r="BC16" i="34" s="1"/>
  <c r="BD16" i="34" s="1"/>
  <c r="BK16" i="34" s="1"/>
  <c r="BS63" i="34"/>
  <c r="CB25" i="34" s="1"/>
  <c r="CC25" i="34" s="1"/>
  <c r="AD16" i="34"/>
  <c r="AC54" i="34" s="1"/>
  <c r="AU16" i="34"/>
  <c r="AV18" i="34"/>
  <c r="BS54" i="34"/>
  <c r="CB16" i="34" s="1"/>
  <c r="CC16" i="34" s="1"/>
  <c r="AO16" i="34"/>
  <c r="AS16" i="34" s="1"/>
  <c r="AT16" i="34" s="1"/>
  <c r="AE24" i="34"/>
  <c r="AG24" i="34" s="1"/>
  <c r="AG54" i="34"/>
  <c r="AH54" i="34" s="1"/>
  <c r="AL16" i="34" s="1"/>
  <c r="CL15" i="34"/>
  <c r="AI53" i="34"/>
  <c r="AJ53" i="34" s="1"/>
  <c r="AM15" i="34" s="1"/>
  <c r="AI61" i="34"/>
  <c r="AJ61" i="34" s="1"/>
  <c r="AM23" i="34" s="1"/>
  <c r="AB15" i="34"/>
  <c r="AS56" i="34"/>
  <c r="BK59" i="34"/>
  <c r="AS54" i="34"/>
  <c r="AV25" i="34"/>
  <c r="Y93" i="34"/>
  <c r="CM17" i="34"/>
  <c r="CO17" i="34" s="1"/>
  <c r="AV16" i="34"/>
  <c r="CL16" i="34"/>
  <c r="AY17" i="34"/>
  <c r="BH22" i="34"/>
  <c r="BH63" i="34"/>
  <c r="Z94" i="34"/>
  <c r="Z18" i="34"/>
  <c r="BO16" i="34"/>
  <c r="BP16" i="34" s="1"/>
  <c r="BT54" i="34" s="1"/>
  <c r="CP16" i="34" s="1"/>
  <c r="AY20" i="34"/>
  <c r="AU23" i="34"/>
  <c r="AD23" i="34"/>
  <c r="AF23" i="34" s="1"/>
  <c r="AO23" i="34"/>
  <c r="AS23" i="34" s="1"/>
  <c r="AT23" i="34" s="1"/>
  <c r="CL24" i="34"/>
  <c r="AE23" i="34"/>
  <c r="AG23" i="34" s="1"/>
  <c r="BA23" i="34"/>
  <c r="BB23" i="34" s="1"/>
  <c r="BC23" i="34" s="1"/>
  <c r="BD23" i="34" s="1"/>
  <c r="BH23" i="34" s="1"/>
  <c r="AD24" i="34"/>
  <c r="AS62" i="34"/>
  <c r="BA62" i="34"/>
  <c r="BB62" i="34" s="1"/>
  <c r="BC62" i="34" s="1"/>
  <c r="BD62" i="34" s="1"/>
  <c r="BK62" i="34" s="1"/>
  <c r="CN18" i="34"/>
  <c r="CO18" i="34" s="1"/>
  <c r="AO24" i="34"/>
  <c r="AS24" i="34" s="1"/>
  <c r="AT24" i="34" s="1"/>
  <c r="AV23" i="34"/>
  <c r="Y102" i="34"/>
  <c r="AU24" i="34"/>
  <c r="BA61" i="34"/>
  <c r="BB61" i="34" s="1"/>
  <c r="BC61" i="34" s="1"/>
  <c r="BD61" i="34" s="1"/>
  <c r="BK61" i="34" s="1"/>
  <c r="AB59" i="34"/>
  <c r="BO24" i="34"/>
  <c r="BP24" i="34" s="1"/>
  <c r="BT62" i="34" s="1"/>
  <c r="AB23" i="34"/>
  <c r="AB58" i="34"/>
  <c r="BS61" i="34"/>
  <c r="CB23" i="34" s="1"/>
  <c r="CC23" i="34" s="1"/>
  <c r="AG61" i="34"/>
  <c r="AH61" i="34" s="1"/>
  <c r="AL23" i="34" s="1"/>
  <c r="BO23" i="34"/>
  <c r="BP23" i="34" s="1"/>
  <c r="BT61" i="34" s="1"/>
  <c r="CP23" i="34" s="1"/>
  <c r="AY21" i="34"/>
  <c r="CL23" i="34"/>
  <c r="AB24" i="34"/>
  <c r="AI62" i="34"/>
  <c r="AJ62" i="34" s="1"/>
  <c r="AM24" i="34" s="1"/>
  <c r="AV24" i="34"/>
  <c r="BA24" i="34"/>
  <c r="BB24" i="34" s="1"/>
  <c r="BC24" i="34" s="1"/>
  <c r="BD24" i="34" s="1"/>
  <c r="AB63" i="34"/>
  <c r="AA63" i="34"/>
  <c r="Z101" i="34"/>
  <c r="BH25" i="34"/>
  <c r="BK25" i="34"/>
  <c r="BP25" i="34"/>
  <c r="BT63" i="34" s="1"/>
  <c r="CP25" i="34" s="1"/>
  <c r="BV25" i="34"/>
  <c r="AY26" i="34"/>
  <c r="Z58" i="34"/>
  <c r="AC58" i="34"/>
  <c r="S122" i="34"/>
  <c r="Q124" i="34" s="1"/>
  <c r="S126" i="34"/>
  <c r="Z17" i="34"/>
  <c r="AB17" i="34" s="1"/>
  <c r="AG17" i="34"/>
  <c r="Z55" i="34"/>
  <c r="AF26" i="34"/>
  <c r="AE64" i="34"/>
  <c r="AB64" i="34"/>
  <c r="BP20" i="34"/>
  <c r="BT58" i="34" s="1"/>
  <c r="CP20" i="34" s="1"/>
  <c r="CM58" i="34" s="1"/>
  <c r="BP26" i="34"/>
  <c r="BT64" i="34" s="1"/>
  <c r="CP26" i="34" s="1"/>
  <c r="CM64" i="34" s="1"/>
  <c r="CB26" i="34"/>
  <c r="CC26" i="34" s="1"/>
  <c r="Y101" i="34"/>
  <c r="AC64" i="34"/>
  <c r="CB15" i="34"/>
  <c r="CC15" i="34" s="1"/>
  <c r="BH56" i="34"/>
  <c r="BK56" i="34"/>
  <c r="Z64" i="34"/>
  <c r="BH58" i="34"/>
  <c r="BK58" i="34"/>
  <c r="AA58" i="34"/>
  <c r="AC55" i="34"/>
  <c r="AB55" i="34"/>
  <c r="BK60" i="34"/>
  <c r="BH60" i="34"/>
  <c r="BH26" i="34"/>
  <c r="BK26" i="34"/>
  <c r="Y96" i="34"/>
  <c r="Z96" i="34"/>
  <c r="BK55" i="34"/>
  <c r="BH55" i="34"/>
  <c r="BP18" i="34"/>
  <c r="BT56" i="34" s="1"/>
  <c r="BH21" i="34"/>
  <c r="BK21" i="34"/>
  <c r="CB20" i="34"/>
  <c r="CC20" i="34" s="1"/>
  <c r="BK64" i="34"/>
  <c r="BH64" i="34"/>
  <c r="BH20" i="34"/>
  <c r="BK20" i="34"/>
  <c r="BP17" i="34"/>
  <c r="BT55" i="34" s="1"/>
  <c r="CP17" i="34" s="1"/>
  <c r="CM55" i="34" s="1"/>
  <c r="Z93" i="34"/>
  <c r="AE63" i="34"/>
  <c r="AF25" i="34"/>
  <c r="Z63" i="34"/>
  <c r="Z102" i="34"/>
  <c r="AF20" i="34"/>
  <c r="AE58" i="34"/>
  <c r="AB19" i="34"/>
  <c r="CL19" i="34"/>
  <c r="AG57" i="34"/>
  <c r="AH57" i="34" s="1"/>
  <c r="AL19" i="34" s="1"/>
  <c r="BA19" i="34"/>
  <c r="BB19" i="34" s="1"/>
  <c r="BC19" i="34" s="1"/>
  <c r="BD19" i="34" s="1"/>
  <c r="AE19" i="34"/>
  <c r="AG19" i="34" s="1"/>
  <c r="BS57" i="34"/>
  <c r="CB19" i="34" s="1"/>
  <c r="CC19" i="34" s="1"/>
  <c r="AS57" i="34"/>
  <c r="BA57" i="34"/>
  <c r="BB57" i="34" s="1"/>
  <c r="BC57" i="34" s="1"/>
  <c r="BD57" i="34" s="1"/>
  <c r="AD19" i="34"/>
  <c r="AO19" i="34"/>
  <c r="AS19" i="34" s="1"/>
  <c r="AT19" i="34" s="1"/>
  <c r="AV19" i="34"/>
  <c r="AU19" i="34"/>
  <c r="AI57" i="34"/>
  <c r="AJ57" i="34" s="1"/>
  <c r="AM19" i="34" s="1"/>
  <c r="BO19" i="34"/>
  <c r="AC63" i="34"/>
  <c r="AA55" i="34"/>
  <c r="AE59" i="34"/>
  <c r="AG21" i="34" l="1"/>
  <c r="Z22" i="34"/>
  <c r="AB22" i="34" s="1"/>
  <c r="Z21" i="34"/>
  <c r="AB21" i="34" s="1"/>
  <c r="AA59" i="34"/>
  <c r="AB60" i="34"/>
  <c r="AG22" i="34"/>
  <c r="Z98" i="34"/>
  <c r="Z91" i="34"/>
  <c r="BK15" i="34"/>
  <c r="AE60" i="34"/>
  <c r="Z92" i="34"/>
  <c r="AB54" i="34"/>
  <c r="AY15" i="34"/>
  <c r="AY25" i="34"/>
  <c r="Z97" i="34"/>
  <c r="Z59" i="34"/>
  <c r="AD59" i="34" s="1"/>
  <c r="AK21" i="34" s="1"/>
  <c r="AC60" i="34"/>
  <c r="Z60" i="34"/>
  <c r="AD60" i="34" s="1"/>
  <c r="AK22" i="34" s="1"/>
  <c r="AF15" i="34"/>
  <c r="AC53" i="34"/>
  <c r="BK53" i="34"/>
  <c r="Z53" i="34"/>
  <c r="AF18" i="34"/>
  <c r="AC56" i="34"/>
  <c r="AE53" i="34"/>
  <c r="AE56" i="34"/>
  <c r="AY18" i="34"/>
  <c r="CM63" i="34"/>
  <c r="AA53" i="34"/>
  <c r="AA56" i="34"/>
  <c r="AB53" i="34"/>
  <c r="Z56" i="34"/>
  <c r="Y94" i="34"/>
  <c r="BH18" i="34"/>
  <c r="AB18" i="34"/>
  <c r="BK54" i="34"/>
  <c r="Y92" i="34"/>
  <c r="AF16" i="34"/>
  <c r="BH16" i="34"/>
  <c r="AY16" i="34"/>
  <c r="AE54" i="34"/>
  <c r="AA54" i="34"/>
  <c r="Z54" i="34"/>
  <c r="CM53" i="34"/>
  <c r="AA62" i="34"/>
  <c r="CM54" i="34"/>
  <c r="Z100" i="34"/>
  <c r="AY24" i="34"/>
  <c r="CM61" i="34"/>
  <c r="BK23" i="34"/>
  <c r="Y99" i="34"/>
  <c r="AB61" i="34"/>
  <c r="AY23" i="34"/>
  <c r="Y100" i="34"/>
  <c r="Z62" i="34"/>
  <c r="AF24" i="34"/>
  <c r="AE62" i="34"/>
  <c r="AC62" i="34"/>
  <c r="AB62" i="34"/>
  <c r="AD58" i="34"/>
  <c r="AK20" i="34" s="1"/>
  <c r="Z61" i="34"/>
  <c r="AA61" i="34"/>
  <c r="BV23" i="34"/>
  <c r="AE61" i="34"/>
  <c r="BH62" i="34"/>
  <c r="Z99" i="34"/>
  <c r="AC61" i="34"/>
  <c r="AY19" i="34"/>
  <c r="BV17" i="34"/>
  <c r="BH61" i="34"/>
  <c r="CA17" i="34"/>
  <c r="BK24" i="34"/>
  <c r="BH24" i="34"/>
  <c r="AD63" i="34"/>
  <c r="AK25" i="34" s="1"/>
  <c r="CA25" i="34"/>
  <c r="BV24" i="34"/>
  <c r="Z95" i="34"/>
  <c r="AC57" i="34"/>
  <c r="CA20" i="34"/>
  <c r="BV20" i="34"/>
  <c r="AB57" i="34"/>
  <c r="Y95" i="34"/>
  <c r="BV16" i="34"/>
  <c r="CA16" i="34"/>
  <c r="BP19" i="34"/>
  <c r="BT57" i="34" s="1"/>
  <c r="CP19" i="34" s="1"/>
  <c r="CM57" i="34" s="1"/>
  <c r="Z57" i="34"/>
  <c r="AD55" i="34"/>
  <c r="AK17" i="34" s="1"/>
  <c r="CA23" i="34"/>
  <c r="AE57" i="34"/>
  <c r="AF19" i="34"/>
  <c r="BV18" i="34"/>
  <c r="BV15" i="34"/>
  <c r="BK19" i="34"/>
  <c r="BH19" i="34"/>
  <c r="BH57" i="34"/>
  <c r="BK57" i="34"/>
  <c r="CP18" i="34"/>
  <c r="CM56" i="34" s="1"/>
  <c r="CA18" i="34"/>
  <c r="AD64" i="34"/>
  <c r="AK26" i="34" s="1"/>
  <c r="AA57" i="34"/>
  <c r="CA26" i="34"/>
  <c r="CP24" i="34"/>
  <c r="CM62" i="34" s="1"/>
  <c r="CA24" i="34"/>
  <c r="CA15" i="34"/>
  <c r="BV26" i="34"/>
  <c r="AD53" i="34" l="1"/>
  <c r="AK15" i="34" s="1"/>
  <c r="AD56" i="34"/>
  <c r="AK18" i="34" s="1"/>
  <c r="AD54" i="34"/>
  <c r="AK16" i="34" s="1"/>
  <c r="AD62" i="34"/>
  <c r="AK24" i="34" s="1"/>
  <c r="AD61" i="34"/>
  <c r="AK23" i="34" s="1"/>
  <c r="CA19" i="34"/>
  <c r="BV19" i="34"/>
  <c r="AD57" i="34"/>
  <c r="AK19" i="34" s="1"/>
  <c r="AE25" i="5"/>
  <c r="AK24" i="5" s="1"/>
  <c r="M24" i="5" l="1"/>
  <c r="AU142" i="5"/>
  <c r="AW142" i="5" s="1"/>
  <c r="AU50" i="5"/>
  <c r="AW50" i="5" s="1"/>
  <c r="AU111" i="5"/>
  <c r="AW111" i="5" s="1"/>
  <c r="AU119" i="5"/>
  <c r="AW119" i="5" s="1"/>
  <c r="AU60" i="5"/>
  <c r="AW60" i="5" s="1"/>
  <c r="AU115" i="5"/>
  <c r="AW115" i="5" s="1"/>
  <c r="AU45" i="5"/>
  <c r="AW45" i="5" s="1"/>
  <c r="AU161" i="5"/>
  <c r="AW161" i="5" s="1"/>
  <c r="AU39" i="5"/>
  <c r="AW39" i="5" s="1"/>
  <c r="AU87" i="5"/>
  <c r="AW87" i="5" s="1"/>
  <c r="AU146" i="5"/>
  <c r="AW146" i="5" s="1"/>
  <c r="AU28" i="5"/>
  <c r="AW28" i="5" s="1"/>
  <c r="AU120" i="5"/>
  <c r="AW120" i="5" s="1"/>
  <c r="AU40" i="5"/>
  <c r="AW40" i="5" s="1"/>
  <c r="AU109" i="5"/>
  <c r="AW109" i="5" s="1"/>
  <c r="AU113" i="5"/>
  <c r="AW113" i="5" s="1"/>
  <c r="AU121" i="5"/>
  <c r="AW121" i="5" s="1"/>
  <c r="AU128" i="5"/>
  <c r="AW128" i="5" s="1"/>
  <c r="AU129" i="5"/>
  <c r="AW129" i="5" s="1"/>
  <c r="AU25" i="5"/>
  <c r="AW25" i="5" s="1"/>
  <c r="AU49" i="5"/>
  <c r="AW49" i="5" s="1"/>
  <c r="AU43" i="5"/>
  <c r="AW43" i="5" s="1"/>
  <c r="AU26" i="5"/>
  <c r="AW26" i="5" s="1"/>
  <c r="AU92" i="5"/>
  <c r="AW92" i="5" s="1"/>
  <c r="AU84" i="5"/>
  <c r="AW84" i="5" s="1"/>
  <c r="AU162" i="5"/>
  <c r="AW162" i="5" s="1"/>
  <c r="AU106" i="5"/>
  <c r="AW106" i="5" s="1"/>
  <c r="AU27" i="5"/>
  <c r="AW27" i="5" s="1"/>
  <c r="AU30" i="5"/>
  <c r="AW30" i="5" s="1"/>
  <c r="AU145" i="5"/>
  <c r="AW145" i="5" s="1"/>
  <c r="AU78" i="5"/>
  <c r="AW78" i="5" s="1"/>
  <c r="AU37" i="5"/>
  <c r="AW37" i="5" s="1"/>
  <c r="AU47" i="5"/>
  <c r="AW47" i="5" s="1"/>
  <c r="AU156" i="5"/>
  <c r="AW156" i="5" s="1"/>
  <c r="AU53" i="5"/>
  <c r="AW53" i="5" s="1"/>
  <c r="AU90" i="5"/>
  <c r="AW90" i="5" s="1"/>
  <c r="AU103" i="5"/>
  <c r="AW103" i="5" s="1"/>
  <c r="AU93" i="5"/>
  <c r="AW93" i="5" s="1"/>
  <c r="AU117" i="5"/>
  <c r="AW117" i="5" s="1"/>
  <c r="AU81" i="5"/>
  <c r="AW81" i="5" s="1"/>
  <c r="AU122" i="5"/>
  <c r="AW122" i="5" s="1"/>
  <c r="AU95" i="5"/>
  <c r="AW95" i="5" s="1"/>
  <c r="AU48" i="5"/>
  <c r="AW48" i="5" s="1"/>
  <c r="AU150" i="5"/>
  <c r="AW150" i="5" s="1"/>
  <c r="AU104" i="5"/>
  <c r="AW104" i="5" s="1"/>
  <c r="AU112" i="5"/>
  <c r="AW112" i="5" s="1"/>
  <c r="AU151" i="5"/>
  <c r="AW151" i="5" s="1"/>
  <c r="AU123" i="5"/>
  <c r="AW123" i="5" s="1"/>
  <c r="AU96" i="5"/>
  <c r="AW96" i="5" s="1"/>
  <c r="AU137" i="5"/>
  <c r="AW137" i="5" s="1"/>
  <c r="AU152" i="5"/>
  <c r="AW152" i="5" s="1"/>
  <c r="AU130" i="5"/>
  <c r="AW130" i="5" s="1"/>
  <c r="AU105" i="5"/>
  <c r="AW105" i="5" s="1"/>
  <c r="AU135" i="5"/>
  <c r="AW135" i="5" s="1"/>
  <c r="AU114" i="5"/>
  <c r="AW114" i="5" s="1"/>
  <c r="AU147" i="5"/>
  <c r="AW147" i="5" s="1"/>
  <c r="AU148" i="5"/>
  <c r="AW148" i="5" s="1"/>
  <c r="AU31" i="5"/>
  <c r="AW31" i="5" s="1"/>
  <c r="AU86" i="5"/>
  <c r="AW86" i="5" s="1"/>
  <c r="AU67" i="5"/>
  <c r="AW67" i="5" s="1"/>
  <c r="AU154" i="5"/>
  <c r="AW154" i="5" s="1"/>
  <c r="AU160" i="5"/>
  <c r="AW160" i="5" s="1"/>
  <c r="AU127" i="5"/>
  <c r="AW127" i="5" s="1"/>
  <c r="AU77" i="5"/>
  <c r="AW77" i="5" s="1"/>
  <c r="AU91" i="5"/>
  <c r="AW91" i="5" s="1"/>
  <c r="AU85" i="5"/>
  <c r="AW85" i="5" s="1"/>
  <c r="AU99" i="5"/>
  <c r="AW99" i="5" s="1"/>
  <c r="AU29" i="5"/>
  <c r="AW29" i="5" s="1"/>
  <c r="AU141" i="5"/>
  <c r="AW141" i="5" s="1"/>
  <c r="AU32" i="5"/>
  <c r="AW32" i="5" s="1"/>
  <c r="AU133" i="5"/>
  <c r="AW133" i="5" s="1"/>
  <c r="AU65" i="5"/>
  <c r="AW65" i="5" s="1"/>
  <c r="AU131" i="5"/>
  <c r="AW131" i="5" s="1"/>
  <c r="AU58" i="5"/>
  <c r="AW58" i="5" s="1"/>
  <c r="AU57" i="5"/>
  <c r="AW57" i="5" s="1"/>
  <c r="AU118" i="5"/>
  <c r="AW118" i="5" s="1"/>
  <c r="AU89" i="5"/>
  <c r="AW89" i="5" s="1"/>
  <c r="AU73" i="5"/>
  <c r="AW73" i="5" s="1"/>
  <c r="AU143" i="5"/>
  <c r="AW143" i="5" s="1"/>
  <c r="AU74" i="5"/>
  <c r="AW74" i="5" s="1"/>
  <c r="AU101" i="5"/>
  <c r="AW101" i="5" s="1"/>
  <c r="AU64" i="5"/>
  <c r="AW64" i="5" s="1"/>
  <c r="AU138" i="5"/>
  <c r="AW138" i="5" s="1"/>
  <c r="AU126" i="5"/>
  <c r="AW126" i="5" s="1"/>
  <c r="AU61" i="5"/>
  <c r="AW61" i="5" s="1"/>
  <c r="AU54" i="5"/>
  <c r="AW54" i="5" s="1"/>
  <c r="AU98" i="5"/>
  <c r="AW98" i="5" s="1"/>
  <c r="AU125" i="5"/>
  <c r="AW125" i="5" s="1"/>
  <c r="AU71" i="5"/>
  <c r="AW71" i="5" s="1"/>
  <c r="AU155" i="5"/>
  <c r="AW155" i="5" s="1"/>
  <c r="AU79" i="5"/>
  <c r="AW79" i="5" s="1"/>
  <c r="AU163" i="5"/>
  <c r="AW163" i="5" s="1"/>
  <c r="AU107" i="5"/>
  <c r="AW107" i="5" s="1"/>
  <c r="AU59" i="5"/>
  <c r="AW59" i="5" s="1"/>
  <c r="AU46" i="5"/>
  <c r="AW46" i="5" s="1"/>
  <c r="AU56" i="5"/>
  <c r="AW56" i="5" s="1"/>
  <c r="AU116" i="5"/>
  <c r="AW116" i="5" s="1"/>
  <c r="AU124" i="5"/>
  <c r="AW124" i="5" s="1"/>
  <c r="AU66" i="5"/>
  <c r="AW66" i="5" s="1"/>
  <c r="AU33" i="5"/>
  <c r="AW33" i="5" s="1"/>
  <c r="AU42" i="5"/>
  <c r="AW42" i="5" s="1"/>
  <c r="AU68" i="5"/>
  <c r="AW68" i="5" s="1"/>
  <c r="AU149" i="5"/>
  <c r="AW149" i="5" s="1"/>
  <c r="AU41" i="5"/>
  <c r="AW41" i="5" s="1"/>
  <c r="AU140" i="5"/>
  <c r="AW140" i="5" s="1"/>
  <c r="AU44" i="5"/>
  <c r="AW44" i="5" s="1"/>
  <c r="AU52" i="5"/>
  <c r="AW52" i="5" s="1"/>
  <c r="AU62" i="5"/>
  <c r="AW62" i="5" s="1"/>
  <c r="AU158" i="5"/>
  <c r="AW158" i="5" s="1"/>
  <c r="AU97" i="5"/>
  <c r="AW97" i="5" s="1"/>
  <c r="AU70" i="5"/>
  <c r="AW70" i="5" s="1"/>
  <c r="AU55" i="5"/>
  <c r="AW55" i="5" s="1"/>
  <c r="AU139" i="5"/>
  <c r="AW139" i="5" s="1"/>
  <c r="AU76" i="5"/>
  <c r="AW76" i="5" s="1"/>
  <c r="AU75" i="5"/>
  <c r="AW75" i="5" s="1"/>
  <c r="AU72" i="5"/>
  <c r="AW72" i="5" s="1"/>
  <c r="AU153" i="5"/>
  <c r="AW153" i="5" s="1"/>
  <c r="AU80" i="5"/>
  <c r="AW80" i="5" s="1"/>
  <c r="AU36" i="5"/>
  <c r="AW36" i="5" s="1"/>
  <c r="AU24" i="5"/>
  <c r="AW24" i="5" s="1"/>
  <c r="AU38" i="5"/>
  <c r="AW38" i="5" s="1"/>
  <c r="AU134" i="5"/>
  <c r="AW134" i="5" s="1"/>
  <c r="AU82" i="5"/>
  <c r="AW82" i="5" s="1"/>
  <c r="AU136" i="5"/>
  <c r="AW136" i="5" s="1"/>
  <c r="AU157" i="5"/>
  <c r="AW157" i="5" s="1"/>
  <c r="AU69" i="5"/>
  <c r="AW69" i="5" s="1"/>
  <c r="AU34" i="5"/>
  <c r="AW34" i="5" s="1"/>
  <c r="AU132" i="5"/>
  <c r="AW132" i="5" s="1"/>
  <c r="AU88" i="5"/>
  <c r="AW88" i="5" s="1"/>
  <c r="AU108" i="5"/>
  <c r="AW108" i="5" s="1"/>
  <c r="AU63" i="5"/>
  <c r="AW63" i="5" s="1"/>
  <c r="AU94" i="5"/>
  <c r="AW94" i="5" s="1"/>
  <c r="AU102" i="5"/>
  <c r="AW102" i="5" s="1"/>
  <c r="AU100" i="5"/>
  <c r="AW100" i="5" s="1"/>
  <c r="AU159" i="5"/>
  <c r="AW159" i="5" s="1"/>
  <c r="AU110" i="5"/>
  <c r="AW110" i="5" s="1"/>
  <c r="AU51" i="5"/>
  <c r="AW51" i="5" s="1"/>
  <c r="AU83" i="5"/>
  <c r="AW83" i="5" s="1"/>
  <c r="AU35" i="5"/>
  <c r="AW35" i="5" s="1"/>
  <c r="AU144" i="5"/>
  <c r="AW144" i="5" s="1"/>
  <c r="M30" i="1"/>
  <c r="AM4" i="5"/>
  <c r="M26" i="5" s="1"/>
  <c r="AM3" i="5"/>
  <c r="D16" i="12"/>
  <c r="D17" i="12" s="1"/>
  <c r="D18" i="12" s="1"/>
  <c r="M16" i="12" l="1"/>
  <c r="M17" i="12"/>
  <c r="AQ97" i="5"/>
  <c r="BA97" i="5" s="1"/>
  <c r="AQ157" i="5"/>
  <c r="BA157" i="5" s="1"/>
  <c r="AQ128" i="5"/>
  <c r="BA128" i="5" s="1"/>
  <c r="AQ131" i="5"/>
  <c r="BA131" i="5" s="1"/>
  <c r="AQ114" i="5"/>
  <c r="BA114" i="5" s="1"/>
  <c r="AQ53" i="5"/>
  <c r="BA53" i="5" s="1"/>
  <c r="AQ43" i="5"/>
  <c r="BA43" i="5" s="1"/>
  <c r="AQ102" i="5"/>
  <c r="BA102" i="5" s="1"/>
  <c r="AQ96" i="5"/>
  <c r="BA96" i="5" s="1"/>
  <c r="AQ45" i="5"/>
  <c r="BA45" i="5" s="1"/>
  <c r="AQ115" i="5"/>
  <c r="BA115" i="5" s="1"/>
  <c r="AQ4" i="5"/>
  <c r="BA4" i="5" s="1"/>
  <c r="AQ71" i="5"/>
  <c r="BA71" i="5" s="1"/>
  <c r="AQ14" i="5"/>
  <c r="BA14" i="5" s="1"/>
  <c r="AQ120" i="5"/>
  <c r="BA120" i="5" s="1"/>
  <c r="AQ153" i="5"/>
  <c r="BA153" i="5" s="1"/>
  <c r="AQ98" i="5"/>
  <c r="BA98" i="5" s="1"/>
  <c r="AQ125" i="5"/>
  <c r="BA125" i="5" s="1"/>
  <c r="AQ111" i="5"/>
  <c r="BA111" i="5" s="1"/>
  <c r="AQ92" i="5"/>
  <c r="BA92" i="5" s="1"/>
  <c r="AQ130" i="5"/>
  <c r="BA130" i="5" s="1"/>
  <c r="AQ56" i="5"/>
  <c r="BA56" i="5" s="1"/>
  <c r="AQ145" i="5"/>
  <c r="BA145" i="5" s="1"/>
  <c r="AQ79" i="5"/>
  <c r="BA79" i="5" s="1"/>
  <c r="AQ156" i="5"/>
  <c r="BA156" i="5" s="1"/>
  <c r="AQ154" i="5"/>
  <c r="BA154" i="5" s="1"/>
  <c r="AQ143" i="5"/>
  <c r="BA143" i="5" s="1"/>
  <c r="AQ19" i="5"/>
  <c r="BA19" i="5" s="1"/>
  <c r="AQ50" i="5"/>
  <c r="BA50" i="5" s="1"/>
  <c r="AQ17" i="5"/>
  <c r="BA17" i="5" s="1"/>
  <c r="AQ28" i="5"/>
  <c r="BA28" i="5" s="1"/>
  <c r="AQ64" i="5"/>
  <c r="BA64" i="5" s="1"/>
  <c r="AQ55" i="5"/>
  <c r="BA55" i="5" s="1"/>
  <c r="AQ37" i="5"/>
  <c r="BA37" i="5" s="1"/>
  <c r="AQ39" i="5"/>
  <c r="BA39" i="5" s="1"/>
  <c r="AQ81" i="5"/>
  <c r="BA81" i="5" s="1"/>
  <c r="AQ126" i="5"/>
  <c r="BA126" i="5" s="1"/>
  <c r="AQ144" i="5"/>
  <c r="BA144" i="5" s="1"/>
  <c r="AQ141" i="5"/>
  <c r="BA141" i="5" s="1"/>
  <c r="AQ103" i="5"/>
  <c r="BA103" i="5" s="1"/>
  <c r="AQ51" i="5"/>
  <c r="BA51" i="5" s="1"/>
  <c r="AQ155" i="5"/>
  <c r="BA155" i="5" s="1"/>
  <c r="AQ161" i="5"/>
  <c r="BA161" i="5" s="1"/>
  <c r="AQ162" i="5"/>
  <c r="BA162" i="5" s="1"/>
  <c r="AQ86" i="5"/>
  <c r="BA86" i="5" s="1"/>
  <c r="AQ149" i="5"/>
  <c r="BA149" i="5" s="1"/>
  <c r="AQ148" i="5"/>
  <c r="BA148" i="5" s="1"/>
  <c r="AQ139" i="5"/>
  <c r="BA139" i="5" s="1"/>
  <c r="AQ147" i="5"/>
  <c r="BA147" i="5" s="1"/>
  <c r="AQ150" i="5"/>
  <c r="BA150" i="5" s="1"/>
  <c r="AQ113" i="5"/>
  <c r="BA113" i="5" s="1"/>
  <c r="AQ119" i="5"/>
  <c r="BA119" i="5" s="1"/>
  <c r="AQ34" i="5"/>
  <c r="BA34" i="5" s="1"/>
  <c r="AQ63" i="5"/>
  <c r="BA63" i="5" s="1"/>
  <c r="AQ160" i="5"/>
  <c r="BA160" i="5" s="1"/>
  <c r="AQ5" i="5"/>
  <c r="BA5" i="5" s="1"/>
  <c r="AQ85" i="5"/>
  <c r="BA85" i="5" s="1"/>
  <c r="AQ84" i="5"/>
  <c r="BA84" i="5" s="1"/>
  <c r="AQ88" i="5"/>
  <c r="BA88" i="5" s="1"/>
  <c r="AQ13" i="5"/>
  <c r="BA13" i="5" s="1"/>
  <c r="AQ100" i="5"/>
  <c r="BA100" i="5" s="1"/>
  <c r="AQ33" i="5"/>
  <c r="BA33" i="5" s="1"/>
  <c r="AQ59" i="5"/>
  <c r="BA59" i="5" s="1"/>
  <c r="AQ18" i="5"/>
  <c r="BA18" i="5" s="1"/>
  <c r="AQ121" i="5"/>
  <c r="BA121" i="5" s="1"/>
  <c r="AQ122" i="5"/>
  <c r="BA122" i="5" s="1"/>
  <c r="AQ12" i="5"/>
  <c r="BA12" i="5" s="1"/>
  <c r="AQ52" i="5"/>
  <c r="BA52" i="5" s="1"/>
  <c r="AQ118" i="5"/>
  <c r="BA118" i="5" s="1"/>
  <c r="AQ152" i="5"/>
  <c r="BA152" i="5" s="1"/>
  <c r="AQ36" i="5"/>
  <c r="BA36" i="5" s="1"/>
  <c r="AQ78" i="5"/>
  <c r="BA78" i="5" s="1"/>
  <c r="AQ159" i="5"/>
  <c r="BA159" i="5" s="1"/>
  <c r="AQ31" i="5"/>
  <c r="BA31" i="5" s="1"/>
  <c r="AQ24" i="5"/>
  <c r="BA24" i="5" s="1"/>
  <c r="AQ25" i="5"/>
  <c r="BA25" i="5" s="1"/>
  <c r="AQ137" i="5"/>
  <c r="BA137" i="5" s="1"/>
  <c r="AQ69" i="5"/>
  <c r="BA69" i="5" s="1"/>
  <c r="AQ124" i="5"/>
  <c r="BA124" i="5" s="1"/>
  <c r="AQ48" i="5"/>
  <c r="BA48" i="5" s="1"/>
  <c r="AQ83" i="5"/>
  <c r="BA83" i="5" s="1"/>
  <c r="AQ90" i="5"/>
  <c r="BA90" i="5" s="1"/>
  <c r="AQ106" i="5"/>
  <c r="BA106" i="5" s="1"/>
  <c r="AQ66" i="5"/>
  <c r="BA66" i="5" s="1"/>
  <c r="M25" i="5"/>
  <c r="AQ127" i="5"/>
  <c r="BA127" i="5" s="1"/>
  <c r="AQ32" i="5"/>
  <c r="BA32" i="5" s="1"/>
  <c r="AQ93" i="5"/>
  <c r="BA93" i="5" s="1"/>
  <c r="AQ7" i="5"/>
  <c r="BA7" i="5" s="1"/>
  <c r="AQ158" i="5"/>
  <c r="BA158" i="5" s="1"/>
  <c r="AQ105" i="5"/>
  <c r="BA105" i="5" s="1"/>
  <c r="AQ104" i="5"/>
  <c r="BA104" i="5" s="1"/>
  <c r="AQ42" i="5"/>
  <c r="BA42" i="5" s="1"/>
  <c r="AQ101" i="5"/>
  <c r="BA101" i="5" s="1"/>
  <c r="AQ95" i="5"/>
  <c r="BA95" i="5" s="1"/>
  <c r="AQ6" i="5"/>
  <c r="BA6" i="5" s="1"/>
  <c r="AQ57" i="5"/>
  <c r="BA57" i="5" s="1"/>
  <c r="AQ67" i="5"/>
  <c r="BA67" i="5" s="1"/>
  <c r="AQ15" i="5"/>
  <c r="BA15" i="5" s="1"/>
  <c r="AQ61" i="5"/>
  <c r="BA61" i="5" s="1"/>
  <c r="AQ109" i="5"/>
  <c r="BA109" i="5" s="1"/>
  <c r="AQ26" i="5"/>
  <c r="BA26" i="5" s="1"/>
  <c r="AQ72" i="5"/>
  <c r="BA72" i="5" s="1"/>
  <c r="AQ38" i="5"/>
  <c r="BA38" i="5" s="1"/>
  <c r="AQ146" i="5"/>
  <c r="BA146" i="5" s="1"/>
  <c r="AQ46" i="5"/>
  <c r="BA46" i="5" s="1"/>
  <c r="AQ30" i="5"/>
  <c r="BA30" i="5" s="1"/>
  <c r="AQ10" i="5"/>
  <c r="BA10" i="5" s="1"/>
  <c r="AQ134" i="5"/>
  <c r="BA134" i="5" s="1"/>
  <c r="AQ22" i="5"/>
  <c r="BA22" i="5" s="1"/>
  <c r="AQ44" i="5"/>
  <c r="BA44" i="5" s="1"/>
  <c r="AQ70" i="5"/>
  <c r="BA70" i="5" s="1"/>
  <c r="AQ54" i="5"/>
  <c r="BA54" i="5" s="1"/>
  <c r="AQ11" i="5"/>
  <c r="BA11" i="5" s="1"/>
  <c r="AQ75" i="5"/>
  <c r="BA75" i="5" s="1"/>
  <c r="AQ108" i="5"/>
  <c r="BA108" i="5" s="1"/>
  <c r="AQ76" i="5"/>
  <c r="BA76" i="5" s="1"/>
  <c r="AQ132" i="5"/>
  <c r="BA132" i="5" s="1"/>
  <c r="AQ68" i="5"/>
  <c r="BA68" i="5" s="1"/>
  <c r="AQ129" i="5"/>
  <c r="BA129" i="5" s="1"/>
  <c r="AQ151" i="5"/>
  <c r="BA151" i="5" s="1"/>
  <c r="AQ21" i="5"/>
  <c r="BA21" i="5" s="1"/>
  <c r="AQ74" i="5"/>
  <c r="BA74" i="5" s="1"/>
  <c r="AQ136" i="5"/>
  <c r="BA136" i="5" s="1"/>
  <c r="AQ65" i="5"/>
  <c r="BA65" i="5" s="1"/>
  <c r="AQ35" i="5"/>
  <c r="BA35" i="5" s="1"/>
  <c r="AQ41" i="5"/>
  <c r="BA41" i="5" s="1"/>
  <c r="AQ27" i="5"/>
  <c r="BA27" i="5" s="1"/>
  <c r="AQ117" i="5"/>
  <c r="BA117" i="5" s="1"/>
  <c r="AQ91" i="5"/>
  <c r="BA91" i="5" s="1"/>
  <c r="AQ94" i="5"/>
  <c r="BA94" i="5" s="1"/>
  <c r="AQ73" i="5"/>
  <c r="BA73" i="5" s="1"/>
  <c r="AQ82" i="5"/>
  <c r="BA82" i="5" s="1"/>
  <c r="AQ8" i="5"/>
  <c r="BA8" i="5" s="1"/>
  <c r="AQ163" i="5"/>
  <c r="BA163" i="5" s="1"/>
  <c r="AQ135" i="5"/>
  <c r="BA135" i="5" s="1"/>
  <c r="AQ58" i="5"/>
  <c r="BA58" i="5" s="1"/>
  <c r="AQ9" i="5"/>
  <c r="BA9" i="5" s="1"/>
  <c r="AQ140" i="5"/>
  <c r="BA140" i="5" s="1"/>
  <c r="AQ123" i="5"/>
  <c r="BA123" i="5" s="1"/>
  <c r="AQ20" i="5"/>
  <c r="BA20" i="5" s="1"/>
  <c r="AQ80" i="5"/>
  <c r="BA80" i="5" s="1"/>
  <c r="AQ89" i="5"/>
  <c r="BA89" i="5" s="1"/>
  <c r="AQ77" i="5"/>
  <c r="BA77" i="5" s="1"/>
  <c r="AQ116" i="5"/>
  <c r="BA116" i="5" s="1"/>
  <c r="AQ23" i="5"/>
  <c r="BA23" i="5" s="1"/>
  <c r="AQ99" i="5"/>
  <c r="BA99" i="5" s="1"/>
  <c r="AQ87" i="5"/>
  <c r="BA87" i="5" s="1"/>
  <c r="AQ60" i="5"/>
  <c r="BA60" i="5" s="1"/>
  <c r="AQ62" i="5"/>
  <c r="BA62" i="5" s="1"/>
  <c r="AQ138" i="5"/>
  <c r="BA138" i="5" s="1"/>
  <c r="AQ40" i="5"/>
  <c r="BA40" i="5" s="1"/>
  <c r="AQ133" i="5"/>
  <c r="BA133" i="5" s="1"/>
  <c r="AQ49" i="5"/>
  <c r="BA49" i="5" s="1"/>
  <c r="AQ3" i="5"/>
  <c r="BA3" i="5" s="1"/>
  <c r="AQ16" i="5"/>
  <c r="BA16" i="5" s="1"/>
  <c r="AQ112" i="5"/>
  <c r="BA112" i="5" s="1"/>
  <c r="AQ110" i="5"/>
  <c r="BA110" i="5" s="1"/>
  <c r="AQ29" i="5"/>
  <c r="BA29" i="5" s="1"/>
  <c r="AQ47" i="5"/>
  <c r="BA47" i="5" s="1"/>
  <c r="AQ107" i="5"/>
  <c r="BA107" i="5" s="1"/>
  <c r="AQ142" i="5"/>
  <c r="BA142" i="5" s="1"/>
  <c r="I50" i="5" l="1"/>
  <c r="Q17" i="12" a="1"/>
  <c r="Q17" i="12" s="1"/>
  <c r="I49" i="5"/>
  <c r="Q16" i="12" a="1"/>
  <c r="Q16" i="12" s="1"/>
  <c r="J31" i="12" l="1"/>
  <c r="J29" i="12"/>
  <c r="J37" i="12"/>
  <c r="J38" i="12"/>
  <c r="J30" i="12"/>
  <c r="J33" i="12"/>
  <c r="J28" i="12"/>
  <c r="J39" i="12"/>
  <c r="J25" i="12"/>
  <c r="J34" i="12"/>
  <c r="J36" i="12"/>
  <c r="J35" i="12"/>
  <c r="J32" i="12"/>
  <c r="J27" i="12"/>
  <c r="J26" i="12"/>
  <c r="W54" i="5"/>
  <c r="I52" i="5"/>
  <c r="Z54" i="5"/>
  <c r="I53" i="5"/>
  <c r="J40" i="12" l="1"/>
  <c r="L35" i="12" s="1"/>
  <c r="Z53" i="5"/>
  <c r="Z52" i="5"/>
  <c r="X54" i="5"/>
  <c r="T16" i="12"/>
  <c r="G42" i="12" s="1"/>
  <c r="G47" i="12" s="1"/>
  <c r="AA54" i="5"/>
  <c r="T17" i="12"/>
  <c r="G43" i="12" s="1"/>
  <c r="G48" i="12" s="1"/>
  <c r="W52" i="5"/>
  <c r="W53" i="5"/>
  <c r="L26" i="12"/>
  <c r="L32" i="12"/>
  <c r="L31" i="12"/>
  <c r="L37" i="12" l="1"/>
  <c r="N35" i="12"/>
  <c r="P35" i="12"/>
  <c r="N31" i="12"/>
  <c r="P31" i="12"/>
  <c r="P52" i="12"/>
  <c r="P55" i="12"/>
  <c r="L39" i="12"/>
  <c r="L34" i="12"/>
  <c r="P54" i="12"/>
  <c r="P51" i="12"/>
  <c r="N32" i="12"/>
  <c r="P32" i="12"/>
  <c r="N26" i="12"/>
  <c r="P26" i="12"/>
  <c r="L36" i="12"/>
  <c r="L33" i="12"/>
  <c r="L28" i="12"/>
  <c r="L29" i="12"/>
  <c r="L25" i="12"/>
  <c r="L27" i="12"/>
  <c r="L38" i="12"/>
  <c r="L30" i="12"/>
  <c r="P37" i="12" l="1"/>
  <c r="J60" i="12"/>
  <c r="M40" i="1"/>
  <c r="N29" i="12"/>
  <c r="P29" i="12"/>
  <c r="N34" i="12"/>
  <c r="P34" i="12"/>
  <c r="N28" i="12"/>
  <c r="P28" i="12"/>
  <c r="N33" i="12"/>
  <c r="P33" i="12"/>
  <c r="N30" i="12"/>
  <c r="P30" i="12"/>
  <c r="N38" i="12"/>
  <c r="P38" i="12"/>
  <c r="P27" i="12"/>
  <c r="N27" i="12"/>
  <c r="P25" i="12"/>
  <c r="N25" i="12"/>
  <c r="L40" i="12"/>
  <c r="P39" i="12"/>
  <c r="N39" i="12"/>
  <c r="J61" i="12"/>
  <c r="M41" i="1"/>
  <c r="P36" i="12"/>
  <c r="N36" i="12"/>
  <c r="W61" i="12" l="1"/>
  <c r="L61" i="12"/>
  <c r="Y61" i="12" s="1"/>
  <c r="W60" i="12"/>
  <c r="L60" i="12"/>
  <c r="Y60" i="1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<sst xmlns="http://schemas.openxmlformats.org/spreadsheetml/2006/main" count="5537" uniqueCount="861">
  <si>
    <t>Proyecto:</t>
  </si>
  <si>
    <t>Contiene:</t>
  </si>
  <si>
    <t>Fecha:</t>
  </si>
  <si>
    <t>Diseño:</t>
  </si>
  <si>
    <t>Revisión:</t>
  </si>
  <si>
    <t>JUAN JOSÉ ZAMORA JIMÉNEZ INGENIERO CIVIL</t>
  </si>
  <si>
    <t>Proyecto</t>
  </si>
  <si>
    <t>Dirección</t>
  </si>
  <si>
    <t>Propietario</t>
  </si>
  <si>
    <t>f'c</t>
  </si>
  <si>
    <t>MPa</t>
  </si>
  <si>
    <t>Ec</t>
  </si>
  <si>
    <t>Vigas</t>
  </si>
  <si>
    <t>Columnas</t>
  </si>
  <si>
    <t>Zapatas</t>
  </si>
  <si>
    <t>Caissons</t>
  </si>
  <si>
    <t>Muros de contención</t>
  </si>
  <si>
    <t>Pantallas</t>
  </si>
  <si>
    <t>Vigas de cimentación</t>
  </si>
  <si>
    <t>Acero de refuerzo</t>
  </si>
  <si>
    <t>Perfiles de acero estructural</t>
  </si>
  <si>
    <t>Láminas</t>
  </si>
  <si>
    <t>Perfiles de lámina delgada</t>
  </si>
  <si>
    <t>Anclajes estructurales</t>
  </si>
  <si>
    <t>Pernos</t>
  </si>
  <si>
    <t>Soldadura</t>
  </si>
  <si>
    <t>fy</t>
  </si>
  <si>
    <t>E</t>
  </si>
  <si>
    <t>MATERIALES</t>
  </si>
  <si>
    <t>Resistencia del murete</t>
  </si>
  <si>
    <t>Resistencia de la unidad</t>
  </si>
  <si>
    <t>Tipo del mortero de pega</t>
  </si>
  <si>
    <t>Resistencia del mortero de pega</t>
  </si>
  <si>
    <t>Resistencia del mortero de inyección</t>
  </si>
  <si>
    <t>f'm</t>
  </si>
  <si>
    <t>f'cu</t>
  </si>
  <si>
    <t>f'cp</t>
  </si>
  <si>
    <t>f'cr</t>
  </si>
  <si>
    <t>Grupo de uso</t>
  </si>
  <si>
    <t>Coeficiente de importancia (I)</t>
  </si>
  <si>
    <t>Tabla A.2.5-1</t>
  </si>
  <si>
    <t>Grupo de Uso</t>
  </si>
  <si>
    <t>I</t>
  </si>
  <si>
    <t>II</t>
  </si>
  <si>
    <t>III</t>
  </si>
  <si>
    <t>IV</t>
  </si>
  <si>
    <t>NSR 10</t>
  </si>
  <si>
    <t>Uso de la estructura</t>
  </si>
  <si>
    <t>Espectro de diseño</t>
  </si>
  <si>
    <t>Tipo de Perfil de Suelo</t>
  </si>
  <si>
    <t>Altura efectiva</t>
  </si>
  <si>
    <t>Perfil de suelo</t>
  </si>
  <si>
    <t>A</t>
  </si>
  <si>
    <t>B</t>
  </si>
  <si>
    <t>C</t>
  </si>
  <si>
    <t>D</t>
  </si>
  <si>
    <t>Aa</t>
  </si>
  <si>
    <t>Av</t>
  </si>
  <si>
    <t>Microzona</t>
  </si>
  <si>
    <t>4a</t>
  </si>
  <si>
    <t>4b</t>
  </si>
  <si>
    <t>Tc</t>
  </si>
  <si>
    <t>TL</t>
  </si>
  <si>
    <t>4c</t>
  </si>
  <si>
    <t>4e</t>
  </si>
  <si>
    <t>4d</t>
  </si>
  <si>
    <t>Fa</t>
  </si>
  <si>
    <t>ESPECTRO DE PERIODO CORTO</t>
  </si>
  <si>
    <t>Fv</t>
  </si>
  <si>
    <t>ESPECTRO DE PERIODO LARGO</t>
  </si>
  <si>
    <t>Método de análisis sísmico (A.3.4)</t>
  </si>
  <si>
    <t>Separación con estructuras adyacentes</t>
  </si>
  <si>
    <t>Longitud de la edificación en sentido X</t>
  </si>
  <si>
    <t>Longitud de la edificación en sentido y</t>
  </si>
  <si>
    <t>Capacidad de disipación de energía (A.3.1.3)</t>
  </si>
  <si>
    <t>Fa - Tabla A.2.4-3</t>
  </si>
  <si>
    <t>Fv - Tabla A.2.4-4</t>
  </si>
  <si>
    <t>Coef. de aceleración pico efectiva (A.2.3.2)</t>
  </si>
  <si>
    <t>Coef. de velocidad pico efectiva (A.2.3.3)</t>
  </si>
  <si>
    <t>Coef. de Importancia (A.2.5.2)</t>
  </si>
  <si>
    <t>Coef. de reducción de Ro por irregularidad en Planta (A.3.3.4)</t>
  </si>
  <si>
    <t>Coef. de reducción de Ro por irregularidad en Altura (A.3.3.4)</t>
  </si>
  <si>
    <t>Coef. de reducción de Ro por ausencia de redundancia (A.3.3.8)</t>
  </si>
  <si>
    <t>Periodo de vibración fundamental aproximado (A.4.2)</t>
  </si>
  <si>
    <t>Modal</t>
  </si>
  <si>
    <t>φp</t>
  </si>
  <si>
    <t>φa</t>
  </si>
  <si>
    <t>R</t>
  </si>
  <si>
    <t>Ta</t>
  </si>
  <si>
    <t>FC1</t>
  </si>
  <si>
    <t>FC2</t>
  </si>
  <si>
    <t>1. CONCRETO</t>
  </si>
  <si>
    <t>2. ACERO</t>
  </si>
  <si>
    <t>3. MAMPOSTERÍA</t>
  </si>
  <si>
    <t>CIMENTACIÓN</t>
  </si>
  <si>
    <t>KN</t>
  </si>
  <si>
    <t>KN/m2</t>
  </si>
  <si>
    <t>Nivel</t>
  </si>
  <si>
    <t>Δavg</t>
  </si>
  <si>
    <t>Δmax/Δavg</t>
  </si>
  <si>
    <t>Irregular</t>
  </si>
  <si>
    <t>m</t>
  </si>
  <si>
    <t>A&gt;0.15B</t>
  </si>
  <si>
    <t>C&gt;0.15D</t>
  </si>
  <si>
    <t>CxD&gt;0.5AxB</t>
  </si>
  <si>
    <t>(CxD+CxE)&gt;0.5AxB</t>
  </si>
  <si>
    <t>¿Aplica?</t>
  </si>
  <si>
    <t>NO</t>
  </si>
  <si>
    <t>FACTOR POR IRREGULARIDAD EN PLANTA</t>
  </si>
  <si>
    <t>Piso i</t>
  </si>
  <si>
    <t>Rigidez i</t>
  </si>
  <si>
    <t>Ec. 1</t>
  </si>
  <si>
    <t>Ec. 2</t>
  </si>
  <si>
    <t>Ec. 3</t>
  </si>
  <si>
    <t>Ec. 4</t>
  </si>
  <si>
    <t>J</t>
  </si>
  <si>
    <t>H</t>
  </si>
  <si>
    <t>G</t>
  </si>
  <si>
    <t>F</t>
  </si>
  <si>
    <t>0.6Ki+1&lt;=Ki&lt;0.7Ki+1</t>
  </si>
  <si>
    <t>0.7/3(Ki+1 + Ki+2 + Ki+3)&lt;=Ki&lt;0.8/3(Ki+1 + Ki+2 + Ki+3)</t>
  </si>
  <si>
    <t>Ki&lt;0.6Ki+1</t>
  </si>
  <si>
    <t>Ki&lt;0.7/3(Ki+1 + Ki+2 + Ki+3)</t>
  </si>
  <si>
    <t>Masa i</t>
  </si>
  <si>
    <t>a</t>
  </si>
  <si>
    <t>b</t>
  </si>
  <si>
    <t>Resistencia i</t>
  </si>
  <si>
    <t>0.65Res Pi+1&lt;=Res Pi&lt;0.80Res Pi+1</t>
  </si>
  <si>
    <t>Res Pi&lt;0.65Res Pi+1</t>
  </si>
  <si>
    <t>FACTOR POR IRREGULARIDAD EN ALTURA</t>
  </si>
  <si>
    <t>φa Piso débil</t>
  </si>
  <si>
    <t>FACTOR POR REDUNDANCIA</t>
  </si>
  <si>
    <t>Φr</t>
  </si>
  <si>
    <t>COEF. POR CAPACIDAD DE DISIPACIÓN DE ENERGÍA</t>
  </si>
  <si>
    <t>NSR</t>
  </si>
  <si>
    <t>MZSC</t>
  </si>
  <si>
    <t>Tcortos</t>
  </si>
  <si>
    <t>Tlargos</t>
  </si>
  <si>
    <t>Tl</t>
  </si>
  <si>
    <t>T</t>
  </si>
  <si>
    <t>ESPECTRO NSR10</t>
  </si>
  <si>
    <t>Sa</t>
  </si>
  <si>
    <t>ESPECTRO MZSC</t>
  </si>
  <si>
    <t>Sa1</t>
  </si>
  <si>
    <t>Sa2</t>
  </si>
  <si>
    <t>Escogido</t>
  </si>
  <si>
    <t>INFORMACIÓN GENERAL</t>
  </si>
  <si>
    <t>L</t>
  </si>
  <si>
    <t>Carga viva</t>
  </si>
  <si>
    <t>W</t>
  </si>
  <si>
    <t>cm</t>
  </si>
  <si>
    <t>Instalaciones</t>
  </si>
  <si>
    <t>Muros y divisiones</t>
  </si>
  <si>
    <t>Mode</t>
  </si>
  <si>
    <t>Period</t>
  </si>
  <si>
    <t>UX</t>
  </si>
  <si>
    <t>UY</t>
  </si>
  <si>
    <t>UZ</t>
  </si>
  <si>
    <t>Sum UX</t>
  </si>
  <si>
    <t>Sum UY</t>
  </si>
  <si>
    <t>Sum UZ</t>
  </si>
  <si>
    <t>sec</t>
  </si>
  <si>
    <t>Periodo Fundamental Aproximado Ta (A.4.2-3)</t>
  </si>
  <si>
    <t>Sistema estructural</t>
  </si>
  <si>
    <t>Pórticos de Concreto Resistente a Momento</t>
  </si>
  <si>
    <t>Pórticos de Acero Resistente a Momento</t>
  </si>
  <si>
    <t>Pórticos de Arriostrados de Acero</t>
  </si>
  <si>
    <t>Muros de Rigidez</t>
  </si>
  <si>
    <t>Muros Estructurales de Concreto o Mampostería</t>
  </si>
  <si>
    <t>Ct</t>
  </si>
  <si>
    <t>Altura i</t>
  </si>
  <si>
    <t>K</t>
  </si>
  <si>
    <t>Story o Nivel</t>
  </si>
  <si>
    <t>Masa acum.</t>
  </si>
  <si>
    <t>TOTAL</t>
  </si>
  <si>
    <t>Cv</t>
  </si>
  <si>
    <t>φa - flexible</t>
  </si>
  <si>
    <t>φa - extremo</t>
  </si>
  <si>
    <t>SÍ</t>
  </si>
  <si>
    <t>CHEQUEO IRREGULARIDAD Y COEF. R</t>
  </si>
  <si>
    <t>Mpa</t>
  </si>
  <si>
    <t>Coef. de amplificación de la aceleración (periodos cortos)</t>
  </si>
  <si>
    <t>Coef. de amplificación de la aceleración (periodos intermedios)</t>
  </si>
  <si>
    <t>Elemento</t>
  </si>
  <si>
    <t xml:space="preserve">ESPECTRO DE DISEÑO </t>
  </si>
  <si>
    <t xml:space="preserve">Perfil de suelo </t>
  </si>
  <si>
    <t>Kg/m2 =</t>
  </si>
  <si>
    <r>
      <t>Δ</t>
    </r>
    <r>
      <rPr>
        <b/>
        <sz val="7.7"/>
        <color theme="1"/>
        <rFont val="Times New Roman"/>
        <family val="1"/>
      </rPr>
      <t>max</t>
    </r>
  </si>
  <si>
    <t>Story</t>
  </si>
  <si>
    <t>N+3.24</t>
  </si>
  <si>
    <t>N-0.00</t>
  </si>
  <si>
    <t>#</t>
  </si>
  <si>
    <t>Masa</t>
  </si>
  <si>
    <t>DISTRIBUCIÓN DE MASAS</t>
  </si>
  <si>
    <t>Elevación</t>
  </si>
  <si>
    <t>Kg/cm2</t>
  </si>
  <si>
    <t>3.1. IRREGULARIDADES EN PLANTA</t>
  </si>
  <si>
    <t>3.1.1 Irregularidad torsional (1aP,1bP)</t>
  </si>
  <si>
    <t>3.1.2 Retrocesos en las esquinas (2P)</t>
  </si>
  <si>
    <t>3.1.3 Irregularidad del diafragma (3P)</t>
  </si>
  <si>
    <t>3.1.4 Desplazamiento del plano de acción (4P)</t>
  </si>
  <si>
    <t>3.2. IRREGULARIDADES EN ALTURA</t>
  </si>
  <si>
    <t>3.2.1 Piso flexible (1aA, 1bA)</t>
  </si>
  <si>
    <t>3.2.2 Distribución de masa (2A)</t>
  </si>
  <si>
    <t>3.1.5 Sistemas no paralelos (5P)</t>
  </si>
  <si>
    <t>3.2.3 Geométrica (3A)</t>
  </si>
  <si>
    <t>3.2.4 Desplazamiento dentro del plano de acción (4A)</t>
  </si>
  <si>
    <t>3.2.4 Piso débil (5A)</t>
  </si>
  <si>
    <t>Story forces. D. Bottom</t>
  </si>
  <si>
    <t>P</t>
  </si>
  <si>
    <t>P piso</t>
  </si>
  <si>
    <t>3.3. AUSENCIA DE REDUNDANCIA</t>
  </si>
  <si>
    <t>Límite para periodos de vibración cortos (A.2.6.1.1)</t>
  </si>
  <si>
    <t>Límite para periodos de vibración largos (A.2.6.1.2)</t>
  </si>
  <si>
    <t>Modal participation mass ratios</t>
  </si>
  <si>
    <t>Case</t>
  </si>
  <si>
    <t>SumUX</t>
  </si>
  <si>
    <t>SumUY</t>
  </si>
  <si>
    <t>SumUZ</t>
  </si>
  <si>
    <t>RX</t>
  </si>
  <si>
    <t>RY</t>
  </si>
  <si>
    <t>RZ</t>
  </si>
  <si>
    <t>SumRX</t>
  </si>
  <si>
    <t>SumRY</t>
  </si>
  <si>
    <t>SumRZ</t>
  </si>
  <si>
    <t>Número de modos</t>
  </si>
  <si>
    <t>PERIODOS Y MASA EXCITADA</t>
  </si>
  <si>
    <t>Coeficiente de aceleración pico efectiva</t>
  </si>
  <si>
    <t>Coeficiente de velocidad pico efectiva</t>
  </si>
  <si>
    <t>Coeficiente de Importancia (A.2.5.2)</t>
  </si>
  <si>
    <t>Coeficiente de amplificación de la aceleración (periodos cortos)</t>
  </si>
  <si>
    <t>Coeficiente de amplificación de la aceleración (periodos intermedios)</t>
  </si>
  <si>
    <t>Altura de la estructura</t>
  </si>
  <si>
    <t>Sentido X</t>
  </si>
  <si>
    <t>Periodo</t>
  </si>
  <si>
    <t>Sentido Y</t>
  </si>
  <si>
    <t>s</t>
  </si>
  <si>
    <t>T sentido X:</t>
  </si>
  <si>
    <t>T sentido Y:</t>
  </si>
  <si>
    <t>Cu</t>
  </si>
  <si>
    <t>Cu*Ta</t>
  </si>
  <si>
    <t>Ta [s]</t>
  </si>
  <si>
    <t>Periodo fundamental de la edificación:</t>
  </si>
  <si>
    <t>Tx</t>
  </si>
  <si>
    <t>Ty</t>
  </si>
  <si>
    <t>Sa-x</t>
  </si>
  <si>
    <t>Sa-y</t>
  </si>
  <si>
    <t>Fs-x</t>
  </si>
  <si>
    <t>Fs-y</t>
  </si>
  <si>
    <t>Carga muerta</t>
  </si>
  <si>
    <t>Coeficiente por regularidad</t>
  </si>
  <si>
    <t>Regular</t>
  </si>
  <si>
    <t>Factor de ajuste - X</t>
  </si>
  <si>
    <t>Factor de ajuste - Y</t>
  </si>
  <si>
    <t>CASO</t>
  </si>
  <si>
    <t>Vx</t>
  </si>
  <si>
    <t>Vy</t>
  </si>
  <si>
    <t>Cálculo</t>
  </si>
  <si>
    <t>Sentido</t>
  </si>
  <si>
    <t>X</t>
  </si>
  <si>
    <t>Y</t>
  </si>
  <si>
    <t>---</t>
  </si>
  <si>
    <t>2. CONFIGURACIÓN</t>
  </si>
  <si>
    <t>CONFIGURACIÓN DE LA ESTRUCTURA</t>
  </si>
  <si>
    <t>6. PERIODOS Y MASA EXCITADA</t>
  </si>
  <si>
    <t>7. AJUSTE DE LA CARGA SÍSMICA</t>
  </si>
  <si>
    <t>Periodo obtenido del análisis dinámico en la dirección X</t>
  </si>
  <si>
    <t>Factor de corrección en la dirección X (A.5.5.4)</t>
  </si>
  <si>
    <t>Factor de corrección en la dirección Y (A.5.5.4)</t>
  </si>
  <si>
    <t>Deriva máxima inelástica - calculada</t>
  </si>
  <si>
    <t>Deriva máxima inelástica - permitida</t>
  </si>
  <si>
    <t>N/A</t>
  </si>
  <si>
    <t>CHEQUEO DE DERIVAS</t>
  </si>
  <si>
    <t>Label</t>
  </si>
  <si>
    <t>Unique Name</t>
  </si>
  <si>
    <t>Output Case</t>
  </si>
  <si>
    <t>Case Type</t>
  </si>
  <si>
    <t>Step Type</t>
  </si>
  <si>
    <t>Disp X</t>
  </si>
  <si>
    <t>Disp Y</t>
  </si>
  <si>
    <t>Drift  X</t>
  </si>
  <si>
    <t>Drift Y</t>
  </si>
  <si>
    <t>LinRespSpec</t>
  </si>
  <si>
    <t>Max</t>
  </si>
  <si>
    <t>Desplazamiento X</t>
  </si>
  <si>
    <t>Desplazamiento Y</t>
  </si>
  <si>
    <t>Deriva X</t>
  </si>
  <si>
    <t>Deriva Y</t>
  </si>
  <si>
    <t>Combinada</t>
  </si>
  <si>
    <t>DERIVA MÁXIMA</t>
  </si>
  <si>
    <t>Unique name</t>
  </si>
  <si>
    <t>Piso</t>
  </si>
  <si>
    <t>Comb.</t>
  </si>
  <si>
    <t>Joint drift</t>
  </si>
  <si>
    <t>MEMORIA DE CÁLCULOS ESTRUCTURALES</t>
  </si>
  <si>
    <t>V 25x30 - 21MPa</t>
  </si>
  <si>
    <t>No Message</t>
  </si>
  <si>
    <t>E-LRFD</t>
  </si>
  <si>
    <t>See ErrMsg</t>
  </si>
  <si>
    <t>B185</t>
  </si>
  <si>
    <t>B186</t>
  </si>
  <si>
    <t>B187</t>
  </si>
  <si>
    <t>B200</t>
  </si>
  <si>
    <t>B2</t>
  </si>
  <si>
    <t>B17</t>
  </si>
  <si>
    <t>cm²</t>
  </si>
  <si>
    <t>Número</t>
  </si>
  <si>
    <t>N°</t>
  </si>
  <si>
    <t>Área</t>
  </si>
  <si>
    <t>cm2</t>
  </si>
  <si>
    <t>Refuerzo mínimo</t>
  </si>
  <si>
    <t>Sección</t>
  </si>
  <si>
    <t>h</t>
  </si>
  <si>
    <t>e</t>
  </si>
  <si>
    <t>d</t>
  </si>
  <si>
    <t>As mínimo</t>
  </si>
  <si>
    <t>Arreglo básico</t>
  </si>
  <si>
    <t>Cant.</t>
  </si>
  <si>
    <t>+</t>
  </si>
  <si>
    <t>As sumin.</t>
  </si>
  <si>
    <t>¿Cumple?</t>
  </si>
  <si>
    <t>Arreglo</t>
  </si>
  <si>
    <t>Diseño ETABS</t>
  </si>
  <si>
    <t>Frame assignements - section properties</t>
  </si>
  <si>
    <t>LABEL</t>
  </si>
  <si>
    <t>SECTION</t>
  </si>
  <si>
    <t>As sup. Izq.</t>
  </si>
  <si>
    <t>As inf. Izq.</t>
  </si>
  <si>
    <t>As sup. Cen.</t>
  </si>
  <si>
    <t>As inf. Cen.</t>
  </si>
  <si>
    <t>As sup. Der.</t>
  </si>
  <si>
    <t>As inf. Der.</t>
  </si>
  <si>
    <t>Ag</t>
  </si>
  <si>
    <t>As requerido</t>
  </si>
  <si>
    <t>Cuantía</t>
  </si>
  <si>
    <t>L. Largo</t>
  </si>
  <si>
    <t>L. Corto</t>
  </si>
  <si>
    <t>Recub.</t>
  </si>
  <si>
    <t>bc1</t>
  </si>
  <si>
    <t>bc2</t>
  </si>
  <si>
    <t>S</t>
  </si>
  <si>
    <t>Ach</t>
  </si>
  <si>
    <t>Ash 1 sum.</t>
  </si>
  <si>
    <t>Ash 2 sum.</t>
  </si>
  <si>
    <t>Ramas</t>
  </si>
  <si>
    <t>Ash 2</t>
  </si>
  <si>
    <t>Ash 1</t>
  </si>
  <si>
    <t>DISEÑO DE VIGAS</t>
  </si>
  <si>
    <t>DISEÑO DE COLUMNAS</t>
  </si>
  <si>
    <r>
      <t>A</t>
    </r>
    <r>
      <rPr>
        <b/>
        <sz val="8"/>
        <color theme="1"/>
        <rFont val="Times New Roman"/>
        <family val="1"/>
      </rPr>
      <t>sh1 req.</t>
    </r>
  </si>
  <si>
    <r>
      <t>A</t>
    </r>
    <r>
      <rPr>
        <b/>
        <sz val="8"/>
        <color theme="1"/>
        <rFont val="Times New Roman"/>
        <family val="1"/>
      </rPr>
      <t>sh</t>
    </r>
    <r>
      <rPr>
        <b/>
        <sz val="11"/>
        <color theme="1"/>
        <rFont val="Times New Roman"/>
        <family val="1"/>
      </rPr>
      <t>1</t>
    </r>
  </si>
  <si>
    <r>
      <t>A</t>
    </r>
    <r>
      <rPr>
        <b/>
        <sz val="8"/>
        <color theme="1"/>
        <rFont val="Times New Roman"/>
        <family val="1"/>
      </rPr>
      <t>sh2 req.</t>
    </r>
  </si>
  <si>
    <r>
      <t>A</t>
    </r>
    <r>
      <rPr>
        <b/>
        <sz val="8"/>
        <color theme="1"/>
        <rFont val="Times New Roman"/>
        <family val="1"/>
      </rPr>
      <t>sh2</t>
    </r>
  </si>
  <si>
    <r>
      <t>A</t>
    </r>
    <r>
      <rPr>
        <b/>
        <sz val="8"/>
        <color theme="1"/>
        <rFont val="Times New Roman"/>
        <family val="1"/>
      </rPr>
      <t>sh1</t>
    </r>
    <r>
      <rPr>
        <b/>
        <sz val="11"/>
        <color theme="1"/>
        <rFont val="Times New Roman"/>
        <family val="1"/>
      </rPr>
      <t xml:space="preserve"> (1)</t>
    </r>
  </si>
  <si>
    <r>
      <t>A</t>
    </r>
    <r>
      <rPr>
        <b/>
        <sz val="8"/>
        <color theme="1"/>
        <rFont val="Times New Roman"/>
        <family val="1"/>
      </rPr>
      <t>sh1</t>
    </r>
    <r>
      <rPr>
        <b/>
        <sz val="11"/>
        <color theme="1"/>
        <rFont val="Times New Roman"/>
        <family val="1"/>
      </rPr>
      <t xml:space="preserve"> (2)</t>
    </r>
  </si>
  <si>
    <r>
      <t>A</t>
    </r>
    <r>
      <rPr>
        <b/>
        <sz val="8"/>
        <color theme="1"/>
        <rFont val="Times New Roman"/>
        <family val="1"/>
      </rPr>
      <t>sh2</t>
    </r>
    <r>
      <rPr>
        <b/>
        <sz val="11"/>
        <color theme="1"/>
        <rFont val="Times New Roman"/>
        <family val="1"/>
      </rPr>
      <t xml:space="preserve"> (1)</t>
    </r>
  </si>
  <si>
    <r>
      <t>A</t>
    </r>
    <r>
      <rPr>
        <b/>
        <sz val="8"/>
        <color theme="1"/>
        <rFont val="Times New Roman"/>
        <family val="1"/>
      </rPr>
      <t>sh2</t>
    </r>
    <r>
      <rPr>
        <b/>
        <sz val="11"/>
        <color theme="1"/>
        <rFont val="Times New Roman"/>
        <family val="1"/>
      </rPr>
      <t xml:space="preserve"> (2)</t>
    </r>
  </si>
  <si>
    <t>SISMO X</t>
  </si>
  <si>
    <t>SISMO Y</t>
  </si>
  <si>
    <t>Los análisis dinámicos de ETABS incluyen el cálculo de modos de vibración a través de Ritz o Eigen vectors, análisis de espectros de respuesta y "time-history", tanto para comportamiento lineal como no lineal. El análisis modal por “eigen-vector” encuentra los modos de vibración natural de la estructura y puede utilizarse para una mejor percepción del comportamiento de la misma, y también para la superposición modal de los análisis de espectro de respuesta y "time-history modal". El análisis modal por “ritz-vectors” encuentra los mejores modos de vibración para captar el comportamiento estructural en los análisis de espectro de respuesta y "time-history modal”, resultando más eficiente que el análisis por “eigen-vector”. El análisis modal por “eigen-vector” encuentra los modos de vibración natural de la estructura y puede utilizarse para una mejor percepción del comportamiento de la misma, y también para la superposición modal de los análisis de espectro de respuesta y "time-history modal". El análisis modal por “ritz-vectors” encuentra los mejores modos de vibración para captar el comportamiento estructural en los análisis de espectro de respuesta y "time-history modal”, resultando más eficiente que el análisis por “eigen-vector”.</t>
  </si>
  <si>
    <t xml:space="preserve">El software de diseña tiene considerados los siguientes principios de análisis. </t>
  </si>
  <si>
    <t>Etabs V.19.</t>
  </si>
  <si>
    <t>EQUIPO DE PROCESAMIENTO Y ANÁLISIS</t>
  </si>
  <si>
    <t>Periodo Tx</t>
  </si>
  <si>
    <t>Periodo Ty</t>
  </si>
  <si>
    <t>Bloque del muro</t>
  </si>
  <si>
    <t>Material</t>
  </si>
  <si>
    <t>Kp</t>
  </si>
  <si>
    <t>Kr</t>
  </si>
  <si>
    <t>Factor absorción unidad</t>
  </si>
  <si>
    <t>Factor absorción unidad inyectada</t>
  </si>
  <si>
    <t>Ancho de la unidad</t>
  </si>
  <si>
    <t>Largo de la unidad</t>
  </si>
  <si>
    <t>Alto de la unidad</t>
  </si>
  <si>
    <t>mm</t>
  </si>
  <si>
    <t>t</t>
  </si>
  <si>
    <t>l</t>
  </si>
  <si>
    <t xml:space="preserve">Área neta </t>
  </si>
  <si>
    <t>Área bruta</t>
  </si>
  <si>
    <t>An</t>
  </si>
  <si>
    <t>Ab</t>
  </si>
  <si>
    <t>Relación de áreas</t>
  </si>
  <si>
    <t>r</t>
  </si>
  <si>
    <t>mm2</t>
  </si>
  <si>
    <t>Área de vacíos</t>
  </si>
  <si>
    <t>Rm</t>
  </si>
  <si>
    <t>M</t>
  </si>
  <si>
    <t>Espaciamiento del relleno</t>
  </si>
  <si>
    <t>r'</t>
  </si>
  <si>
    <t>Cortante C.11.2.1.1 / C.11.4.7.2</t>
  </si>
  <si>
    <t>Resistencia del concreto</t>
  </si>
  <si>
    <t>φVc</t>
  </si>
  <si>
    <t>Vu</t>
  </si>
  <si>
    <t>Recomend.</t>
  </si>
  <si>
    <t>Barra</t>
  </si>
  <si>
    <t>Asv</t>
  </si>
  <si>
    <t>φVs</t>
  </si>
  <si>
    <t>φVn</t>
  </si>
  <si>
    <t>Ramas de estribos</t>
  </si>
  <si>
    <t>Ancho</t>
  </si>
  <si>
    <t># Ramas</t>
  </si>
  <si>
    <t>Pulg.</t>
  </si>
  <si>
    <t>Área aferente</t>
  </si>
  <si>
    <t>m2</t>
  </si>
  <si>
    <t>Viga</t>
  </si>
  <si>
    <t>Alto</t>
  </si>
  <si>
    <t>Af</t>
  </si>
  <si>
    <t>Peso propio</t>
  </si>
  <si>
    <t>Pp</t>
  </si>
  <si>
    <t>KN/m</t>
  </si>
  <si>
    <t>Mu</t>
  </si>
  <si>
    <t>KN-m</t>
  </si>
  <si>
    <t>Resistencia al momento</t>
  </si>
  <si>
    <t>Rn</t>
  </si>
  <si>
    <t>ρ</t>
  </si>
  <si>
    <t>As</t>
  </si>
  <si>
    <t>Cantidad</t>
  </si>
  <si>
    <t>As suminis.</t>
  </si>
  <si>
    <t>Rec.</t>
  </si>
  <si>
    <t>Resistencias</t>
  </si>
  <si>
    <t>CMS</t>
  </si>
  <si>
    <t>CV</t>
  </si>
  <si>
    <t>Fuerzas</t>
  </si>
  <si>
    <t>Long.</t>
  </si>
  <si>
    <t>V-1</t>
  </si>
  <si>
    <t>GEOMETRÍA Y FUERZAS</t>
  </si>
  <si>
    <t>DISEÑO VIGAS - FUERZAS VERTICALES</t>
  </si>
  <si>
    <t>DISEÑO</t>
  </si>
  <si>
    <t>V-2</t>
  </si>
  <si>
    <t>V-3</t>
  </si>
  <si>
    <t>V-4</t>
  </si>
  <si>
    <t>V-5</t>
  </si>
  <si>
    <t>V-6</t>
  </si>
  <si>
    <t>V-7</t>
  </si>
  <si>
    <t>V-8</t>
  </si>
  <si>
    <t>V-9</t>
  </si>
  <si>
    <t>V-10</t>
  </si>
  <si>
    <t>V-11</t>
  </si>
  <si>
    <t>V-12</t>
  </si>
  <si>
    <t>V-13</t>
  </si>
  <si>
    <t>V-14</t>
  </si>
  <si>
    <t>V-15</t>
  </si>
  <si>
    <t>V-16</t>
  </si>
  <si>
    <t>V-17</t>
  </si>
  <si>
    <t>V-18</t>
  </si>
  <si>
    <t>V-19</t>
  </si>
  <si>
    <t>V-20</t>
  </si>
  <si>
    <t>V-21</t>
  </si>
  <si>
    <t>V-22</t>
  </si>
  <si>
    <t>V-23</t>
  </si>
  <si>
    <t>V-24</t>
  </si>
  <si>
    <t>V-25</t>
  </si>
  <si>
    <t>Sep.</t>
  </si>
  <si>
    <t>Arcilla</t>
  </si>
  <si>
    <t>Vb X (FHE)</t>
  </si>
  <si>
    <t>Vb Y (FHE)</t>
  </si>
  <si>
    <t>Vb X (Dinámico)</t>
  </si>
  <si>
    <t>Vb Y (Dinámico)</t>
  </si>
  <si>
    <t>Sin ajustar</t>
  </si>
  <si>
    <t>Ajustado</t>
  </si>
  <si>
    <t xml:space="preserve">MEMORIAL DE RESPONSABILIDAD </t>
  </si>
  <si>
    <t xml:space="preserve">Cordial saludo, </t>
  </si>
  <si>
    <t xml:space="preserve">Eximo a la ciudad de cualquier prejuicio que ocasione dicho cálculo estructural. Anexo fotocopia de la matricula profesional vigente y copia de las memorias de cálculo y los planos estructurales respectivos. </t>
  </si>
  <si>
    <t xml:space="preserve">Atentamente, </t>
  </si>
  <si>
    <t>ALTA</t>
  </si>
  <si>
    <t>De acuerdo con lo indicado en el numeral A.9.3.1.1 del presente reglamento, recae sobre cada fabricante de elementos no estructurales la responsabilidad y diseño de estos, por lo que se es responsable únicamente de los aquí descritos en la memoria.</t>
  </si>
  <si>
    <t>Alcance del documento</t>
  </si>
  <si>
    <t>Diseño Estructura Metálica:</t>
  </si>
  <si>
    <t>Diseño estructura en Concreto Reforzado:</t>
  </si>
  <si>
    <t>Diseño Estructura de Cimentación:</t>
  </si>
  <si>
    <t>Diseño de elementos No Estructurales:</t>
  </si>
  <si>
    <t>Sistema estructural de resistencia sísmica - Sentido Long. (A.3.2)</t>
  </si>
  <si>
    <t>Sistema estructural de resistencia sísmica - Sentido Transv. (A.3.2)</t>
  </si>
  <si>
    <t>Rox</t>
  </si>
  <si>
    <t>Roy</t>
  </si>
  <si>
    <t>Coef. de disipación de energía básico - Long.(A.3.1.3)</t>
  </si>
  <si>
    <t>Coef. de disipación de energía básico - Transv.(A.3.1.3)</t>
  </si>
  <si>
    <t>φr x</t>
  </si>
  <si>
    <t>Rx</t>
  </si>
  <si>
    <t>Periodo obtenido del análisis dinámico en la dirección Y</t>
  </si>
  <si>
    <t>Las combinaciones de diseño (ASD) empleadas en la verificación de los estados límites de servicio de los diferentes elementos del proyecto, según B.2.3 de la NSR-10, se presentan a continuación:</t>
  </si>
  <si>
    <t>(B.2.3-1)</t>
  </si>
  <si>
    <t xml:space="preserve">D + F </t>
  </si>
  <si>
    <t xml:space="preserve">D + H + F + L + T </t>
  </si>
  <si>
    <t xml:space="preserve">D + H + F + (LR o G o LE) </t>
  </si>
  <si>
    <t>D + H + F + 0.75 (L + T) + 0.75 (LR o G o LE)</t>
  </si>
  <si>
    <t xml:space="preserve">D + H + F + W </t>
  </si>
  <si>
    <t xml:space="preserve">D + H + F + 0.7E </t>
  </si>
  <si>
    <t>D + H + F + 0.75W + 0.75L + 0.75 (LR o G o LE)</t>
  </si>
  <si>
    <t>D + H + F + 0.52E + 0.75L + 0.75 (LR o G o LE)</t>
  </si>
  <si>
    <t xml:space="preserve">0.6D + W + H </t>
  </si>
  <si>
    <t>0.6D + 0.7E + H</t>
  </si>
  <si>
    <t xml:space="preserve"> </t>
  </si>
  <si>
    <t>Las combinaciones de diseño (LRFD) empleadas en la verificación de resistencia de los diferentes elementos del proyecto, según B.2.4 de la NSR-10, se presentan a continuación:</t>
  </si>
  <si>
    <t>(B.2.4-1)</t>
  </si>
  <si>
    <t>1.4D</t>
  </si>
  <si>
    <t>(B.2.4-2)</t>
  </si>
  <si>
    <t xml:space="preserve">1.2D + 1.6L + 0.5LR </t>
  </si>
  <si>
    <t xml:space="preserve">1.2D + 1.6L + 0.5G </t>
  </si>
  <si>
    <t>(B.2.4-3)</t>
  </si>
  <si>
    <t>1.2D + 1.6LR + L</t>
  </si>
  <si>
    <t>1.2D + 1.6G + L</t>
  </si>
  <si>
    <t xml:space="preserve">1.2D + 1.6G + 0.5WX </t>
  </si>
  <si>
    <t>1.2D + 1.6G + 0.5WY</t>
  </si>
  <si>
    <t xml:space="preserve">1.2D + 1.6LR + 0.5WX </t>
  </si>
  <si>
    <t>1.2D + 1.6LR + 0.5WY</t>
  </si>
  <si>
    <t>(B.2.4-4)</t>
  </si>
  <si>
    <t>1.2D + 1.0WX + 0.5L + 0.5LR</t>
  </si>
  <si>
    <t xml:space="preserve">1.2D + 1.0WY + 0.5L + 0.5LR </t>
  </si>
  <si>
    <t xml:space="preserve">1.2D + 1.0WX + 0.5L + 0.5G </t>
  </si>
  <si>
    <t xml:space="preserve">1.2D + 1.0WY + 0.5L + 0.5G </t>
  </si>
  <si>
    <t>(B.2.4-5)</t>
  </si>
  <si>
    <t xml:space="preserve">1.2D + 1.0EX + 1.0L </t>
  </si>
  <si>
    <t xml:space="preserve">1.2D - 1.0EX + 1.0L </t>
  </si>
  <si>
    <t xml:space="preserve">1.2D + 1.0EY + 1.0L </t>
  </si>
  <si>
    <t xml:space="preserve">1.2D - 1.0EY + 1.0L </t>
  </si>
  <si>
    <t>(B.2.4-6)</t>
  </si>
  <si>
    <t>0.9D - 1.0WX</t>
  </si>
  <si>
    <t xml:space="preserve">0.9D - 1.0WY </t>
  </si>
  <si>
    <t>(B.2.4-7)</t>
  </si>
  <si>
    <t>0.9D - 1.0EX</t>
  </si>
  <si>
    <t xml:space="preserve">0.9D + 1.0EX </t>
  </si>
  <si>
    <t xml:space="preserve">0.9D - 1.0EY </t>
  </si>
  <si>
    <t xml:space="preserve">0.9D + 1.0EY </t>
  </si>
  <si>
    <t>1. DEFINICIÓN DE CARGAS</t>
  </si>
  <si>
    <t>Las cargas muertas consideradas para el diseño de la estructura son debidas al sistema de red contraincendios, redes eléctricas, hidráulicas y sanitarias, elementos menores, entre otros. El peso propio de los elementos estructurales es considerado automáticamente por el software de diseño estructural.</t>
  </si>
  <si>
    <t>Total</t>
  </si>
  <si>
    <t>Según la Tabla B.4.2.1-1 de la NSR-10, se deben considerar cargas uniformemente repartidas en la estructura debida al uso, las cuales se definen en magnitud según el tipo de ocupación del edificio o área de entrepiso. Por lo tanto, para los diferentes niveles y ocupaciones del proyecto se presentan las siguientes cargas vivas implementadas:</t>
  </si>
  <si>
    <t>1.2 Cargas vivas</t>
  </si>
  <si>
    <t>Cargas de entrepiso</t>
  </si>
  <si>
    <t>Zona de amenaza sísmica (A.2.3)</t>
  </si>
  <si>
    <t>Ubicación</t>
  </si>
  <si>
    <t>Con base en los coeficientes asumidos anteriormente, se construye el espectro de diseño según A.2.6 de la NSR-10 para un coeficiente de amortiguamiento del 5% del amortiguamiento crítico expresado en función de la gravedad (g).</t>
  </si>
  <si>
    <t>Coeficiente de Importancia</t>
  </si>
  <si>
    <t>Aceleración espectral</t>
  </si>
  <si>
    <t>Se presenta la distribución de masas (pesos propios de elementos y cargas sobreimpuestas) por cada piso de la edificación:</t>
  </si>
  <si>
    <t xml:space="preserve">Se verifica que en ambas direcciones se pueda exitar más del 80% de la masa de la estructura. Se anexa el reporte de ETABS con los porcentajes de participación de masa en los modos de la estructura. </t>
  </si>
  <si>
    <t>Periodos calculados en el modelo</t>
  </si>
  <si>
    <t>Periodos a usar</t>
  </si>
  <si>
    <t>Cálculo de la cortante basal por el método de la fuerza horizontal equivalente</t>
  </si>
  <si>
    <t>Vb X (Dinámico ajustado)</t>
  </si>
  <si>
    <t>Vb Y (Dinámico ajustado)</t>
  </si>
  <si>
    <t>g</t>
  </si>
  <si>
    <t>Coeficientes (en función de g=9.807 m/s2)</t>
  </si>
  <si>
    <t>3. PARÁMETROS SÍSMICOS</t>
  </si>
  <si>
    <t>4. DISTRIBUCIÓN DE MASAS</t>
  </si>
  <si>
    <t>5. IRREGULARIDADES</t>
  </si>
  <si>
    <t>8. CHEQUEO DE DERIVAS</t>
  </si>
  <si>
    <t>Información geotécnica</t>
  </si>
  <si>
    <t>Memoria de cálculos estructurales</t>
  </si>
  <si>
    <t>DEFINICIÓN DE CARGAS</t>
  </si>
  <si>
    <t>PARÁMETROS SÍSMICOS</t>
  </si>
  <si>
    <t>AJUSTE DE LA CARGA SÍSMICA</t>
  </si>
  <si>
    <t>REPORTES DE DISEÑO</t>
  </si>
  <si>
    <t>*Pendiente mencionar diseño de elementos no estructurales</t>
  </si>
  <si>
    <t>Muros</t>
  </si>
  <si>
    <t>Correas</t>
  </si>
  <si>
    <t>Fy</t>
  </si>
  <si>
    <t>Fu</t>
  </si>
  <si>
    <t>ASTM A500 Gr. C</t>
  </si>
  <si>
    <t>ASTM A572 Gr. 50</t>
  </si>
  <si>
    <t>ASTM A193 Gr, B7</t>
  </si>
  <si>
    <t>9. REPORTES DE DISEÑO PARA ESTADOS LÍMITES DE RESISTENCIA</t>
  </si>
  <si>
    <t>DISEÑO DE ELEMENTOS NO ESTRUCTURALES</t>
  </si>
  <si>
    <t>Acabados h=5cm</t>
  </si>
  <si>
    <t xml:space="preserve">Teja </t>
  </si>
  <si>
    <t>Pórticos de concreto resistentes a momento</t>
  </si>
  <si>
    <t>Muros de fachada</t>
  </si>
  <si>
    <t>Kg/m =</t>
  </si>
  <si>
    <t>¿Se considera?</t>
  </si>
  <si>
    <t>φrx</t>
  </si>
  <si>
    <t>φry</t>
  </si>
  <si>
    <t>3.3.1 Sentido X</t>
  </si>
  <si>
    <t>3.3.2 Sentido Y</t>
  </si>
  <si>
    <t>Puesto que se tienen 3 elementos por eje en el sentido X, se considera que sí se dará una reducción en la capacidad de soportar cargas horizontales.</t>
  </si>
  <si>
    <t>Puesto que se tienen más de 3 elementos por eje en el sentido Y, se considera que no se dará una reducción en la capacidad de soportar cargas horizontales.</t>
  </si>
  <si>
    <t>Coef. de capacidad de disipación de energía - Sentido X (A.3)</t>
  </si>
  <si>
    <t>Coef. de capacidad de disipación de energía - Sentido Y (A.3)</t>
  </si>
  <si>
    <t>Ry</t>
  </si>
  <si>
    <t xml:space="preserve">Análisis </t>
  </si>
  <si>
    <t>Diseño</t>
  </si>
  <si>
    <t>φr y</t>
  </si>
  <si>
    <t>SX</t>
  </si>
  <si>
    <t>SY</t>
  </si>
  <si>
    <t>Santiago de Cali</t>
  </si>
  <si>
    <t>R0</t>
  </si>
  <si>
    <t>REVISIÓN 0</t>
  </si>
  <si>
    <t>Memorial de responsabilidad</t>
  </si>
  <si>
    <t>INFORMACIÓN ADICIONAL</t>
  </si>
  <si>
    <t>Combinaciones de carga</t>
  </si>
  <si>
    <t>Altura promedio</t>
  </si>
  <si>
    <t>1.1 Cargas muertas</t>
  </si>
  <si>
    <t>10. DISEÑO DE CIMENTACIÓN</t>
  </si>
  <si>
    <t>MP. 171037-0527758 VLL</t>
  </si>
  <si>
    <t>Índices de sobreesfuerzo para elementos de concreto.</t>
  </si>
  <si>
    <t xml:space="preserve">JUAN JOSÉ ZAMORA JIMÉNEZ </t>
  </si>
  <si>
    <t>CORREAS DE CUBIERTA</t>
  </si>
  <si>
    <t>La presente tiene por objeto dar constancia que el diseño estructural de la edificación:</t>
  </si>
  <si>
    <t>Miranda, Cauca</t>
  </si>
  <si>
    <t>INGENIERO CIVIL/ESTRUCTURAL: JAVERIANA CALI</t>
  </si>
  <si>
    <r>
      <t xml:space="preserve">Se encuentra </t>
    </r>
    <r>
      <rPr>
        <b/>
        <sz val="11"/>
        <color theme="1"/>
        <rFont val="Times New Roman"/>
        <family val="1"/>
      </rPr>
      <t xml:space="preserve">dentro </t>
    </r>
    <r>
      <rPr>
        <sz val="11"/>
        <color theme="1"/>
        <rFont val="Times New Roman"/>
        <family val="1"/>
      </rPr>
      <t>del alcance del presente documento.</t>
    </r>
  </si>
  <si>
    <r>
      <t xml:space="preserve">Se encuentra </t>
    </r>
    <r>
      <rPr>
        <b/>
        <sz val="11"/>
        <color theme="1"/>
        <rFont val="Times New Roman"/>
        <family val="1"/>
      </rPr>
      <t xml:space="preserve">fuera </t>
    </r>
    <r>
      <rPr>
        <sz val="11"/>
        <color theme="1"/>
        <rFont val="Times New Roman"/>
        <family val="1"/>
      </rPr>
      <t>del alcance de este documento.</t>
    </r>
  </si>
  <si>
    <t xml:space="preserve">Señor: </t>
  </si>
  <si>
    <t>t total</t>
  </si>
  <si>
    <t>Espesor losa</t>
  </si>
  <si>
    <t>t loseta sup.</t>
  </si>
  <si>
    <t>Espesor loseta superior</t>
  </si>
  <si>
    <t>t loseta inf.</t>
  </si>
  <si>
    <t>Espesor loseta inferior</t>
  </si>
  <si>
    <t>S viguetas</t>
  </si>
  <si>
    <t>Separación viguetas</t>
  </si>
  <si>
    <t>b viguetas</t>
  </si>
  <si>
    <t>Ancho viguetas</t>
  </si>
  <si>
    <t>S riostras</t>
  </si>
  <si>
    <t>Separación riostras</t>
  </si>
  <si>
    <t>b riostras</t>
  </si>
  <si>
    <t>Ancho riostras</t>
  </si>
  <si>
    <t>Peso Loseta superior</t>
  </si>
  <si>
    <t>Peso Loseta inferior</t>
  </si>
  <si>
    <t>Peso viguetas</t>
  </si>
  <si>
    <t>Peso propio total losa</t>
  </si>
  <si>
    <t>Cargas muertas - peso propio entrepiso</t>
  </si>
  <si>
    <t>Cargas muertas - sobreimpuestas</t>
  </si>
  <si>
    <t>Cielo falso</t>
  </si>
  <si>
    <t>Cargas muertas - cubierta</t>
  </si>
  <si>
    <t xml:space="preserve">Carga lineal </t>
  </si>
  <si>
    <t>Interpolación</t>
  </si>
  <si>
    <t>Espesor</t>
  </si>
  <si>
    <t>1.3 Cargas de viento</t>
  </si>
  <si>
    <t>Se calculan las cargas de viento usando el software Arquimet 2.0.</t>
  </si>
  <si>
    <t>Carga de viento a succión</t>
  </si>
  <si>
    <t>Carga de viento a presión</t>
  </si>
  <si>
    <t>JUAN JOSÉ ZAMORA JIMÉNEZ</t>
  </si>
  <si>
    <t>Actualización</t>
  </si>
  <si>
    <t>Kpa</t>
  </si>
  <si>
    <t xml:space="preserve">ɣ Suelo </t>
  </si>
  <si>
    <t>KN/m3</t>
  </si>
  <si>
    <t>ɣ Concreto</t>
  </si>
  <si>
    <t>Zapata Tipo</t>
  </si>
  <si>
    <t>Chequeo cortante bidireccional</t>
  </si>
  <si>
    <t>Chequeo cortante unidireccional</t>
  </si>
  <si>
    <t>Momento para refuerzo</t>
  </si>
  <si>
    <t>Zapata N°</t>
  </si>
  <si>
    <t>Diseño zapata medianera</t>
  </si>
  <si>
    <t>Diseño zapata esquinera</t>
  </si>
  <si>
    <t>Posición columna</t>
  </si>
  <si>
    <t>Cargas servicio</t>
  </si>
  <si>
    <t>Dimensiones zapatas</t>
  </si>
  <si>
    <t>Peso zapata</t>
  </si>
  <si>
    <t>Peso suelo</t>
  </si>
  <si>
    <t>Dimensiones zapata</t>
  </si>
  <si>
    <t>Chequeo de presiones</t>
  </si>
  <si>
    <t>Sentido del lado B</t>
  </si>
  <si>
    <t>Refuerzo superior sentido B. A&amp;Ab</t>
  </si>
  <si>
    <t>Refuerzo superior sentido L. A&amp;Ab</t>
  </si>
  <si>
    <t>Método 2 (Jose Calavera)</t>
  </si>
  <si>
    <t>Refuerzo viga de equilibrio</t>
  </si>
  <si>
    <t>Mr</t>
  </si>
  <si>
    <t>qmax</t>
  </si>
  <si>
    <t>qmin</t>
  </si>
  <si>
    <t>¿cumple?</t>
  </si>
  <si>
    <t>Pu</t>
  </si>
  <si>
    <t>Mx</t>
  </si>
  <si>
    <t>My</t>
  </si>
  <si>
    <t>Pz</t>
  </si>
  <si>
    <t>Ps</t>
  </si>
  <si>
    <t>B recom.</t>
  </si>
  <si>
    <t>B usar</t>
  </si>
  <si>
    <t>L recom.</t>
  </si>
  <si>
    <t>L usar</t>
  </si>
  <si>
    <t>ex</t>
  </si>
  <si>
    <t>ey</t>
  </si>
  <si>
    <t>q1</t>
  </si>
  <si>
    <t>q2</t>
  </si>
  <si>
    <t>q3</t>
  </si>
  <si>
    <t>q4</t>
  </si>
  <si>
    <t>ISE</t>
  </si>
  <si>
    <t>Vubd</t>
  </si>
  <si>
    <t>Vn1</t>
  </si>
  <si>
    <t>Vn2</t>
  </si>
  <si>
    <t>Vn3</t>
  </si>
  <si>
    <t>Vuud (B)</t>
  </si>
  <si>
    <t>Vuud (L)</t>
  </si>
  <si>
    <t>φVc(B)</t>
  </si>
  <si>
    <t>φVc(L)</t>
  </si>
  <si>
    <t>Mu (B)</t>
  </si>
  <si>
    <t>As sum.</t>
  </si>
  <si>
    <t>Sep</t>
  </si>
  <si>
    <t>Arreglo a usar</t>
  </si>
  <si>
    <t>f*</t>
  </si>
  <si>
    <t>KL</t>
  </si>
  <si>
    <t>Condición de apoyo</t>
  </si>
  <si>
    <t>λ</t>
  </si>
  <si>
    <t>Tu</t>
  </si>
  <si>
    <t>Ast req.</t>
  </si>
  <si>
    <t>N° Barra</t>
  </si>
  <si>
    <t>Df</t>
  </si>
  <si>
    <t>kg/cm3</t>
  </si>
  <si>
    <t>Z1</t>
  </si>
  <si>
    <t>Empotrado</t>
  </si>
  <si>
    <t>Viga de amarre</t>
  </si>
  <si>
    <t>Cargas definitivas</t>
  </si>
  <si>
    <t>Propiedades geométricas de la zapata</t>
  </si>
  <si>
    <t>Dimensiones columna/pedestal</t>
  </si>
  <si>
    <t>M volcamiento (L)</t>
  </si>
  <si>
    <t>M volcamiento (B)</t>
  </si>
  <si>
    <t>Chequeo por aplastamiento</t>
  </si>
  <si>
    <t>Sentido del lado L</t>
  </si>
  <si>
    <t>Método 1 (Enrique Kerpel)</t>
  </si>
  <si>
    <t>α s</t>
  </si>
  <si>
    <t>β columna</t>
  </si>
  <si>
    <t>β zapata</t>
  </si>
  <si>
    <t>b0</t>
  </si>
  <si>
    <t>Ic</t>
  </si>
  <si>
    <t>Estado de la zapata</t>
  </si>
  <si>
    <t>M vol. Res.</t>
  </si>
  <si>
    <t>FS Volcam.</t>
  </si>
  <si>
    <t>A1</t>
  </si>
  <si>
    <t>A2</t>
  </si>
  <si>
    <t>R(A2/A1)</t>
  </si>
  <si>
    <t>φPn</t>
  </si>
  <si>
    <t>¿Necesita viga?</t>
  </si>
  <si>
    <t>H min</t>
  </si>
  <si>
    <t>H usar</t>
  </si>
  <si>
    <t>Mu (L)</t>
  </si>
  <si>
    <t>As req.</t>
  </si>
  <si>
    <t>M*</t>
  </si>
  <si>
    <t>Ast sum</t>
  </si>
  <si>
    <t>m4</t>
  </si>
  <si>
    <t>KN-M</t>
  </si>
  <si>
    <t>DES</t>
  </si>
  <si>
    <t>Observación método 1:</t>
  </si>
  <si>
    <t>M* se modifica dependiendo de la orientación de la cimentación</t>
  </si>
  <si>
    <r>
      <t xml:space="preserve">Esquema de la planta de la estructura. Se indican los </t>
    </r>
    <r>
      <rPr>
        <i/>
        <sz val="11"/>
        <color theme="1"/>
        <rFont val="Times New Roman"/>
        <family val="1"/>
      </rPr>
      <t xml:space="preserve">Unique Names </t>
    </r>
    <r>
      <rPr>
        <sz val="11"/>
        <color theme="1"/>
        <rFont val="Times New Roman"/>
        <family val="1"/>
      </rPr>
      <t xml:space="preserve">correspondientes a cada apoyo, de los cuales se toman las condiciones más críticas para realizar la verificación del diseño de la zapata. </t>
    </r>
  </si>
  <si>
    <t>Observación método 2:</t>
  </si>
  <si>
    <t>f*: factor de corrección por la relación de aspecto de la zapata</t>
  </si>
  <si>
    <t>TABLA C.3.5.3-2</t>
  </si>
  <si>
    <t>Adición</t>
  </si>
  <si>
    <t>Dimensiones nominales de las barras de refuerzo</t>
  </si>
  <si>
    <t>Diámetro de referencia</t>
  </si>
  <si>
    <t>DIMENSIONES NOMINALES</t>
  </si>
  <si>
    <t>Diámetro</t>
  </si>
  <si>
    <t>Perímetro</t>
  </si>
  <si>
    <t>Gan. Zap.</t>
  </si>
  <si>
    <t>kg/m</t>
  </si>
  <si>
    <t>V1</t>
  </si>
  <si>
    <t>m3</t>
  </si>
  <si>
    <t>ϴ</t>
  </si>
  <si>
    <t>°</t>
  </si>
  <si>
    <t>V2</t>
  </si>
  <si>
    <t>rad</t>
  </si>
  <si>
    <t>tan(ϴ)</t>
  </si>
  <si>
    <t>Vf</t>
  </si>
  <si>
    <t>tan(90-ϴ)</t>
  </si>
  <si>
    <t>Vs</t>
  </si>
  <si>
    <t>Diferencia m3</t>
  </si>
  <si>
    <t>11. CARGA DE VIENTO</t>
  </si>
  <si>
    <t>12. CORREAS DE CUBIERTA</t>
  </si>
  <si>
    <t>Santiago de Cali, Mayo de 2024</t>
  </si>
  <si>
    <t xml:space="preserve">Muros de antepecho </t>
  </si>
  <si>
    <t>Chequeo volcamiento</t>
  </si>
  <si>
    <t>Chequeo ex</t>
  </si>
  <si>
    <t>Chequeo ey</t>
  </si>
  <si>
    <t>MIRANDA, VALLE DEL CAUCA</t>
  </si>
  <si>
    <t>Los parámetros sísmicos y recomendaciones para la cimentación fueron tomados del documento "CONSTRUCCIÓN NUEVA TRES NIVELES CON ALTILLO PARA VIVIENDA BIFAMILIAR Y COMERCIO CARRERA 5 # 5 - 02 BARRIO CENTRO
MIRANDA - CAUCA" suministrado por el Ingeniero Nelson Armando Fierro Perez</t>
  </si>
  <si>
    <t>*Se considera un aumento del 33% al considerar combinaciones con carga sísmica.</t>
  </si>
  <si>
    <t>qa*</t>
  </si>
  <si>
    <t>Excentricidades</t>
  </si>
  <si>
    <t>B8</t>
  </si>
  <si>
    <t>B9</t>
  </si>
  <si>
    <t>B10</t>
  </si>
  <si>
    <t>B11</t>
  </si>
  <si>
    <t>B19</t>
  </si>
  <si>
    <t>B21</t>
  </si>
  <si>
    <t>B27</t>
  </si>
  <si>
    <t>B29</t>
  </si>
  <si>
    <t>B245A-2 (-EX)</t>
  </si>
  <si>
    <t>B247A-2 (-EX)</t>
  </si>
  <si>
    <t>B245B-2 (-EY)</t>
  </si>
  <si>
    <t>B242A-3 (L+LR)</t>
  </si>
  <si>
    <t>B247B-2 (-EY)</t>
  </si>
  <si>
    <t>B242A-4 (L+LR)</t>
  </si>
  <si>
    <t>B242A-1 (L+LR)</t>
  </si>
  <si>
    <t>End-I</t>
  </si>
  <si>
    <t>Middle</t>
  </si>
  <si>
    <t>End-J</t>
  </si>
  <si>
    <t>UniqueName</t>
  </si>
  <si>
    <t>Section</t>
  </si>
  <si>
    <t>Location</t>
  </si>
  <si>
    <t>-ve Moment Combo</t>
  </si>
  <si>
    <t>-ve Moment</t>
  </si>
  <si>
    <t>kN-m</t>
  </si>
  <si>
    <t>As Top</t>
  </si>
  <si>
    <t>mm²</t>
  </si>
  <si>
    <t>+ve Moment Combo</t>
  </si>
  <si>
    <t>+ve Moment</t>
  </si>
  <si>
    <t>As Bot</t>
  </si>
  <si>
    <t>Concrete Beam Flexure Envelope</t>
  </si>
  <si>
    <t>Element + Location</t>
  </si>
  <si>
    <t>Nota: En la siguiente tabla se observan los requerimientos mínimos de refuerzo longitudinal para las vigas, así como el refuerzo típico para la mayoría de las secciones. Para mayor detallado revisar los anexos y los planos de despieces.</t>
  </si>
  <si>
    <t>9. DISEÑO DE VIGAS</t>
  </si>
  <si>
    <t>REPORTE DE SOFTWARE DE DISEÑO</t>
  </si>
  <si>
    <t>Medianera</t>
  </si>
  <si>
    <t>Esquinera</t>
  </si>
  <si>
    <t>Luz max.</t>
  </si>
  <si>
    <t>ZDAS*</t>
  </si>
  <si>
    <t>*Zona de amenaza sísmica</t>
  </si>
  <si>
    <t>Brazo de la carga axial (Para volcamiento)</t>
  </si>
  <si>
    <t>Desplazada en el sentido:</t>
  </si>
  <si>
    <t>B39</t>
  </si>
  <si>
    <t>B41</t>
  </si>
  <si>
    <t>Cargas muertas - fachadas</t>
  </si>
  <si>
    <t>B242B-1 (L+G)</t>
  </si>
  <si>
    <t>V30X50</t>
  </si>
  <si>
    <t>V35X50</t>
  </si>
  <si>
    <t>B31</t>
  </si>
  <si>
    <t>B242B-2 (L+G)</t>
  </si>
  <si>
    <t>B37</t>
  </si>
  <si>
    <t>B46</t>
  </si>
  <si>
    <t>B47</t>
  </si>
  <si>
    <t>B48</t>
  </si>
  <si>
    <t>B49</t>
  </si>
  <si>
    <t>B50</t>
  </si>
  <si>
    <t>B53</t>
  </si>
  <si>
    <t>N+09.45</t>
  </si>
  <si>
    <t>N+06.30</t>
  </si>
  <si>
    <t>N+03.15</t>
  </si>
  <si>
    <t>B109</t>
  </si>
  <si>
    <t>B111</t>
  </si>
  <si>
    <t>B114</t>
  </si>
  <si>
    <t>B118</t>
  </si>
  <si>
    <t>*CLIENTE</t>
  </si>
  <si>
    <t>Comercial</t>
  </si>
  <si>
    <t>EDIFICACIÓN LOCALES COMERCIALES</t>
  </si>
  <si>
    <t>LOCALES COMERCIALES</t>
  </si>
  <si>
    <t>N+08.10</t>
  </si>
  <si>
    <t>N+05.00</t>
  </si>
  <si>
    <t>Central</t>
  </si>
  <si>
    <t>Z2</t>
  </si>
  <si>
    <t>Z3</t>
  </si>
  <si>
    <t>Z4</t>
  </si>
  <si>
    <t>Carga viva cubierta inclinación &lt;15°</t>
  </si>
  <si>
    <t>Mampostería de bloque de arcilla, de espesor 10cm, pañetado en ambas caras.</t>
  </si>
  <si>
    <t>13#5@20</t>
  </si>
  <si>
    <t>14#5@20</t>
  </si>
  <si>
    <t>14#6@20</t>
  </si>
  <si>
    <t>16#6@20</t>
  </si>
  <si>
    <t>13#6@20</t>
  </si>
  <si>
    <t>MAYO DE 2025</t>
  </si>
  <si>
    <t>Carga viva entrepiso - zona de locales*</t>
  </si>
  <si>
    <t>A petición del cliente.</t>
  </si>
  <si>
    <t>Elevación eje A y C</t>
  </si>
  <si>
    <t>Elevación eje B</t>
  </si>
  <si>
    <t>Planta nivel N+5.00</t>
  </si>
  <si>
    <t>C 110x35</t>
  </si>
  <si>
    <t>9. DISEÑO DE COLUMNAS</t>
  </si>
  <si>
    <t>11. REPORTE DEL SOFTWARE DE DISEÑO</t>
  </si>
  <si>
    <t>M_acum.i * hi^k</t>
  </si>
  <si>
    <r>
      <t xml:space="preserve">Se encuentra </t>
    </r>
    <r>
      <rPr>
        <b/>
        <sz val="11"/>
        <color theme="1"/>
        <rFont val="Times New Roman"/>
        <family val="1"/>
      </rPr>
      <t xml:space="preserve">fuera </t>
    </r>
    <r>
      <rPr>
        <sz val="11"/>
        <color theme="1"/>
        <rFont val="Times New Roman"/>
        <family val="1"/>
      </rPr>
      <t>del alcance del presente documento.</t>
    </r>
  </si>
  <si>
    <t>Mayo de 2025</t>
  </si>
  <si>
    <t>Planta nivel N+8.10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</si>
</sst>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quot; m&quot;"/>
    <numFmt numFmtId="165" formatCode="0.0000"/>
    <numFmt numFmtId="166" formatCode="0.0%"/>
    <numFmt numFmtId="167" formatCode="0.00&quot; s&quot;"/>
    <numFmt numFmtId="168" formatCode="0.000"/>
  </numFmts>
  <fonts count="27" x14ac:knownFonts="1">
    <font>
      <sz val="11"/>
      <color theme="1"/>
      <name val="Calibri"/>
      <family val="2"/>
      <scheme val="minor"/>
    </font>
    <font>
      <sz val="11"/>
      <color theme="1"/>
      <name val="Calibri"/>
      <family val="2"/>
      <scheme val="minor"/>
    </font>
    <font>
      <sz val="10"/>
      <name val="Arial"/>
      <family val="2"/>
    </font>
    <font>
      <sz val="8"/>
      <name val="Calibri"/>
      <family val="2"/>
      <scheme val="minor"/>
    </font>
    <font>
      <sz val="11"/>
      <color theme="1"/>
      <name val="Times New Roman"/>
      <family val="1"/>
    </font>
    <font>
      <b/>
      <sz val="11"/>
      <color theme="1"/>
      <name val="Times New Roman"/>
      <family val="1"/>
    </font>
    <font>
      <b/>
      <sz val="7.7"/>
      <color theme="1"/>
      <name val="Times New Roman"/>
      <family val="1"/>
    </font>
    <font>
      <sz val="11"/>
      <color rgb="FF0070C0"/>
      <name val="Times New Roman"/>
      <family val="1"/>
    </font>
    <font>
      <sz val="10"/>
      <color theme="1"/>
      <name val="Century Gothic"/>
      <family val="2"/>
    </font>
    <font>
      <sz val="11"/>
      <name val="Times New Roman"/>
      <family val="1"/>
    </font>
    <font>
      <b/>
      <sz val="20"/>
      <color theme="1"/>
      <name val="Times New Roman"/>
      <family val="1"/>
    </font>
    <font>
      <b/>
      <u/>
      <sz val="11"/>
      <color theme="1"/>
      <name val="Times New Roman"/>
      <family val="1"/>
    </font>
    <font>
      <b/>
      <sz val="36"/>
      <color theme="1"/>
      <name val="Times New Roman"/>
      <family val="1"/>
    </font>
    <font>
      <b/>
      <sz val="8"/>
      <color theme="1"/>
      <name val="Times New Roman"/>
      <family val="1"/>
    </font>
    <font>
      <sz val="11"/>
      <color theme="1"/>
      <name val="Century Gothic"/>
      <family val="2"/>
    </font>
    <font>
      <b/>
      <sz val="72"/>
      <color theme="1"/>
      <name val="Times New Roman"/>
      <family val="1"/>
    </font>
    <font>
      <sz val="10"/>
      <color theme="1"/>
      <name val="Times New Roman"/>
      <family val="1"/>
    </font>
    <font>
      <sz val="12"/>
      <color theme="1"/>
      <name val="Times New Roman"/>
      <family val="1"/>
    </font>
    <font>
      <sz val="10"/>
      <name val="Times New Roman"/>
      <family val="1"/>
    </font>
    <font>
      <sz val="8"/>
      <name val="Times New Roman"/>
      <family val="1"/>
    </font>
    <font>
      <b/>
      <sz val="11"/>
      <color rgb="FF0070C0"/>
      <name val="Times New Roman"/>
      <family val="1"/>
    </font>
    <font>
      <b/>
      <sz val="16"/>
      <color theme="1"/>
      <name val="Times New Roman"/>
      <family val="1"/>
    </font>
    <font>
      <b/>
      <sz val="11"/>
      <name val="Times New Roman"/>
      <family val="1"/>
    </font>
    <font>
      <i/>
      <sz val="11"/>
      <color theme="1"/>
      <name val="Times New Roman"/>
      <family val="1"/>
    </font>
    <font>
      <sz val="11"/>
      <color rgb="FF00B0F0"/>
      <name val="Times New Roman"/>
      <family val="1"/>
    </font>
    <font>
      <sz val="9"/>
      <color theme="1"/>
      <name val="Times New Roman"/>
      <family val="1"/>
    </font>
    <font>
      <u/>
      <sz val="11"/>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9" fontId="1" fillId="0" borderId="0" applyFont="0" applyFill="0" applyBorder="0" applyAlignment="0" applyProtection="0"/>
    <xf numFmtId="0" fontId="2" fillId="0" borderId="0"/>
    <xf numFmtId="0" fontId="1" fillId="0" borderId="0"/>
    <xf numFmtId="0" fontId="8" fillId="0" borderId="0"/>
    <xf numFmtId="0" fontId="14" fillId="0" borderId="0"/>
  </cellStyleXfs>
  <cellXfs count="372">
    <xf numFmtId="0" fontId="0" fillId="0" borderId="0" xfId="0"/>
    <xf numFmtId="0" fontId="4" fillId="0" borderId="0" xfId="0" applyFont="1"/>
    <xf numFmtId="0" fontId="4" fillId="0" borderId="1" xfId="0" applyFont="1" applyBorder="1"/>
    <xf numFmtId="0" fontId="4" fillId="0" borderId="2" xfId="0" applyFont="1" applyBorder="1"/>
    <xf numFmtId="0" fontId="4" fillId="0" borderId="3" xfId="0" applyFont="1" applyBorder="1"/>
    <xf numFmtId="0" fontId="4" fillId="0" borderId="4" xfId="0" applyFont="1" applyBorder="1"/>
    <xf numFmtId="0" fontId="4" fillId="0" borderId="0" xfId="0" applyFont="1" applyAlignment="1">
      <alignment vertical="center"/>
    </xf>
    <xf numFmtId="0" fontId="4" fillId="0" borderId="5" xfId="0" applyFont="1" applyBorder="1"/>
    <xf numFmtId="164" fontId="4" fillId="0" borderId="5" xfId="0" applyNumberFormat="1" applyFont="1" applyBorder="1" applyAlignment="1">
      <alignment vertical="center"/>
    </xf>
    <xf numFmtId="0" fontId="4" fillId="0" borderId="6" xfId="0" applyFont="1" applyBorder="1"/>
    <xf numFmtId="0" fontId="4" fillId="0" borderId="7" xfId="0" applyFont="1" applyBorder="1"/>
    <xf numFmtId="0" fontId="4" fillId="0" borderId="8" xfId="0" applyFont="1" applyBorder="1"/>
    <xf numFmtId="2" fontId="4" fillId="0" borderId="9" xfId="0" applyNumberFormat="1" applyFont="1" applyBorder="1" applyAlignment="1">
      <alignment horizontal="center" vertical="center"/>
    </xf>
    <xf numFmtId="0" fontId="4" fillId="0" borderId="0" xfId="0" applyFont="1" applyAlignment="1">
      <alignment horizontal="center" vertical="center"/>
    </xf>
    <xf numFmtId="2" fontId="4" fillId="0" borderId="0" xfId="0" applyNumberFormat="1" applyFont="1" applyAlignment="1">
      <alignment horizontal="center" vertical="center"/>
    </xf>
    <xf numFmtId="2" fontId="4" fillId="0" borderId="0" xfId="0" applyNumberFormat="1" applyFont="1" applyAlignment="1">
      <alignment vertical="center"/>
    </xf>
    <xf numFmtId="0" fontId="4" fillId="0" borderId="0" xfId="0" applyFont="1" applyAlignment="1">
      <alignment wrapText="1"/>
    </xf>
    <xf numFmtId="164" fontId="4" fillId="0" borderId="0" xfId="0" applyNumberFormat="1" applyFont="1" applyAlignment="1">
      <alignment vertical="center"/>
    </xf>
    <xf numFmtId="10" fontId="4" fillId="0" borderId="0" xfId="1" applyNumberFormat="1" applyFont="1" applyBorder="1" applyAlignment="1"/>
    <xf numFmtId="0" fontId="4" fillId="0" borderId="0" xfId="0" quotePrefix="1" applyFont="1"/>
    <xf numFmtId="2" fontId="4" fillId="0" borderId="0" xfId="0" applyNumberFormat="1" applyFont="1"/>
    <xf numFmtId="165" fontId="4" fillId="0" borderId="0" xfId="0" applyNumberFormat="1" applyFont="1"/>
    <xf numFmtId="0" fontId="5" fillId="0" borderId="0" xfId="3" applyFont="1"/>
    <xf numFmtId="0" fontId="4" fillId="0" borderId="0" xfId="3" applyFont="1"/>
    <xf numFmtId="0" fontId="4" fillId="0" borderId="0" xfId="3" applyFont="1" applyAlignment="1">
      <alignment horizontal="left"/>
    </xf>
    <xf numFmtId="0" fontId="4" fillId="0" borderId="0" xfId="3" applyFont="1" applyAlignment="1">
      <alignment horizontal="center" vertical="center" wrapText="1"/>
    </xf>
    <xf numFmtId="0" fontId="4" fillId="0" borderId="0" xfId="3" applyFont="1" applyAlignment="1">
      <alignment horizontal="center" vertical="center"/>
    </xf>
    <xf numFmtId="166" fontId="4" fillId="0" borderId="0" xfId="1" applyNumberFormat="1" applyFont="1" applyBorder="1" applyAlignment="1">
      <alignment horizontal="center" vertical="center"/>
    </xf>
    <xf numFmtId="166" fontId="4" fillId="0" borderId="0" xfId="1" applyNumberFormat="1" applyFont="1" applyBorder="1"/>
    <xf numFmtId="166" fontId="4" fillId="0" borderId="0" xfId="1" applyNumberFormat="1" applyFont="1" applyBorder="1" applyAlignment="1">
      <alignment horizontal="left"/>
    </xf>
    <xf numFmtId="0" fontId="4" fillId="0" borderId="0" xfId="3" applyFont="1" applyAlignment="1">
      <alignment horizontal="left" vertical="center"/>
    </xf>
    <xf numFmtId="0" fontId="5" fillId="0" borderId="0" xfId="3" applyFont="1" applyAlignment="1">
      <alignment horizontal="center" vertical="center"/>
    </xf>
    <xf numFmtId="0" fontId="4" fillId="0" borderId="9" xfId="3" applyFont="1" applyBorder="1"/>
    <xf numFmtId="0" fontId="4" fillId="0" borderId="9" xfId="3" applyFont="1" applyBorder="1" applyAlignment="1">
      <alignment horizontal="left"/>
    </xf>
    <xf numFmtId="165" fontId="4" fillId="0" borderId="9" xfId="3" applyNumberFormat="1" applyFont="1" applyBorder="1"/>
    <xf numFmtId="2" fontId="4" fillId="0" borderId="9" xfId="3" applyNumberFormat="1" applyFont="1" applyBorder="1" applyAlignment="1">
      <alignment horizontal="center" vertical="center"/>
    </xf>
    <xf numFmtId="0" fontId="5" fillId="0" borderId="9" xfId="3" applyFont="1" applyBorder="1" applyAlignment="1">
      <alignment horizontal="left"/>
    </xf>
    <xf numFmtId="0" fontId="5" fillId="0" borderId="9" xfId="3" applyFont="1" applyBorder="1"/>
    <xf numFmtId="0" fontId="5" fillId="0" borderId="9" xfId="0" applyFont="1" applyBorder="1"/>
    <xf numFmtId="0" fontId="4" fillId="0" borderId="9" xfId="0" applyFont="1" applyBorder="1"/>
    <xf numFmtId="0" fontId="5" fillId="0" borderId="0" xfId="0" applyFont="1"/>
    <xf numFmtId="0" fontId="5" fillId="0" borderId="0" xfId="0" applyFont="1" applyAlignment="1">
      <alignment vertical="center"/>
    </xf>
    <xf numFmtId="0" fontId="5" fillId="0" borderId="0" xfId="0" applyFont="1" applyAlignment="1">
      <alignment horizontal="center" vertical="center"/>
    </xf>
    <xf numFmtId="2" fontId="5" fillId="0" borderId="0" xfId="0" applyNumberFormat="1" applyFont="1" applyAlignment="1">
      <alignment horizontal="center" vertical="center"/>
    </xf>
    <xf numFmtId="0" fontId="5" fillId="0" borderId="0" xfId="3" applyFont="1" applyAlignment="1">
      <alignment horizontal="center"/>
    </xf>
    <xf numFmtId="2" fontId="5" fillId="0" borderId="0" xfId="3" applyNumberFormat="1" applyFont="1" applyAlignment="1">
      <alignment horizontal="center"/>
    </xf>
    <xf numFmtId="0" fontId="5" fillId="0" borderId="0" xfId="0" applyFont="1" applyAlignment="1">
      <alignment horizontal="center"/>
    </xf>
    <xf numFmtId="0" fontId="4" fillId="0" borderId="0" xfId="0" applyFont="1" applyAlignment="1">
      <alignment horizontal="left" vertical="center"/>
    </xf>
    <xf numFmtId="1" fontId="4" fillId="0" borderId="0" xfId="0" applyNumberFormat="1" applyFont="1" applyAlignment="1">
      <alignment vertical="center"/>
    </xf>
    <xf numFmtId="0" fontId="4" fillId="0" borderId="9" xfId="0" quotePrefix="1" applyFont="1" applyBorder="1" applyAlignment="1">
      <alignment horizontal="center" vertical="center"/>
    </xf>
    <xf numFmtId="0" fontId="4" fillId="0" borderId="2" xfId="0" applyFont="1" applyBorder="1" applyAlignment="1">
      <alignment horizontal="center" vertical="center"/>
    </xf>
    <xf numFmtId="0" fontId="4" fillId="0" borderId="7" xfId="0" applyFont="1" applyBorder="1" applyAlignment="1">
      <alignment horizontal="center" vertical="center"/>
    </xf>
    <xf numFmtId="0" fontId="4" fillId="0" borderId="9" xfId="0" applyFont="1" applyBorder="1" applyAlignment="1">
      <alignment vertical="center"/>
    </xf>
    <xf numFmtId="0" fontId="4" fillId="0" borderId="9" xfId="0" applyFont="1" applyBorder="1" applyAlignment="1">
      <alignment horizontal="center" vertical="center"/>
    </xf>
    <xf numFmtId="0" fontId="5" fillId="0" borderId="9" xfId="0" applyFont="1" applyBorder="1" applyAlignment="1">
      <alignment horizontal="center" vertical="center"/>
    </xf>
    <xf numFmtId="0" fontId="5" fillId="0" borderId="9" xfId="3" applyFont="1" applyBorder="1" applyAlignment="1">
      <alignment horizontal="center" vertical="center"/>
    </xf>
    <xf numFmtId="0" fontId="4" fillId="0" borderId="9" xfId="3" applyFont="1" applyBorder="1" applyAlignment="1">
      <alignment horizontal="center" vertical="center"/>
    </xf>
    <xf numFmtId="0" fontId="4" fillId="0" borderId="0" xfId="0" applyFont="1" applyAlignment="1">
      <alignment horizontal="center"/>
    </xf>
    <xf numFmtId="0" fontId="7" fillId="0" borderId="10" xfId="0" applyFont="1" applyBorder="1" applyAlignment="1">
      <alignment horizontal="left" vertical="top"/>
    </xf>
    <xf numFmtId="0" fontId="4" fillId="0" borderId="12" xfId="0" applyFont="1" applyBorder="1" applyAlignment="1">
      <alignment horizontal="left" vertical="top"/>
    </xf>
    <xf numFmtId="0" fontId="4" fillId="0" borderId="11" xfId="0" applyFont="1" applyBorder="1" applyAlignment="1">
      <alignment horizontal="left" vertical="top"/>
    </xf>
    <xf numFmtId="2" fontId="7" fillId="0" borderId="10" xfId="0" applyNumberFormat="1" applyFont="1" applyBorder="1" applyAlignment="1">
      <alignment horizontal="left" vertical="top"/>
    </xf>
    <xf numFmtId="164" fontId="4" fillId="0" borderId="12" xfId="0" applyNumberFormat="1" applyFont="1" applyBorder="1" applyAlignment="1">
      <alignment horizontal="left" vertical="top"/>
    </xf>
    <xf numFmtId="164" fontId="4" fillId="0" borderId="11" xfId="0" applyNumberFormat="1" applyFont="1" applyBorder="1" applyAlignment="1">
      <alignment horizontal="left" vertical="top"/>
    </xf>
    <xf numFmtId="0" fontId="7" fillId="0" borderId="9" xfId="0" applyFont="1" applyBorder="1" applyAlignment="1">
      <alignment horizontal="center" vertical="center"/>
    </xf>
    <xf numFmtId="2" fontId="4" fillId="0" borderId="9" xfId="3" applyNumberFormat="1" applyFont="1" applyBorder="1"/>
    <xf numFmtId="0" fontId="4" fillId="0" borderId="7" xfId="0" applyFont="1" applyBorder="1" applyAlignment="1">
      <alignment vertical="center"/>
    </xf>
    <xf numFmtId="1" fontId="4" fillId="0" borderId="0" xfId="0" applyNumberFormat="1" applyFont="1" applyAlignment="1">
      <alignment horizontal="center" vertical="center"/>
    </xf>
    <xf numFmtId="2" fontId="7" fillId="0" borderId="9" xfId="0" applyNumberFormat="1" applyFont="1" applyBorder="1" applyAlignment="1">
      <alignment horizontal="center" vertical="center"/>
    </xf>
    <xf numFmtId="11" fontId="4" fillId="0" borderId="0" xfId="0" applyNumberFormat="1" applyFont="1"/>
    <xf numFmtId="0" fontId="5" fillId="0" borderId="9" xfId="0" quotePrefix="1" applyFont="1" applyBorder="1" applyAlignment="1">
      <alignment horizontal="center" vertical="center"/>
    </xf>
    <xf numFmtId="167" fontId="9" fillId="0" borderId="9" xfId="0" applyNumberFormat="1" applyFont="1" applyBorder="1" applyAlignment="1">
      <alignment horizontal="center" vertical="center"/>
    </xf>
    <xf numFmtId="0" fontId="4" fillId="0" borderId="2" xfId="0" applyFont="1" applyBorder="1" applyAlignment="1">
      <alignment vertical="center"/>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4" xfId="0" applyFont="1" applyBorder="1" applyAlignment="1">
      <alignment vertical="center" wrapText="1"/>
    </xf>
    <xf numFmtId="0" fontId="4" fillId="0" borderId="3" xfId="0" applyFont="1" applyBorder="1" applyAlignment="1">
      <alignment vertical="center"/>
    </xf>
    <xf numFmtId="0" fontId="4" fillId="0" borderId="5" xfId="0" applyFont="1" applyBorder="1" applyAlignment="1">
      <alignment vertical="center"/>
    </xf>
    <xf numFmtId="0" fontId="4" fillId="0" borderId="0" xfId="0" quotePrefix="1" applyFont="1" applyAlignment="1">
      <alignment horizontal="center" vertical="center"/>
    </xf>
    <xf numFmtId="0" fontId="7" fillId="0" borderId="0" xfId="0" applyFont="1" applyAlignment="1">
      <alignment horizontal="center" vertical="center"/>
    </xf>
    <xf numFmtId="0" fontId="5" fillId="0" borderId="0" xfId="0" quotePrefix="1" applyFont="1" applyAlignment="1">
      <alignment horizontal="center" vertical="center"/>
    </xf>
    <xf numFmtId="0" fontId="5" fillId="0" borderId="9" xfId="0" quotePrefix="1" applyFont="1" applyBorder="1" applyAlignment="1">
      <alignment horizontal="center" vertical="center" wrapText="1"/>
    </xf>
    <xf numFmtId="0" fontId="4" fillId="2" borderId="9" xfId="0" applyFont="1" applyFill="1" applyBorder="1" applyAlignment="1">
      <alignment horizontal="center" vertical="center"/>
    </xf>
    <xf numFmtId="167" fontId="4" fillId="0" borderId="0" xfId="0" applyNumberFormat="1" applyFont="1" applyAlignment="1">
      <alignment horizontal="center" vertical="center"/>
    </xf>
    <xf numFmtId="168" fontId="4" fillId="0" borderId="7" xfId="0" applyNumberFormat="1" applyFont="1" applyBorder="1" applyAlignment="1">
      <alignment horizontal="center" vertical="center"/>
    </xf>
    <xf numFmtId="168" fontId="4" fillId="0" borderId="2" xfId="0" applyNumberFormat="1" applyFont="1" applyBorder="1" applyAlignment="1">
      <alignment horizontal="center" vertical="center"/>
    </xf>
    <xf numFmtId="0" fontId="5" fillId="0" borderId="9" xfId="0" applyFont="1" applyBorder="1" applyAlignment="1">
      <alignment horizontal="center" vertical="center" wrapText="1"/>
    </xf>
    <xf numFmtId="1" fontId="4" fillId="0" borderId="9" xfId="3" applyNumberFormat="1" applyFont="1" applyBorder="1"/>
    <xf numFmtId="165" fontId="4" fillId="0" borderId="0" xfId="0" applyNumberFormat="1" applyFont="1" applyAlignment="1">
      <alignment horizontal="center" vertical="center"/>
    </xf>
    <xf numFmtId="0" fontId="4" fillId="0" borderId="0" xfId="0" applyFont="1" applyAlignment="1">
      <alignment horizontal="left" vertical="top"/>
    </xf>
    <xf numFmtId="0" fontId="4" fillId="0" borderId="3" xfId="0" applyFont="1" applyBorder="1" applyAlignment="1">
      <alignment horizontal="center" vertical="center"/>
    </xf>
    <xf numFmtId="0" fontId="4" fillId="0" borderId="1" xfId="0" applyFont="1" applyBorder="1" applyAlignment="1">
      <alignment horizontal="center" vertical="center"/>
    </xf>
    <xf numFmtId="0" fontId="4" fillId="0" borderId="6" xfId="0" applyFont="1" applyBorder="1" applyAlignment="1">
      <alignment horizontal="center" vertical="center"/>
    </xf>
    <xf numFmtId="0" fontId="4" fillId="0" borderId="8" xfId="0" applyFont="1" applyBorder="1" applyAlignment="1">
      <alignment horizontal="center" vertical="center"/>
    </xf>
    <xf numFmtId="0" fontId="15" fillId="0" borderId="0" xfId="0" applyFont="1" applyAlignment="1">
      <alignment vertical="center" wrapText="1"/>
    </xf>
    <xf numFmtId="12" fontId="4" fillId="0" borderId="0" xfId="0" applyNumberFormat="1" applyFont="1"/>
    <xf numFmtId="0" fontId="4" fillId="0" borderId="4" xfId="0" applyFont="1" applyBorder="1" applyAlignment="1">
      <alignment horizontal="center" vertical="center"/>
    </xf>
    <xf numFmtId="0" fontId="4" fillId="0" borderId="5" xfId="0" applyFont="1" applyBorder="1" applyAlignment="1">
      <alignment horizontal="center" vertical="center"/>
    </xf>
    <xf numFmtId="164" fontId="4" fillId="0" borderId="5" xfId="0" applyNumberFormat="1" applyFont="1" applyBorder="1" applyAlignment="1">
      <alignment horizontal="center" vertical="center"/>
    </xf>
    <xf numFmtId="0" fontId="4" fillId="0" borderId="0" xfId="0" applyFont="1" applyAlignment="1">
      <alignment vertical="top" wrapText="1"/>
    </xf>
    <xf numFmtId="14" fontId="4" fillId="0" borderId="0" xfId="0" applyNumberFormat="1" applyFont="1"/>
    <xf numFmtId="0" fontId="11" fillId="0" borderId="0" xfId="0" applyFont="1"/>
    <xf numFmtId="168" fontId="4" fillId="0" borderId="0" xfId="0" applyNumberFormat="1" applyFont="1"/>
    <xf numFmtId="167" fontId="4" fillId="0" borderId="0" xfId="0" applyNumberFormat="1" applyFont="1"/>
    <xf numFmtId="167" fontId="9" fillId="0" borderId="0" xfId="0" applyNumberFormat="1" applyFont="1" applyAlignment="1">
      <alignment horizontal="center" vertical="center"/>
    </xf>
    <xf numFmtId="0" fontId="7" fillId="0" borderId="9" xfId="0" applyFont="1" applyBorder="1" applyAlignment="1">
      <alignment vertical="center"/>
    </xf>
    <xf numFmtId="0" fontId="10" fillId="0" borderId="0" xfId="0" applyFont="1" applyAlignment="1">
      <alignment vertical="center" wrapText="1"/>
    </xf>
    <xf numFmtId="0" fontId="11" fillId="0" borderId="0" xfId="0" applyFont="1" applyAlignment="1">
      <alignment vertical="center"/>
    </xf>
    <xf numFmtId="0" fontId="10" fillId="0" borderId="0" xfId="0" applyFont="1" applyAlignment="1">
      <alignment vertical="center"/>
    </xf>
    <xf numFmtId="0" fontId="18" fillId="3" borderId="9" xfId="2" applyFont="1" applyFill="1" applyBorder="1" applyAlignment="1">
      <alignment horizontal="center" vertical="center" wrapText="1"/>
    </xf>
    <xf numFmtId="0" fontId="18" fillId="3" borderId="9" xfId="2" applyFont="1" applyFill="1" applyBorder="1" applyAlignment="1">
      <alignment horizontal="center" vertical="center"/>
    </xf>
    <xf numFmtId="0" fontId="4" fillId="0" borderId="0" xfId="5" applyFont="1" applyAlignment="1">
      <alignment horizontal="center" vertical="center"/>
    </xf>
    <xf numFmtId="0" fontId="4" fillId="0" borderId="0" xfId="5" applyFont="1" applyAlignment="1">
      <alignment horizontal="center" vertical="center" wrapText="1"/>
    </xf>
    <xf numFmtId="0" fontId="19" fillId="3" borderId="0" xfId="2" applyFont="1" applyFill="1" applyAlignment="1">
      <alignment vertical="center"/>
    </xf>
    <xf numFmtId="0" fontId="4" fillId="0" borderId="0" xfId="5" applyFont="1"/>
    <xf numFmtId="0" fontId="18" fillId="3" borderId="13" xfId="2" applyFont="1" applyFill="1" applyBorder="1" applyAlignment="1">
      <alignment horizontal="center" vertical="center"/>
    </xf>
    <xf numFmtId="0" fontId="4" fillId="0" borderId="4" xfId="5" applyFont="1" applyBorder="1"/>
    <xf numFmtId="0" fontId="4" fillId="0" borderId="5" xfId="5" applyFont="1" applyBorder="1"/>
    <xf numFmtId="0" fontId="4" fillId="0" borderId="1" xfId="5" applyFont="1" applyBorder="1"/>
    <xf numFmtId="0" fontId="4" fillId="0" borderId="2" xfId="5" applyFont="1" applyBorder="1"/>
    <xf numFmtId="0" fontId="4" fillId="0" borderId="3" xfId="5" applyFont="1" applyBorder="1"/>
    <xf numFmtId="0" fontId="4" fillId="0" borderId="4" xfId="5" applyFont="1" applyBorder="1" applyAlignment="1">
      <alignment horizontal="center" vertical="center"/>
    </xf>
    <xf numFmtId="0" fontId="4" fillId="0" borderId="5" xfId="5" applyFont="1" applyBorder="1" applyAlignment="1">
      <alignment horizontal="center" vertical="center"/>
    </xf>
    <xf numFmtId="0" fontId="5" fillId="0" borderId="4" xfId="5" applyFont="1" applyBorder="1" applyAlignment="1">
      <alignment horizontal="center" vertical="center"/>
    </xf>
    <xf numFmtId="0" fontId="5" fillId="0" borderId="0" xfId="5" applyFont="1" applyAlignment="1">
      <alignment horizontal="center" vertical="center"/>
    </xf>
    <xf numFmtId="0" fontId="5" fillId="0" borderId="0" xfId="5" applyFont="1"/>
    <xf numFmtId="0" fontId="5" fillId="0" borderId="5" xfId="5" applyFont="1" applyBorder="1" applyAlignment="1">
      <alignment horizontal="center" vertical="center"/>
    </xf>
    <xf numFmtId="0" fontId="5" fillId="0" borderId="6" xfId="5" applyFont="1" applyBorder="1" applyAlignment="1">
      <alignment horizontal="center" vertical="center"/>
    </xf>
    <xf numFmtId="0" fontId="5" fillId="0" borderId="7" xfId="5" applyFont="1" applyBorder="1" applyAlignment="1">
      <alignment horizontal="center" vertical="center"/>
    </xf>
    <xf numFmtId="0" fontId="20" fillId="0" borderId="7" xfId="5" applyFont="1" applyBorder="1" applyAlignment="1">
      <alignment horizontal="center" vertical="center"/>
    </xf>
    <xf numFmtId="0" fontId="5" fillId="0" borderId="7" xfId="5" applyFont="1" applyBorder="1"/>
    <xf numFmtId="0" fontId="5" fillId="0" borderId="8" xfId="5" applyFont="1" applyBorder="1" applyAlignment="1">
      <alignment horizontal="center" vertical="center"/>
    </xf>
    <xf numFmtId="0" fontId="5" fillId="0" borderId="9" xfId="5" applyFont="1" applyBorder="1" applyAlignment="1">
      <alignment horizontal="center" vertical="center"/>
    </xf>
    <xf numFmtId="0" fontId="5" fillId="0" borderId="13" xfId="5" applyFont="1" applyBorder="1" applyAlignment="1">
      <alignment horizontal="center" vertical="center"/>
    </xf>
    <xf numFmtId="0" fontId="5" fillId="0" borderId="10" xfId="5" applyFont="1" applyBorder="1" applyAlignment="1">
      <alignment horizontal="center" vertical="center"/>
    </xf>
    <xf numFmtId="0" fontId="5" fillId="0" borderId="11" xfId="5" applyFont="1" applyBorder="1" applyAlignment="1">
      <alignment horizontal="center" vertical="center"/>
    </xf>
    <xf numFmtId="0" fontId="5" fillId="0" borderId="9" xfId="5" applyFont="1" applyBorder="1" applyAlignment="1">
      <alignment horizontal="center"/>
    </xf>
    <xf numFmtId="0" fontId="21" fillId="0" borderId="0" xfId="5" applyFont="1" applyAlignment="1">
      <alignment vertical="center"/>
    </xf>
    <xf numFmtId="2" fontId="22" fillId="0" borderId="9" xfId="5" applyNumberFormat="1" applyFont="1" applyBorder="1" applyAlignment="1">
      <alignment horizontal="center" vertical="center"/>
    </xf>
    <xf numFmtId="0" fontId="4" fillId="0" borderId="5" xfId="5" applyFont="1" applyBorder="1" applyAlignment="1">
      <alignment horizontal="center" vertical="center" wrapText="1"/>
    </xf>
    <xf numFmtId="168" fontId="4" fillId="0" borderId="0" xfId="5" applyNumberFormat="1" applyFont="1" applyAlignment="1">
      <alignment horizontal="center" vertical="center"/>
    </xf>
    <xf numFmtId="0" fontId="22" fillId="0" borderId="9" xfId="5" applyFont="1" applyBorder="1" applyAlignment="1">
      <alignment horizontal="center" vertical="center"/>
    </xf>
    <xf numFmtId="0" fontId="5" fillId="0" borderId="14" xfId="5" applyFont="1" applyBorder="1" applyAlignment="1">
      <alignment horizontal="center" vertical="center"/>
    </xf>
    <xf numFmtId="0" fontId="9" fillId="0" borderId="9" xfId="5" applyFont="1" applyBorder="1" applyAlignment="1">
      <alignment horizontal="center" vertical="center"/>
    </xf>
    <xf numFmtId="0" fontId="7" fillId="0" borderId="9" xfId="5" applyFont="1" applyBorder="1" applyAlignment="1">
      <alignment horizontal="center" vertical="center"/>
    </xf>
    <xf numFmtId="2" fontId="7" fillId="0" borderId="14" xfId="5" applyNumberFormat="1" applyFont="1" applyBorder="1" applyAlignment="1">
      <alignment horizontal="center" vertical="center"/>
    </xf>
    <xf numFmtId="0" fontId="4" fillId="0" borderId="14" xfId="5" applyFont="1" applyBorder="1" applyAlignment="1">
      <alignment horizontal="center" vertical="center"/>
    </xf>
    <xf numFmtId="2" fontId="9" fillId="0" borderId="14" xfId="5" applyNumberFormat="1" applyFont="1" applyBorder="1" applyAlignment="1">
      <alignment horizontal="center" vertical="center"/>
    </xf>
    <xf numFmtId="2" fontId="4" fillId="0" borderId="9" xfId="5" applyNumberFormat="1" applyFont="1" applyBorder="1" applyAlignment="1">
      <alignment horizontal="center" vertical="center"/>
    </xf>
    <xf numFmtId="2" fontId="7" fillId="0" borderId="9" xfId="5" applyNumberFormat="1" applyFont="1" applyBorder="1" applyAlignment="1">
      <alignment horizontal="center" vertical="center"/>
    </xf>
    <xf numFmtId="165" fontId="4" fillId="0" borderId="9" xfId="5" applyNumberFormat="1" applyFont="1" applyBorder="1" applyAlignment="1">
      <alignment horizontal="center" vertical="center"/>
    </xf>
    <xf numFmtId="165" fontId="4" fillId="0" borderId="11" xfId="5" applyNumberFormat="1" applyFont="1" applyBorder="1" applyAlignment="1">
      <alignment horizontal="center" vertical="center"/>
    </xf>
    <xf numFmtId="165" fontId="5" fillId="0" borderId="9" xfId="5" applyNumberFormat="1" applyFont="1" applyBorder="1" applyAlignment="1">
      <alignment horizontal="center" vertical="center"/>
    </xf>
    <xf numFmtId="168" fontId="4" fillId="0" borderId="9" xfId="5" applyNumberFormat="1" applyFont="1" applyBorder="1" applyAlignment="1">
      <alignment horizontal="center" vertical="center"/>
    </xf>
    <xf numFmtId="168" fontId="4" fillId="0" borderId="11" xfId="5" applyNumberFormat="1" applyFont="1" applyBorder="1" applyAlignment="1">
      <alignment horizontal="center" vertical="center"/>
    </xf>
    <xf numFmtId="0" fontId="4" fillId="0" borderId="9" xfId="5" applyFont="1" applyBorder="1" applyAlignment="1">
      <alignment horizontal="center" vertical="center"/>
    </xf>
    <xf numFmtId="2" fontId="4" fillId="0" borderId="0" xfId="5" applyNumberFormat="1" applyFont="1" applyAlignment="1">
      <alignment horizontal="center" vertical="center"/>
    </xf>
    <xf numFmtId="168" fontId="7" fillId="0" borderId="9" xfId="5" applyNumberFormat="1" applyFont="1" applyBorder="1" applyAlignment="1">
      <alignment horizontal="center" vertical="center"/>
    </xf>
    <xf numFmtId="168" fontId="4" fillId="0" borderId="14" xfId="5" applyNumberFormat="1" applyFont="1" applyBorder="1" applyAlignment="1">
      <alignment horizontal="center" vertical="center"/>
    </xf>
    <xf numFmtId="0" fontId="9" fillId="0" borderId="4" xfId="5" applyFont="1" applyBorder="1" applyAlignment="1">
      <alignment horizontal="center" vertical="center"/>
    </xf>
    <xf numFmtId="0" fontId="9" fillId="0" borderId="0" xfId="5" applyFont="1" applyAlignment="1">
      <alignment horizontal="center" vertical="center"/>
    </xf>
    <xf numFmtId="0" fontId="5" fillId="0" borderId="5" xfId="5" applyFont="1" applyBorder="1"/>
    <xf numFmtId="0" fontId="5" fillId="0" borderId="5" xfId="5" applyFont="1" applyBorder="1" applyAlignment="1">
      <alignment horizontal="center" vertical="center" wrapText="1"/>
    </xf>
    <xf numFmtId="2" fontId="9" fillId="0" borderId="9" xfId="5" applyNumberFormat="1" applyFont="1" applyBorder="1" applyAlignment="1">
      <alignment horizontal="center" vertical="center"/>
    </xf>
    <xf numFmtId="0" fontId="7" fillId="0" borderId="9" xfId="5" applyFont="1" applyBorder="1" applyAlignment="1">
      <alignment horizontal="center" vertical="center" wrapText="1"/>
    </xf>
    <xf numFmtId="165" fontId="9" fillId="0" borderId="9" xfId="5" applyNumberFormat="1" applyFont="1" applyBorder="1" applyAlignment="1">
      <alignment horizontal="center" vertical="center" wrapText="1"/>
    </xf>
    <xf numFmtId="0" fontId="4" fillId="0" borderId="0" xfId="5" applyFont="1" applyAlignment="1">
      <alignment horizontal="left" vertical="center"/>
    </xf>
    <xf numFmtId="0" fontId="4" fillId="0" borderId="6" xfId="5" applyFont="1" applyBorder="1" applyAlignment="1">
      <alignment horizontal="center" vertical="center"/>
    </xf>
    <xf numFmtId="0" fontId="7" fillId="0" borderId="7" xfId="5" applyFont="1" applyBorder="1" applyAlignment="1">
      <alignment horizontal="center" vertical="center"/>
    </xf>
    <xf numFmtId="2" fontId="4" fillId="0" borderId="7" xfId="5" applyNumberFormat="1" applyFont="1" applyBorder="1" applyAlignment="1">
      <alignment horizontal="center" vertical="center"/>
    </xf>
    <xf numFmtId="0" fontId="4" fillId="0" borderId="7" xfId="5" applyFont="1" applyBorder="1" applyAlignment="1">
      <alignment horizontal="center" vertical="center"/>
    </xf>
    <xf numFmtId="0" fontId="24" fillId="0" borderId="7" xfId="5" applyFont="1" applyBorder="1" applyAlignment="1">
      <alignment horizontal="center" vertical="center"/>
    </xf>
    <xf numFmtId="0" fontId="9" fillId="0" borderId="7" xfId="5" applyFont="1" applyBorder="1" applyAlignment="1">
      <alignment horizontal="center" vertical="center"/>
    </xf>
    <xf numFmtId="0" fontId="4" fillId="0" borderId="8" xfId="5" applyFont="1" applyBorder="1" applyAlignment="1">
      <alignment horizontal="center" vertical="center"/>
    </xf>
    <xf numFmtId="168" fontId="9" fillId="0" borderId="6" xfId="5" applyNumberFormat="1" applyFont="1" applyBorder="1" applyAlignment="1">
      <alignment horizontal="center" vertical="center"/>
    </xf>
    <xf numFmtId="0" fontId="4" fillId="0" borderId="7" xfId="5" applyFont="1" applyBorder="1"/>
    <xf numFmtId="0" fontId="4" fillId="0" borderId="8" xfId="5" applyFont="1" applyBorder="1"/>
    <xf numFmtId="168" fontId="9" fillId="0" borderId="0" xfId="5" applyNumberFormat="1" applyFont="1" applyAlignment="1">
      <alignment horizontal="center" vertical="center"/>
    </xf>
    <xf numFmtId="0" fontId="7" fillId="0" borderId="0" xfId="5" applyFont="1" applyAlignment="1">
      <alignment horizontal="center" vertical="center"/>
    </xf>
    <xf numFmtId="0" fontId="4" fillId="0" borderId="20" xfId="5" applyFont="1" applyBorder="1" applyAlignment="1">
      <alignment horizontal="center" vertical="center"/>
    </xf>
    <xf numFmtId="0" fontId="4" fillId="0" borderId="10" xfId="5" applyFont="1" applyBorder="1" applyAlignment="1">
      <alignment horizontal="center" vertical="center"/>
    </xf>
    <xf numFmtId="0" fontId="4" fillId="0" borderId="21" xfId="5" applyFont="1" applyBorder="1" applyAlignment="1">
      <alignment horizontal="center" vertical="center"/>
    </xf>
    <xf numFmtId="0" fontId="4" fillId="0" borderId="22" xfId="5" applyFont="1" applyBorder="1" applyAlignment="1">
      <alignment horizontal="center" vertical="center"/>
    </xf>
    <xf numFmtId="0" fontId="4" fillId="0" borderId="23" xfId="5" applyFont="1" applyBorder="1" applyAlignment="1">
      <alignment horizontal="center" vertical="center"/>
    </xf>
    <xf numFmtId="0" fontId="4" fillId="0" borderId="24" xfId="5" applyFont="1" applyBorder="1" applyAlignment="1">
      <alignment horizontal="center" vertical="center"/>
    </xf>
    <xf numFmtId="0" fontId="4" fillId="0" borderId="25" xfId="5" applyFont="1" applyBorder="1" applyAlignment="1">
      <alignment horizontal="center" vertical="center"/>
    </xf>
    <xf numFmtId="168" fontId="4" fillId="0" borderId="9" xfId="0" applyNumberFormat="1" applyFont="1" applyBorder="1" applyAlignment="1">
      <alignment horizontal="center" vertical="center"/>
    </xf>
    <xf numFmtId="168" fontId="4" fillId="0" borderId="0" xfId="0" applyNumberFormat="1" applyFont="1" applyAlignment="1">
      <alignment horizontal="center" vertical="center"/>
    </xf>
    <xf numFmtId="0" fontId="20" fillId="0" borderId="0" xfId="5" applyFont="1" applyAlignment="1">
      <alignment horizontal="center" vertical="center"/>
    </xf>
    <xf numFmtId="0" fontId="7" fillId="0" borderId="0" xfId="5" applyFont="1"/>
    <xf numFmtId="0" fontId="9" fillId="0" borderId="0" xfId="5" applyFont="1"/>
    <xf numFmtId="2" fontId="7" fillId="0" borderId="0" xfId="5" applyNumberFormat="1" applyFont="1"/>
    <xf numFmtId="1" fontId="9" fillId="0" borderId="0" xfId="5" applyNumberFormat="1" applyFont="1"/>
    <xf numFmtId="0" fontId="4" fillId="0" borderId="0" xfId="5" applyFont="1" applyAlignment="1">
      <alignment horizontal="left"/>
    </xf>
    <xf numFmtId="15" fontId="4" fillId="0" borderId="0" xfId="5" applyNumberFormat="1" applyFont="1" applyAlignment="1">
      <alignment horizontal="center" vertical="center"/>
    </xf>
    <xf numFmtId="0" fontId="4" fillId="0" borderId="6" xfId="5" applyFont="1" applyBorder="1"/>
    <xf numFmtId="0" fontId="5" fillId="0" borderId="4" xfId="5" applyFont="1" applyBorder="1"/>
    <xf numFmtId="168" fontId="4" fillId="0" borderId="5" xfId="5" applyNumberFormat="1" applyFont="1" applyBorder="1" applyAlignment="1">
      <alignment horizontal="center" vertical="center"/>
    </xf>
    <xf numFmtId="0" fontId="4" fillId="0" borderId="4" xfId="5" applyFont="1" applyBorder="1" applyAlignment="1">
      <alignment horizontal="left" vertical="center"/>
    </xf>
    <xf numFmtId="0" fontId="25" fillId="0" borderId="9" xfId="0" applyFont="1" applyBorder="1" applyAlignment="1">
      <alignment horizontal="center" vertical="center"/>
    </xf>
    <xf numFmtId="0" fontId="26" fillId="0" borderId="0" xfId="0" applyFont="1" applyAlignment="1">
      <alignment vertical="center"/>
    </xf>
    <xf numFmtId="0" fontId="26" fillId="0" borderId="0" xfId="0" applyFont="1"/>
    <xf numFmtId="0" fontId="5" fillId="0" borderId="9" xfId="5" applyFont="1" applyBorder="1" applyAlignment="1">
      <alignment horizontal="center" vertical="center" wrapText="1"/>
    </xf>
    <xf numFmtId="168" fontId="4" fillId="0" borderId="13" xfId="5" applyNumberFormat="1" applyFont="1" applyBorder="1" applyAlignment="1">
      <alignment horizontal="center" vertical="center"/>
    </xf>
    <xf numFmtId="165" fontId="4" fillId="0" borderId="13" xfId="5" applyNumberFormat="1" applyFont="1" applyBorder="1" applyAlignment="1">
      <alignment horizontal="center" vertical="center"/>
    </xf>
    <xf numFmtId="165" fontId="4" fillId="0" borderId="14" xfId="5" applyNumberFormat="1" applyFont="1" applyBorder="1" applyAlignment="1">
      <alignment horizontal="center" vertical="center"/>
    </xf>
    <xf numFmtId="2" fontId="4" fillId="0" borderId="14" xfId="5" applyNumberFormat="1" applyFont="1" applyBorder="1" applyAlignment="1">
      <alignment horizontal="center" vertical="center"/>
    </xf>
    <xf numFmtId="165" fontId="4" fillId="0" borderId="0" xfId="5" applyNumberFormat="1" applyFont="1"/>
    <xf numFmtId="165" fontId="4" fillId="0" borderId="0" xfId="5" applyNumberFormat="1" applyFont="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5" xfId="0" applyFont="1" applyBorder="1" applyAlignment="1">
      <alignment horizontal="center" vertical="center" wrapText="1"/>
    </xf>
    <xf numFmtId="0" fontId="4" fillId="0" borderId="1" xfId="0" applyFont="1" applyBorder="1" applyAlignment="1">
      <alignment horizontal="center" vertical="center"/>
    </xf>
    <xf numFmtId="0" fontId="4" fillId="0" borderId="6" xfId="0" applyFont="1" applyBorder="1" applyAlignment="1">
      <alignment horizontal="center" vertical="center"/>
    </xf>
    <xf numFmtId="0" fontId="4" fillId="0" borderId="8" xfId="0" applyFont="1" applyBorder="1" applyAlignment="1">
      <alignment horizontal="center" vertical="center"/>
    </xf>
    <xf numFmtId="0" fontId="4" fillId="0" borderId="7" xfId="0" applyFont="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4" fillId="0" borderId="11" xfId="0" applyFont="1" applyBorder="1" applyAlignment="1">
      <alignment horizontal="center" vertical="center"/>
    </xf>
    <xf numFmtId="0" fontId="12" fillId="0" borderId="0" xfId="0" applyFont="1" applyAlignment="1">
      <alignment horizontal="center" vertical="center" wrapText="1"/>
    </xf>
    <xf numFmtId="0" fontId="10" fillId="0" borderId="0" xfId="0" applyFont="1" applyAlignment="1">
      <alignment horizontal="center" vertical="center"/>
    </xf>
    <xf numFmtId="17" fontId="10" fillId="0" borderId="0" xfId="0" quotePrefix="1" applyNumberFormat="1" applyFont="1" applyAlignment="1">
      <alignment horizontal="center" vertical="center"/>
    </xf>
    <xf numFmtId="0" fontId="5" fillId="0" borderId="0" xfId="0" applyFont="1" applyAlignment="1">
      <alignment horizontal="left" vertical="top"/>
    </xf>
    <xf numFmtId="0" fontId="4" fillId="0" borderId="0" xfId="0" applyFont="1" applyAlignment="1">
      <alignment horizontal="left" vertical="top"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2" xfId="0" quotePrefix="1" applyFont="1" applyBorder="1" applyAlignment="1">
      <alignment horizontal="center" vertical="center"/>
    </xf>
    <xf numFmtId="0" fontId="4" fillId="0" borderId="9" xfId="0" applyFont="1" applyBorder="1" applyAlignment="1">
      <alignment horizontal="center" vertical="center" wrapText="1"/>
    </xf>
    <xf numFmtId="0" fontId="4" fillId="0" borderId="9" xfId="0" applyFont="1" applyBorder="1" applyAlignment="1">
      <alignment horizontal="left" vertical="top" wrapText="1"/>
    </xf>
    <xf numFmtId="0" fontId="4" fillId="0" borderId="9" xfId="0" applyFont="1" applyBorder="1" applyAlignment="1">
      <alignment horizontal="left" vertical="center"/>
    </xf>
    <xf numFmtId="0" fontId="4" fillId="0" borderId="9" xfId="0" applyFont="1" applyBorder="1" applyAlignment="1">
      <alignment horizontal="center" vertical="center"/>
    </xf>
    <xf numFmtId="0" fontId="4" fillId="0" borderId="9" xfId="0" applyFont="1" applyBorder="1" applyAlignment="1">
      <alignment horizontal="left" vertical="top"/>
    </xf>
    <xf numFmtId="0" fontId="4" fillId="0" borderId="9" xfId="0" applyFont="1" applyBorder="1" applyAlignment="1">
      <alignment vertical="center"/>
    </xf>
    <xf numFmtId="0" fontId="4" fillId="0" borderId="10" xfId="0" applyFont="1" applyBorder="1" applyAlignment="1">
      <alignment horizontal="left" vertical="top"/>
    </xf>
    <xf numFmtId="164" fontId="7" fillId="0" borderId="9" xfId="0" applyNumberFormat="1" applyFont="1" applyBorder="1" applyAlignment="1">
      <alignment horizontal="center" vertical="center"/>
    </xf>
    <xf numFmtId="10" fontId="4" fillId="0" borderId="9" xfId="1" applyNumberFormat="1" applyFont="1" applyBorder="1" applyAlignment="1">
      <alignment horizontal="center" vertical="center"/>
    </xf>
    <xf numFmtId="0" fontId="4" fillId="0" borderId="0" xfId="0" applyFont="1" applyAlignment="1">
      <alignment horizontal="justify" vertical="top" wrapText="1"/>
    </xf>
    <xf numFmtId="0" fontId="11" fillId="0" borderId="0" xfId="0" applyFont="1" applyAlignment="1">
      <alignment horizontal="center"/>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4" fillId="0" borderId="2" xfId="0" quotePrefix="1"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1" xfId="0" applyFont="1" applyBorder="1" applyAlignment="1">
      <alignment horizontal="center" vertical="center"/>
    </xf>
    <xf numFmtId="0" fontId="4" fillId="0" borderId="12" xfId="0" applyFont="1" applyBorder="1" applyAlignment="1">
      <alignment horizontal="left" vertical="top"/>
    </xf>
    <xf numFmtId="0" fontId="4" fillId="0" borderId="11" xfId="0" applyFont="1" applyBorder="1" applyAlignment="1">
      <alignment horizontal="left" vertical="top"/>
    </xf>
    <xf numFmtId="0" fontId="4" fillId="0" borderId="12" xfId="0" applyFont="1" applyBorder="1" applyAlignment="1">
      <alignment horizontal="left" vertical="center"/>
    </xf>
    <xf numFmtId="0" fontId="5" fillId="0" borderId="9" xfId="0" applyFont="1" applyBorder="1" applyAlignment="1">
      <alignment horizontal="center"/>
    </xf>
    <xf numFmtId="0" fontId="5" fillId="0" borderId="9" xfId="0" applyFont="1" applyBorder="1" applyAlignment="1">
      <alignment horizontal="center" vertical="center"/>
    </xf>
    <xf numFmtId="0" fontId="16" fillId="0" borderId="13" xfId="0" applyFont="1" applyBorder="1" applyAlignment="1">
      <alignment horizontal="left" vertical="top"/>
    </xf>
    <xf numFmtId="0" fontId="4" fillId="0" borderId="14" xfId="0" applyFont="1" applyBorder="1" applyAlignment="1">
      <alignment horizontal="left" vertical="top"/>
    </xf>
    <xf numFmtId="0" fontId="4" fillId="0" borderId="0" xfId="0" applyFont="1" applyAlignment="1">
      <alignment horizontal="left" vertical="center" wrapText="1"/>
    </xf>
    <xf numFmtId="0" fontId="4" fillId="0" borderId="0" xfId="0" applyFont="1" applyAlignment="1">
      <alignment horizontal="left" wrapText="1"/>
    </xf>
    <xf numFmtId="0" fontId="4" fillId="0" borderId="0" xfId="0" applyFont="1" applyAlignment="1">
      <alignment horizontal="center"/>
    </xf>
    <xf numFmtId="15" fontId="4" fillId="0" borderId="1" xfId="0" applyNumberFormat="1" applyFont="1" applyBorder="1" applyAlignment="1">
      <alignment horizontal="center" vertical="center" wrapText="1"/>
    </xf>
    <xf numFmtId="15" fontId="4" fillId="0" borderId="2" xfId="0" applyNumberFormat="1" applyFont="1" applyBorder="1" applyAlignment="1">
      <alignment horizontal="center" vertical="center" wrapText="1"/>
    </xf>
    <xf numFmtId="15" fontId="4" fillId="0" borderId="3" xfId="0" applyNumberFormat="1" applyFont="1" applyBorder="1" applyAlignment="1">
      <alignment horizontal="center" vertical="center" wrapText="1"/>
    </xf>
    <xf numFmtId="15" fontId="4" fillId="0" borderId="4" xfId="0" applyNumberFormat="1" applyFont="1" applyBorder="1" applyAlignment="1">
      <alignment horizontal="center" vertical="center" wrapText="1"/>
    </xf>
    <xf numFmtId="15" fontId="4" fillId="0" borderId="0" xfId="0" applyNumberFormat="1" applyFont="1" applyAlignment="1">
      <alignment horizontal="center" vertical="center" wrapText="1"/>
    </xf>
    <xf numFmtId="15" fontId="4" fillId="0" borderId="5" xfId="0" applyNumberFormat="1" applyFont="1" applyBorder="1" applyAlignment="1">
      <alignment horizontal="center" vertical="center" wrapText="1"/>
    </xf>
    <xf numFmtId="15" fontId="4" fillId="0" borderId="6" xfId="0" applyNumberFormat="1" applyFont="1" applyBorder="1" applyAlignment="1">
      <alignment horizontal="center" vertical="center" wrapText="1"/>
    </xf>
    <xf numFmtId="15" fontId="4" fillId="0" borderId="7" xfId="0" applyNumberFormat="1" applyFont="1" applyBorder="1" applyAlignment="1">
      <alignment horizontal="center" vertical="center" wrapText="1"/>
    </xf>
    <xf numFmtId="15" fontId="4" fillId="0" borderId="8" xfId="0" applyNumberFormat="1" applyFont="1" applyBorder="1" applyAlignment="1">
      <alignment horizontal="center" vertical="center" wrapText="1"/>
    </xf>
    <xf numFmtId="15" fontId="4" fillId="0" borderId="1" xfId="0" applyNumberFormat="1" applyFont="1" applyBorder="1" applyAlignment="1">
      <alignment horizontal="center" vertical="center"/>
    </xf>
    <xf numFmtId="15" fontId="4" fillId="0" borderId="3" xfId="0" applyNumberFormat="1" applyFont="1" applyBorder="1" applyAlignment="1">
      <alignment horizontal="center" vertical="center"/>
    </xf>
    <xf numFmtId="15" fontId="4" fillId="0" borderId="6" xfId="0" applyNumberFormat="1" applyFont="1" applyBorder="1" applyAlignment="1">
      <alignment horizontal="center" vertical="center"/>
    </xf>
    <xf numFmtId="15" fontId="4" fillId="0" borderId="8" xfId="0" applyNumberFormat="1" applyFont="1" applyBorder="1" applyAlignment="1">
      <alignment horizontal="center" vertical="center"/>
    </xf>
    <xf numFmtId="15" fontId="4" fillId="0" borderId="10" xfId="0" applyNumberFormat="1" applyFont="1" applyBorder="1" applyAlignment="1">
      <alignment horizontal="center" vertical="center"/>
    </xf>
    <xf numFmtId="15" fontId="4" fillId="0" borderId="11" xfId="0" applyNumberFormat="1" applyFont="1" applyBorder="1" applyAlignment="1">
      <alignment horizontal="center" vertical="center"/>
    </xf>
    <xf numFmtId="15" fontId="4" fillId="0" borderId="12" xfId="0" applyNumberFormat="1" applyFont="1" applyBorder="1" applyAlignment="1">
      <alignment horizontal="center" vertical="center"/>
    </xf>
    <xf numFmtId="165" fontId="4" fillId="0" borderId="9" xfId="0" applyNumberFormat="1" applyFont="1" applyBorder="1" applyAlignment="1">
      <alignment horizontal="center" vertical="center"/>
    </xf>
    <xf numFmtId="0" fontId="4" fillId="0" borderId="0" xfId="0" applyFont="1" applyAlignment="1">
      <alignment horizontal="center" wrapText="1"/>
    </xf>
    <xf numFmtId="0" fontId="4" fillId="0" borderId="9" xfId="0" applyFont="1" applyBorder="1" applyAlignment="1">
      <alignment horizontal="center"/>
    </xf>
    <xf numFmtId="2" fontId="4" fillId="0" borderId="9" xfId="0" applyNumberFormat="1" applyFont="1" applyBorder="1" applyAlignment="1">
      <alignment horizontal="center" vertical="center"/>
    </xf>
    <xf numFmtId="2" fontId="5" fillId="0" borderId="9" xfId="0" applyNumberFormat="1" applyFont="1" applyBorder="1" applyAlignment="1">
      <alignment horizontal="center" vertical="center"/>
    </xf>
    <xf numFmtId="0" fontId="4" fillId="0" borderId="0" xfId="0" applyFont="1" applyAlignment="1">
      <alignment horizontal="justify" vertical="center" wrapText="1"/>
    </xf>
    <xf numFmtId="0" fontId="5" fillId="0" borderId="9" xfId="3" applyFont="1" applyBorder="1" applyAlignment="1">
      <alignment horizontal="center" vertical="center"/>
    </xf>
    <xf numFmtId="0" fontId="4" fillId="0" borderId="9" xfId="3" applyFont="1" applyBorder="1" applyAlignment="1">
      <alignment horizontal="center" vertical="center"/>
    </xf>
    <xf numFmtId="10" fontId="5" fillId="0" borderId="9" xfId="1" applyNumberFormat="1" applyFont="1" applyBorder="1" applyAlignment="1">
      <alignment horizontal="center" vertical="center" wrapText="1"/>
    </xf>
    <xf numFmtId="0" fontId="5" fillId="0" borderId="9" xfId="3" applyFont="1" applyBorder="1" applyAlignment="1">
      <alignment horizontal="center" vertical="center" wrapText="1"/>
    </xf>
    <xf numFmtId="0" fontId="5" fillId="0" borderId="9" xfId="3" applyFont="1" applyBorder="1" applyAlignment="1">
      <alignment horizontal="center"/>
    </xf>
    <xf numFmtId="10" fontId="4" fillId="0" borderId="9" xfId="1" applyNumberFormat="1" applyFont="1" applyBorder="1" applyAlignment="1">
      <alignment horizontal="center" vertical="center" wrapText="1"/>
    </xf>
    <xf numFmtId="0" fontId="4" fillId="0" borderId="9" xfId="3" applyFont="1" applyBorder="1" applyAlignment="1">
      <alignment horizontal="center" vertical="center" wrapText="1"/>
    </xf>
    <xf numFmtId="168" fontId="4" fillId="0" borderId="9" xfId="0" applyNumberFormat="1" applyFont="1" applyBorder="1" applyAlignment="1">
      <alignment horizontal="center" vertical="center"/>
    </xf>
    <xf numFmtId="168" fontId="5" fillId="0" borderId="9" xfId="0" applyNumberFormat="1" applyFont="1" applyBorder="1" applyAlignment="1">
      <alignment horizontal="center" vertical="center"/>
    </xf>
    <xf numFmtId="10" fontId="5" fillId="0" borderId="10" xfId="1" applyNumberFormat="1" applyFont="1" applyBorder="1" applyAlignment="1">
      <alignment horizontal="center" vertical="center"/>
    </xf>
    <xf numFmtId="10" fontId="5" fillId="0" borderId="11" xfId="1" applyNumberFormat="1" applyFont="1" applyBorder="1" applyAlignment="1">
      <alignment horizontal="center" vertical="center"/>
    </xf>
    <xf numFmtId="10" fontId="5" fillId="0" borderId="9" xfId="1" applyNumberFormat="1" applyFont="1" applyBorder="1" applyAlignment="1">
      <alignment horizontal="center" vertical="center"/>
    </xf>
    <xf numFmtId="0" fontId="5" fillId="0" borderId="9" xfId="0" applyFont="1" applyBorder="1" applyAlignment="1">
      <alignment horizontal="center" vertical="center" wrapText="1"/>
    </xf>
    <xf numFmtId="0" fontId="4" fillId="0" borderId="9" xfId="0" quotePrefix="1" applyFont="1" applyBorder="1" applyAlignment="1">
      <alignment horizontal="center" vertical="center"/>
    </xf>
    <xf numFmtId="168" fontId="9" fillId="0" borderId="9" xfId="0" applyNumberFormat="1" applyFont="1" applyBorder="1" applyAlignment="1">
      <alignment horizontal="center" vertical="center"/>
    </xf>
    <xf numFmtId="168" fontId="9" fillId="0" borderId="10" xfId="0" applyNumberFormat="1" applyFont="1" applyBorder="1" applyAlignment="1">
      <alignment horizontal="center" vertical="center"/>
    </xf>
    <xf numFmtId="168" fontId="9" fillId="0" borderId="11" xfId="0" applyNumberFormat="1" applyFont="1" applyBorder="1" applyAlignment="1">
      <alignment horizontal="center" vertical="center"/>
    </xf>
    <xf numFmtId="165" fontId="9" fillId="0" borderId="9" xfId="0" applyNumberFormat="1" applyFont="1" applyBorder="1" applyAlignment="1">
      <alignment horizontal="center" vertical="center"/>
    </xf>
    <xf numFmtId="2" fontId="4" fillId="0" borderId="0" xfId="0" applyNumberFormat="1" applyFont="1" applyAlignment="1">
      <alignment horizontal="center" vertical="center"/>
    </xf>
    <xf numFmtId="0" fontId="4" fillId="0" borderId="5" xfId="0" applyFont="1" applyBorder="1" applyAlignment="1">
      <alignment horizontal="center"/>
    </xf>
    <xf numFmtId="167" fontId="9" fillId="0" borderId="0" xfId="0" applyNumberFormat="1" applyFont="1" applyAlignment="1">
      <alignment horizontal="center" vertical="center"/>
    </xf>
    <xf numFmtId="165" fontId="4" fillId="0" borderId="0" xfId="0" applyNumberFormat="1" applyFont="1" applyAlignment="1">
      <alignment horizontal="center"/>
    </xf>
    <xf numFmtId="165" fontId="4" fillId="0" borderId="5" xfId="0" applyNumberFormat="1" applyFont="1" applyBorder="1" applyAlignment="1">
      <alignment horizontal="center"/>
    </xf>
    <xf numFmtId="2" fontId="4" fillId="0" borderId="1" xfId="0" applyNumberFormat="1" applyFont="1" applyBorder="1" applyAlignment="1">
      <alignment horizontal="center" vertical="center"/>
    </xf>
    <xf numFmtId="2" fontId="4" fillId="0" borderId="3" xfId="0" applyNumberFormat="1" applyFont="1" applyBorder="1" applyAlignment="1">
      <alignment horizontal="center" vertical="center"/>
    </xf>
    <xf numFmtId="2" fontId="4" fillId="0" borderId="6" xfId="0" applyNumberFormat="1" applyFont="1" applyBorder="1" applyAlignment="1">
      <alignment horizontal="center" vertical="center"/>
    </xf>
    <xf numFmtId="2" fontId="4" fillId="0" borderId="8" xfId="0" applyNumberFormat="1" applyFont="1" applyBorder="1" applyAlignment="1">
      <alignment horizontal="center" vertical="center"/>
    </xf>
    <xf numFmtId="1" fontId="4" fillId="0" borderId="0" xfId="0" applyNumberFormat="1" applyFont="1" applyAlignment="1">
      <alignment horizontal="center" vertical="center"/>
    </xf>
    <xf numFmtId="2" fontId="5" fillId="0" borderId="0" xfId="0" applyNumberFormat="1" applyFont="1" applyAlignment="1">
      <alignment horizontal="center" vertical="center"/>
    </xf>
    <xf numFmtId="0" fontId="5" fillId="0" borderId="0" xfId="0" applyFont="1" applyAlignment="1">
      <alignment horizontal="center" vertical="center"/>
    </xf>
    <xf numFmtId="0" fontId="4" fillId="0" borderId="0" xfId="0" applyFont="1" applyAlignment="1">
      <alignment horizontal="center" vertical="center"/>
    </xf>
    <xf numFmtId="10" fontId="5" fillId="0" borderId="9" xfId="0" applyNumberFormat="1" applyFont="1" applyBorder="1" applyAlignment="1">
      <alignment horizontal="center" vertical="center"/>
    </xf>
    <xf numFmtId="0" fontId="10" fillId="0" borderId="0" xfId="0" applyFont="1" applyAlignment="1">
      <alignment horizontal="center" vertical="center" wrapText="1"/>
    </xf>
    <xf numFmtId="2" fontId="4" fillId="0" borderId="7" xfId="0" applyNumberFormat="1" applyFont="1" applyBorder="1" applyAlignment="1">
      <alignment horizontal="center" vertical="center"/>
    </xf>
    <xf numFmtId="0" fontId="4" fillId="0" borderId="7" xfId="0" applyFont="1" applyBorder="1" applyAlignment="1">
      <alignment horizontal="center"/>
    </xf>
    <xf numFmtId="0" fontId="4" fillId="0" borderId="8" xfId="0" applyFont="1" applyBorder="1" applyAlignment="1">
      <alignment horizontal="center"/>
    </xf>
    <xf numFmtId="0" fontId="4" fillId="0" borderId="4" xfId="0" applyFont="1" applyBorder="1" applyAlignment="1">
      <alignment horizontal="justify" vertical="center" wrapText="1"/>
    </xf>
    <xf numFmtId="0" fontId="4" fillId="0" borderId="5" xfId="0" applyFont="1" applyBorder="1" applyAlignment="1">
      <alignment horizontal="justify" vertical="center" wrapText="1"/>
    </xf>
    <xf numFmtId="0" fontId="17" fillId="0" borderId="9" xfId="5" applyFont="1" applyBorder="1" applyAlignment="1">
      <alignment horizontal="center" vertical="center" wrapText="1"/>
    </xf>
    <xf numFmtId="0" fontId="17" fillId="0" borderId="13" xfId="5" applyFont="1" applyBorder="1" applyAlignment="1">
      <alignment horizontal="center" vertical="center" wrapText="1"/>
    </xf>
    <xf numFmtId="0" fontId="18" fillId="3" borderId="9" xfId="2" applyFont="1" applyFill="1" applyBorder="1" applyAlignment="1">
      <alignment horizontal="center" vertical="center" wrapText="1"/>
    </xf>
    <xf numFmtId="14" fontId="18" fillId="3" borderId="9" xfId="2" applyNumberFormat="1" applyFont="1" applyFill="1" applyBorder="1" applyAlignment="1">
      <alignment horizontal="center" vertical="center"/>
    </xf>
    <xf numFmtId="0" fontId="18" fillId="3" borderId="9" xfId="2" applyFont="1" applyFill="1" applyBorder="1" applyAlignment="1">
      <alignment horizontal="center" vertical="center"/>
    </xf>
    <xf numFmtId="0" fontId="18" fillId="3" borderId="13" xfId="2" applyFont="1" applyFill="1" applyBorder="1" applyAlignment="1">
      <alignment horizontal="center" vertical="center" wrapText="1"/>
    </xf>
    <xf numFmtId="0" fontId="18" fillId="3" borderId="13" xfId="2" applyFont="1" applyFill="1" applyBorder="1" applyAlignment="1">
      <alignment horizontal="center" vertical="center"/>
    </xf>
    <xf numFmtId="0" fontId="17" fillId="0" borderId="11" xfId="5" applyFont="1" applyBorder="1" applyAlignment="1">
      <alignment horizontal="center" vertical="center" wrapText="1"/>
    </xf>
    <xf numFmtId="0" fontId="17" fillId="0" borderId="3" xfId="5" applyFont="1" applyBorder="1" applyAlignment="1">
      <alignment horizontal="center" vertical="center" wrapText="1"/>
    </xf>
    <xf numFmtId="0" fontId="4" fillId="0" borderId="0" xfId="5" applyFont="1" applyAlignment="1">
      <alignment horizontal="left" wrapText="1"/>
    </xf>
    <xf numFmtId="0" fontId="4" fillId="0" borderId="5" xfId="5" applyFont="1" applyBorder="1" applyAlignment="1">
      <alignment horizontal="left" wrapText="1"/>
    </xf>
    <xf numFmtId="0" fontId="5" fillId="0" borderId="9" xfId="5" applyFont="1" applyBorder="1" applyAlignment="1">
      <alignment horizontal="center" vertical="center" wrapText="1"/>
    </xf>
    <xf numFmtId="0" fontId="5" fillId="0" borderId="1" xfId="5" applyFont="1" applyBorder="1" applyAlignment="1">
      <alignment horizontal="center" vertical="center"/>
    </xf>
    <xf numFmtId="0" fontId="5" fillId="0" borderId="2" xfId="5" applyFont="1" applyBorder="1" applyAlignment="1">
      <alignment horizontal="center" vertical="center"/>
    </xf>
    <xf numFmtId="0" fontId="5" fillId="0" borderId="6" xfId="5" applyFont="1" applyBorder="1" applyAlignment="1">
      <alignment horizontal="center" vertical="center"/>
    </xf>
    <xf numFmtId="0" fontId="5" fillId="0" borderId="7" xfId="5" applyFont="1" applyBorder="1" applyAlignment="1">
      <alignment horizontal="center" vertical="center"/>
    </xf>
    <xf numFmtId="0" fontId="5" fillId="0" borderId="3" xfId="5" applyFont="1" applyBorder="1" applyAlignment="1">
      <alignment horizontal="center" vertical="center"/>
    </xf>
    <xf numFmtId="0" fontId="5" fillId="0" borderId="8" xfId="5" applyFont="1" applyBorder="1" applyAlignment="1">
      <alignment horizontal="center" vertical="center"/>
    </xf>
    <xf numFmtId="0" fontId="5" fillId="0" borderId="9" xfId="5" applyFont="1" applyBorder="1" applyAlignment="1">
      <alignment horizontal="center" vertical="center"/>
    </xf>
    <xf numFmtId="0" fontId="5" fillId="0" borderId="13" xfId="5" applyFont="1" applyBorder="1" applyAlignment="1">
      <alignment horizontal="center" vertical="center"/>
    </xf>
    <xf numFmtId="0" fontId="5" fillId="0" borderId="15" xfId="5" applyFont="1" applyBorder="1" applyAlignment="1">
      <alignment horizontal="center" vertical="center"/>
    </xf>
    <xf numFmtId="0" fontId="5" fillId="0" borderId="14" xfId="5" applyFont="1" applyBorder="1" applyAlignment="1">
      <alignment horizontal="center" vertical="center"/>
    </xf>
    <xf numFmtId="0" fontId="5" fillId="0" borderId="14" xfId="5" applyFont="1" applyBorder="1" applyAlignment="1">
      <alignment horizontal="center" vertical="center" wrapText="1"/>
    </xf>
    <xf numFmtId="0" fontId="5" fillId="0" borderId="10" xfId="5" applyFont="1" applyBorder="1" applyAlignment="1">
      <alignment horizontal="center"/>
    </xf>
    <xf numFmtId="0" fontId="5" fillId="0" borderId="12" xfId="5" applyFont="1" applyBorder="1" applyAlignment="1">
      <alignment horizontal="center"/>
    </xf>
    <xf numFmtId="0" fontId="5" fillId="0" borderId="11" xfId="5" applyFont="1" applyBorder="1" applyAlignment="1">
      <alignment horizontal="center"/>
    </xf>
    <xf numFmtId="0" fontId="5" fillId="0" borderId="11" xfId="5" applyFont="1" applyBorder="1" applyAlignment="1">
      <alignment horizontal="center" vertical="center"/>
    </xf>
    <xf numFmtId="0" fontId="5" fillId="0" borderId="9" xfId="5" applyFont="1" applyBorder="1" applyAlignment="1">
      <alignment horizontal="center"/>
    </xf>
    <xf numFmtId="0" fontId="5" fillId="0" borderId="10" xfId="5" applyFont="1" applyBorder="1" applyAlignment="1">
      <alignment horizontal="center" vertical="center" wrapText="1"/>
    </xf>
    <xf numFmtId="0" fontId="9" fillId="0" borderId="13" xfId="5" applyFont="1" applyBorder="1" applyAlignment="1">
      <alignment horizontal="center" vertical="center"/>
    </xf>
    <xf numFmtId="0" fontId="9" fillId="0" borderId="14" xfId="5" applyFont="1" applyBorder="1" applyAlignment="1">
      <alignment horizontal="center" vertical="center"/>
    </xf>
    <xf numFmtId="0" fontId="4" fillId="0" borderId="0" xfId="5" applyFont="1" applyAlignment="1">
      <alignment horizontal="left" vertical="center" wrapText="1"/>
    </xf>
    <xf numFmtId="0" fontId="4" fillId="0" borderId="5" xfId="5" applyFont="1" applyBorder="1" applyAlignment="1">
      <alignment horizontal="left" vertical="center" wrapText="1"/>
    </xf>
    <xf numFmtId="0" fontId="5" fillId="0" borderId="13" xfId="5" applyFont="1" applyBorder="1" applyAlignment="1">
      <alignment horizontal="center" vertical="center" wrapText="1"/>
    </xf>
    <xf numFmtId="0" fontId="5" fillId="0" borderId="15" xfId="5" applyFont="1" applyBorder="1" applyAlignment="1">
      <alignment horizontal="center" vertical="center" wrapText="1"/>
    </xf>
    <xf numFmtId="0" fontId="5" fillId="0" borderId="5" xfId="5" applyFont="1" applyBorder="1" applyAlignment="1">
      <alignment horizontal="center" vertical="center"/>
    </xf>
    <xf numFmtId="0" fontId="5" fillId="0" borderId="9" xfId="5" applyFont="1" applyBorder="1" applyAlignment="1">
      <alignment horizontal="center" wrapText="1"/>
    </xf>
    <xf numFmtId="0" fontId="22" fillId="0" borderId="13" xfId="5" applyFont="1" applyBorder="1" applyAlignment="1">
      <alignment horizontal="center" vertical="center"/>
    </xf>
    <xf numFmtId="0" fontId="22" fillId="0" borderId="14" xfId="5" applyFont="1" applyBorder="1" applyAlignment="1">
      <alignment horizontal="center" vertical="center"/>
    </xf>
    <xf numFmtId="0" fontId="5" fillId="0" borderId="10" xfId="5" applyFont="1" applyBorder="1" applyAlignment="1">
      <alignment horizontal="center" vertical="center"/>
    </xf>
    <xf numFmtId="0" fontId="5" fillId="0" borderId="12" xfId="5" applyFont="1" applyBorder="1" applyAlignment="1">
      <alignment horizontal="center" vertical="center"/>
    </xf>
    <xf numFmtId="0" fontId="4" fillId="0" borderId="9" xfId="5" applyFont="1" applyBorder="1" applyAlignment="1">
      <alignment horizontal="center" vertical="center"/>
    </xf>
    <xf numFmtId="0" fontId="4" fillId="0" borderId="0" xfId="5" applyFont="1" applyAlignment="1">
      <alignment horizontal="left" vertical="top" wrapText="1"/>
    </xf>
    <xf numFmtId="0" fontId="4" fillId="0" borderId="16" xfId="5" applyFont="1" applyBorder="1" applyAlignment="1">
      <alignment horizontal="center" vertical="center"/>
    </xf>
    <xf numFmtId="0" fontId="4" fillId="0" borderId="17" xfId="5" applyFont="1" applyBorder="1" applyAlignment="1">
      <alignment horizontal="center" vertical="center"/>
    </xf>
    <xf numFmtId="0" fontId="4" fillId="0" borderId="18" xfId="5" applyFont="1" applyBorder="1" applyAlignment="1">
      <alignment horizontal="center" vertical="center"/>
    </xf>
    <xf numFmtId="0" fontId="4" fillId="0" borderId="19" xfId="5" applyFont="1" applyBorder="1" applyAlignment="1">
      <alignment horizontal="center" vertical="center"/>
    </xf>
    <xf numFmtId="0" fontId="4" fillId="0" borderId="20" xfId="5" applyFont="1" applyBorder="1" applyAlignment="1">
      <alignment horizontal="center" vertical="center"/>
    </xf>
    <xf numFmtId="0" fontId="4" fillId="0" borderId="21" xfId="5" applyFont="1" applyBorder="1" applyAlignment="1">
      <alignment horizontal="center" vertical="center"/>
    </xf>
    <xf numFmtId="0" fontId="4" fillId="0" borderId="10" xfId="5" applyFont="1" applyBorder="1" applyAlignment="1">
      <alignment horizontal="center" vertical="center"/>
    </xf>
    <xf numFmtId="0" fontId="4" fillId="0" borderId="9" xfId="5" applyFont="1" applyBorder="1" applyAlignment="1">
      <alignment horizontal="center" vertical="center" wrapText="1"/>
    </xf>
    <xf numFmtId="0" fontId="7" fillId="0" borderId="9" xfId="0" applyFont="1" applyBorder="1" applyAlignment="1">
      <alignment horizontal="center" vertical="center"/>
    </xf>
  </cellXfs>
  <cellStyles count="6">
    <cellStyle name="Normal" xfId="0" builtinId="0"/>
    <cellStyle name="Normal 2" xfId="2" xr:uid="{224F1864-B682-432D-B0E3-A25F2DABEE16}"/>
    <cellStyle name="Normal 3" xfId="3" xr:uid="{C7644AD4-908D-48EF-9DC6-24A875E59B53}"/>
    <cellStyle name="Normal 4" xfId="4" xr:uid="{FB0EED99-40CC-4D35-A0DA-29D66021387C}"/>
    <cellStyle name="Normal 5" xfId="5" xr:uid="{81C36D21-F696-4207-A4F8-BEC98EB63299}"/>
    <cellStyle name="Porcentaje" xfId="1" builtinId="5"/>
  </cellStyles>
  <dxfs count="179">
    <dxf>
      <font>
        <b/>
        <i val="0"/>
        <color rgb="FF006100"/>
      </font>
      <fill>
        <patternFill patternType="none">
          <bgColor auto="1"/>
        </patternFill>
      </fill>
    </dxf>
    <dxf>
      <font>
        <b/>
        <i val="0"/>
        <color rgb="FF9C0006"/>
      </font>
      <fill>
        <patternFill patternType="none">
          <bgColor auto="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9C0006"/>
      </font>
      <fill>
        <patternFill>
          <bgColor rgb="FFFFC7CE"/>
        </patternFill>
      </fill>
    </dxf>
    <dxf>
      <font>
        <color rgb="FF006100"/>
      </font>
      <fill>
        <patternFill>
          <bgColor rgb="FFC6EFCE"/>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006100"/>
      </font>
      <fill>
        <patternFill>
          <bgColor rgb="FFC6EFCE"/>
        </patternFill>
      </fill>
    </dxf>
    <dxf>
      <font>
        <color rgb="FF9C0006"/>
      </font>
      <fill>
        <patternFill>
          <bgColor rgb="FFFFC7CE"/>
        </patternFill>
      </fill>
    </dxf>
    <dxf>
      <font>
        <b/>
        <i val="0"/>
        <color rgb="FF9C0006"/>
      </font>
      <fill>
        <patternFill patternType="none">
          <bgColor auto="1"/>
        </patternFill>
      </fill>
    </dxf>
    <dxf>
      <font>
        <b/>
        <i val="0"/>
        <color rgb="FF006100"/>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006100"/>
      </font>
      <fill>
        <patternFill patternType="none">
          <bgColor auto="1"/>
        </patternFill>
      </fill>
    </dxf>
    <dxf>
      <font>
        <b/>
        <i val="0"/>
        <color rgb="FF9C0006"/>
      </font>
      <fill>
        <patternFill patternType="none">
          <bgColor auto="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rgb="FF006100"/>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9C0006"/>
      </font>
      <fill>
        <patternFill>
          <bgColor rgb="FFFFC7CE"/>
        </patternFill>
      </fill>
    </dxf>
    <dxf>
      <font>
        <color rgb="FF006100"/>
      </font>
      <fill>
        <patternFill>
          <bgColor rgb="FFC6EFCE"/>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006100"/>
      </font>
      <fill>
        <patternFill patternType="none">
          <bgColor auto="1"/>
        </patternFill>
      </fill>
    </dxf>
    <dxf>
      <font>
        <b/>
        <i val="0"/>
        <color rgb="FF9C0006"/>
      </font>
      <fill>
        <patternFill patternType="none">
          <bgColor auto="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006100"/>
      </font>
      <fill>
        <patternFill patternType="none">
          <bgColor auto="1"/>
        </patternFill>
      </fill>
    </dxf>
    <dxf>
      <font>
        <b/>
        <i val="0"/>
        <color rgb="FF9C0006"/>
      </font>
      <fill>
        <patternFill patternType="none">
          <bgColor auto="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rgb="FF006100"/>
      </font>
      <fill>
        <patternFill patternType="none">
          <bgColor auto="1"/>
        </patternFill>
      </fill>
    </dxf>
    <dxf>
      <font>
        <b/>
        <i val="0"/>
        <color rgb="FF9C0006"/>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9C0006"/>
      </font>
      <fill>
        <patternFill>
          <bgColor rgb="FFFFC7CE"/>
        </patternFill>
      </fill>
    </dxf>
    <dxf>
      <font>
        <color rgb="FF006100"/>
      </font>
      <fill>
        <patternFill>
          <bgColor rgb="FFC6EFCE"/>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006100"/>
      </font>
      <fill>
        <patternFill patternType="none">
          <bgColor auto="1"/>
        </patternFill>
      </fill>
    </dxf>
    <dxf>
      <font>
        <b/>
        <i val="0"/>
        <color rgb="FF9C0006"/>
      </font>
      <fill>
        <patternFill patternType="none">
          <bgColor auto="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9C0006"/>
      </font>
      <fill>
        <patternFill patternType="none">
          <bgColor auto="1"/>
        </patternFill>
      </fill>
    </dxf>
    <dxf>
      <font>
        <b/>
        <i val="0"/>
        <color rgb="FF006100"/>
      </font>
      <fill>
        <patternFill patternType="none">
          <bgColor auto="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9C0006"/>
      </font>
      <fill>
        <patternFill>
          <bgColor rgb="FFFFC7CE"/>
        </patternFill>
      </fill>
    </dxf>
    <dxf>
      <font>
        <color rgb="FF006100"/>
      </font>
      <fill>
        <patternFill>
          <bgColor rgb="FFC6EFCE"/>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b/>
        <i val="0"/>
        <color rgb="FF006100"/>
      </font>
      <fill>
        <patternFill patternType="none">
          <bgColor auto="1"/>
        </patternFill>
      </fill>
    </dxf>
    <dxf>
      <font>
        <b/>
        <i val="0"/>
        <color rgb="FF9C0006"/>
      </font>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s-CO"/>
              <a:t>ESPECTRO DE DISEÑO</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s-CO"/>
        </a:p>
      </c:txPr>
    </c:title>
    <c:autoTitleDeleted val="0"/>
    <c:plotArea>
      <c:layout/>
      <c:scatterChart>
        <c:scatterStyle val="lineMarker"/>
        <c:varyColors val="0"/>
        <c:ser>
          <c:idx val="0"/>
          <c:order val="0"/>
          <c:tx>
            <c:v>Espectro Elástico</c:v>
          </c:tx>
          <c:spPr>
            <a:ln w="9525" cap="rnd">
              <a:solidFill>
                <a:schemeClr val="accent1"/>
              </a:solidFill>
              <a:round/>
            </a:ln>
            <a:effectLst/>
          </c:spPr>
          <c:marker>
            <c:symbol val="none"/>
          </c:marker>
          <c:xVal>
            <c:numRef>
              <c:f>'3. ESPECTRO'!$AZ$3:$AZ$163</c:f>
              <c:numCache>
                <c:formatCode>0.0000</c:formatCode>
                <c:ptCount val="161"/>
                <c:pt idx="0">
                  <c:v>0</c:v>
                </c:pt>
                <c:pt idx="1">
                  <c:v>0.05</c:v>
                </c:pt>
                <c:pt idx="2">
                  <c:v>0.1</c:v>
                </c:pt>
                <c:pt idx="3">
                  <c:v>0.15000000000000002</c:v>
                </c:pt>
                <c:pt idx="4">
                  <c:v>0.2</c:v>
                </c:pt>
                <c:pt idx="5">
                  <c:v>0.25</c:v>
                </c:pt>
                <c:pt idx="6">
                  <c:v>0.3</c:v>
                </c:pt>
                <c:pt idx="7">
                  <c:v>0.35</c:v>
                </c:pt>
                <c:pt idx="8">
                  <c:v>0.39999999999999997</c:v>
                </c:pt>
                <c:pt idx="9">
                  <c:v>0.44999999999999996</c:v>
                </c:pt>
                <c:pt idx="10">
                  <c:v>0.49999999999999994</c:v>
                </c:pt>
                <c:pt idx="11">
                  <c:v>0.54999999999999993</c:v>
                </c:pt>
                <c:pt idx="12">
                  <c:v>0.6</c:v>
                </c:pt>
                <c:pt idx="13">
                  <c:v>0.65</c:v>
                </c:pt>
                <c:pt idx="14">
                  <c:v>0.70000000000000007</c:v>
                </c:pt>
                <c:pt idx="15">
                  <c:v>0.75000000000000011</c:v>
                </c:pt>
                <c:pt idx="16">
                  <c:v>0.80000000000000016</c:v>
                </c:pt>
                <c:pt idx="17">
                  <c:v>0.8500000000000002</c:v>
                </c:pt>
                <c:pt idx="18">
                  <c:v>0.90000000000000024</c:v>
                </c:pt>
                <c:pt idx="19">
                  <c:v>0.95000000000000029</c:v>
                </c:pt>
                <c:pt idx="20">
                  <c:v>1.0000000000000002</c:v>
                </c:pt>
                <c:pt idx="21">
                  <c:v>1.0500000000000003</c:v>
                </c:pt>
                <c:pt idx="22">
                  <c:v>1.1000000000000003</c:v>
                </c:pt>
                <c:pt idx="23">
                  <c:v>1.1500000000000004</c:v>
                </c:pt>
                <c:pt idx="24">
                  <c:v>1.2000000000000004</c:v>
                </c:pt>
                <c:pt idx="25">
                  <c:v>1.2500000000000004</c:v>
                </c:pt>
                <c:pt idx="26">
                  <c:v>1.3000000000000005</c:v>
                </c:pt>
                <c:pt idx="27">
                  <c:v>1.3500000000000005</c:v>
                </c:pt>
                <c:pt idx="28">
                  <c:v>1.4000000000000006</c:v>
                </c:pt>
                <c:pt idx="29">
                  <c:v>1.4500000000000006</c:v>
                </c:pt>
                <c:pt idx="30">
                  <c:v>1.5000000000000007</c:v>
                </c:pt>
                <c:pt idx="31">
                  <c:v>1.5500000000000007</c:v>
                </c:pt>
                <c:pt idx="32">
                  <c:v>1.6000000000000008</c:v>
                </c:pt>
                <c:pt idx="33">
                  <c:v>1.6500000000000008</c:v>
                </c:pt>
                <c:pt idx="34">
                  <c:v>1.7000000000000008</c:v>
                </c:pt>
                <c:pt idx="35">
                  <c:v>1.7500000000000009</c:v>
                </c:pt>
                <c:pt idx="36">
                  <c:v>1.8000000000000009</c:v>
                </c:pt>
                <c:pt idx="37">
                  <c:v>1.850000000000001</c:v>
                </c:pt>
                <c:pt idx="38">
                  <c:v>1.900000000000001</c:v>
                </c:pt>
                <c:pt idx="39">
                  <c:v>1.9500000000000011</c:v>
                </c:pt>
                <c:pt idx="40">
                  <c:v>2.0000000000000009</c:v>
                </c:pt>
                <c:pt idx="41">
                  <c:v>2.0500000000000007</c:v>
                </c:pt>
                <c:pt idx="42">
                  <c:v>2.1000000000000005</c:v>
                </c:pt>
                <c:pt idx="43">
                  <c:v>2.1500000000000004</c:v>
                </c:pt>
                <c:pt idx="44">
                  <c:v>2.2000000000000002</c:v>
                </c:pt>
                <c:pt idx="45">
                  <c:v>2.25</c:v>
                </c:pt>
                <c:pt idx="46">
                  <c:v>2.2999999999999998</c:v>
                </c:pt>
                <c:pt idx="47">
                  <c:v>2.3499999999999996</c:v>
                </c:pt>
                <c:pt idx="48">
                  <c:v>2.3999999999999995</c:v>
                </c:pt>
                <c:pt idx="49">
                  <c:v>2.4499999999999993</c:v>
                </c:pt>
                <c:pt idx="50">
                  <c:v>2.4999999999999991</c:v>
                </c:pt>
                <c:pt idx="51">
                  <c:v>2.5499999999999989</c:v>
                </c:pt>
                <c:pt idx="52">
                  <c:v>2.5999999999999988</c:v>
                </c:pt>
                <c:pt idx="53">
                  <c:v>2.6499999999999986</c:v>
                </c:pt>
                <c:pt idx="54">
                  <c:v>2.6999999999999984</c:v>
                </c:pt>
                <c:pt idx="55">
                  <c:v>2.7499999999999982</c:v>
                </c:pt>
                <c:pt idx="56">
                  <c:v>2.799999999999998</c:v>
                </c:pt>
                <c:pt idx="57">
                  <c:v>2.8499999999999979</c:v>
                </c:pt>
                <c:pt idx="58">
                  <c:v>2.8999999999999977</c:v>
                </c:pt>
                <c:pt idx="59">
                  <c:v>2.9499999999999975</c:v>
                </c:pt>
                <c:pt idx="60">
                  <c:v>2.9999999999999973</c:v>
                </c:pt>
                <c:pt idx="61">
                  <c:v>3.0499999999999972</c:v>
                </c:pt>
                <c:pt idx="62">
                  <c:v>3.099999999999997</c:v>
                </c:pt>
                <c:pt idx="63">
                  <c:v>3.1499999999999968</c:v>
                </c:pt>
                <c:pt idx="64">
                  <c:v>3.1999999999999966</c:v>
                </c:pt>
                <c:pt idx="65">
                  <c:v>3.2499999999999964</c:v>
                </c:pt>
                <c:pt idx="66">
                  <c:v>3.2999999999999963</c:v>
                </c:pt>
                <c:pt idx="67">
                  <c:v>3.3499999999999961</c:v>
                </c:pt>
                <c:pt idx="68">
                  <c:v>3.3999999999999959</c:v>
                </c:pt>
                <c:pt idx="69">
                  <c:v>3.4499999999999957</c:v>
                </c:pt>
                <c:pt idx="70">
                  <c:v>3.4999999999999956</c:v>
                </c:pt>
                <c:pt idx="71">
                  <c:v>3.5499999999999954</c:v>
                </c:pt>
                <c:pt idx="72">
                  <c:v>3.5999999999999952</c:v>
                </c:pt>
                <c:pt idx="73">
                  <c:v>3.649999999999995</c:v>
                </c:pt>
                <c:pt idx="74">
                  <c:v>3.6999999999999948</c:v>
                </c:pt>
                <c:pt idx="75">
                  <c:v>3.7499999999999947</c:v>
                </c:pt>
                <c:pt idx="76">
                  <c:v>3.7999999999999945</c:v>
                </c:pt>
                <c:pt idx="77">
                  <c:v>3.8499999999999943</c:v>
                </c:pt>
                <c:pt idx="78">
                  <c:v>3.8999999999999941</c:v>
                </c:pt>
                <c:pt idx="79">
                  <c:v>3.949999999999994</c:v>
                </c:pt>
                <c:pt idx="80">
                  <c:v>3.9999999999999938</c:v>
                </c:pt>
                <c:pt idx="81">
                  <c:v>4.0499999999999936</c:v>
                </c:pt>
                <c:pt idx="82">
                  <c:v>4.0999999999999934</c:v>
                </c:pt>
                <c:pt idx="83">
                  <c:v>4.1499999999999932</c:v>
                </c:pt>
                <c:pt idx="84">
                  <c:v>4.1999999999999931</c:v>
                </c:pt>
                <c:pt idx="85">
                  <c:v>4.2499999999999929</c:v>
                </c:pt>
                <c:pt idx="86">
                  <c:v>4.2999999999999927</c:v>
                </c:pt>
                <c:pt idx="87">
                  <c:v>4.3499999999999925</c:v>
                </c:pt>
                <c:pt idx="88">
                  <c:v>4.3999999999999924</c:v>
                </c:pt>
                <c:pt idx="89">
                  <c:v>4.4499999999999922</c:v>
                </c:pt>
                <c:pt idx="90">
                  <c:v>4.499999999999992</c:v>
                </c:pt>
                <c:pt idx="91">
                  <c:v>4.5499999999999918</c:v>
                </c:pt>
                <c:pt idx="92">
                  <c:v>4.5999999999999917</c:v>
                </c:pt>
                <c:pt idx="93">
                  <c:v>4.6499999999999915</c:v>
                </c:pt>
                <c:pt idx="94">
                  <c:v>4.6999999999999913</c:v>
                </c:pt>
                <c:pt idx="95">
                  <c:v>4.7499999999999911</c:v>
                </c:pt>
                <c:pt idx="96">
                  <c:v>4.7999999999999909</c:v>
                </c:pt>
                <c:pt idx="97">
                  <c:v>4.8499999999999908</c:v>
                </c:pt>
                <c:pt idx="98">
                  <c:v>4.8999999999999906</c:v>
                </c:pt>
                <c:pt idx="99">
                  <c:v>4.9499999999999904</c:v>
                </c:pt>
                <c:pt idx="100">
                  <c:v>4.9999999999999902</c:v>
                </c:pt>
                <c:pt idx="101">
                  <c:v>5.0499999999999901</c:v>
                </c:pt>
                <c:pt idx="102">
                  <c:v>5.0999999999999899</c:v>
                </c:pt>
                <c:pt idx="103">
                  <c:v>5.1499999999999897</c:v>
                </c:pt>
                <c:pt idx="104">
                  <c:v>5.1999999999999895</c:v>
                </c:pt>
                <c:pt idx="105">
                  <c:v>5.2499999999999893</c:v>
                </c:pt>
                <c:pt idx="106">
                  <c:v>5.2999999999999892</c:v>
                </c:pt>
                <c:pt idx="107">
                  <c:v>5.349999999999989</c:v>
                </c:pt>
                <c:pt idx="108">
                  <c:v>5.3999999999999888</c:v>
                </c:pt>
                <c:pt idx="109">
                  <c:v>5.4499999999999886</c:v>
                </c:pt>
                <c:pt idx="110">
                  <c:v>5.4999999999999885</c:v>
                </c:pt>
                <c:pt idx="111">
                  <c:v>5.5499999999999883</c:v>
                </c:pt>
                <c:pt idx="112">
                  <c:v>5.5999999999999881</c:v>
                </c:pt>
                <c:pt idx="113">
                  <c:v>5.6499999999999879</c:v>
                </c:pt>
                <c:pt idx="114">
                  <c:v>5.6999999999999877</c:v>
                </c:pt>
                <c:pt idx="115">
                  <c:v>5.7499999999999876</c:v>
                </c:pt>
                <c:pt idx="116">
                  <c:v>5.7999999999999874</c:v>
                </c:pt>
                <c:pt idx="117">
                  <c:v>5.8499999999999872</c:v>
                </c:pt>
                <c:pt idx="118">
                  <c:v>5.899999999999987</c:v>
                </c:pt>
                <c:pt idx="119">
                  <c:v>5.9499999999999869</c:v>
                </c:pt>
                <c:pt idx="120">
                  <c:v>5.9999999999999867</c:v>
                </c:pt>
                <c:pt idx="121">
                  <c:v>6.0499999999999865</c:v>
                </c:pt>
                <c:pt idx="122">
                  <c:v>6.0999999999999863</c:v>
                </c:pt>
                <c:pt idx="123">
                  <c:v>6.1499999999999861</c:v>
                </c:pt>
                <c:pt idx="124">
                  <c:v>6.199999999999986</c:v>
                </c:pt>
                <c:pt idx="125">
                  <c:v>6.2499999999999858</c:v>
                </c:pt>
                <c:pt idx="126">
                  <c:v>6.2999999999999856</c:v>
                </c:pt>
                <c:pt idx="127">
                  <c:v>6.3499999999999854</c:v>
                </c:pt>
                <c:pt idx="128">
                  <c:v>6.3999999999999853</c:v>
                </c:pt>
                <c:pt idx="129">
                  <c:v>6.4499999999999851</c:v>
                </c:pt>
                <c:pt idx="130">
                  <c:v>6.4999999999999849</c:v>
                </c:pt>
                <c:pt idx="131">
                  <c:v>6.5499999999999847</c:v>
                </c:pt>
                <c:pt idx="132">
                  <c:v>6.5999999999999845</c:v>
                </c:pt>
                <c:pt idx="133">
                  <c:v>6.6499999999999844</c:v>
                </c:pt>
                <c:pt idx="134">
                  <c:v>6.6999999999999842</c:v>
                </c:pt>
                <c:pt idx="135">
                  <c:v>6.749999999999984</c:v>
                </c:pt>
                <c:pt idx="136">
                  <c:v>6.7999999999999838</c:v>
                </c:pt>
                <c:pt idx="137">
                  <c:v>6.8499999999999837</c:v>
                </c:pt>
                <c:pt idx="138">
                  <c:v>6.8999999999999835</c:v>
                </c:pt>
                <c:pt idx="139">
                  <c:v>6.9499999999999833</c:v>
                </c:pt>
                <c:pt idx="140">
                  <c:v>6.9999999999999831</c:v>
                </c:pt>
                <c:pt idx="141">
                  <c:v>7.0499999999999829</c:v>
                </c:pt>
                <c:pt idx="142">
                  <c:v>7.0999999999999828</c:v>
                </c:pt>
                <c:pt idx="143">
                  <c:v>7.1499999999999826</c:v>
                </c:pt>
                <c:pt idx="144">
                  <c:v>7.1999999999999824</c:v>
                </c:pt>
                <c:pt idx="145">
                  <c:v>7.2499999999999822</c:v>
                </c:pt>
                <c:pt idx="146">
                  <c:v>7.2999999999999821</c:v>
                </c:pt>
                <c:pt idx="147">
                  <c:v>7.3499999999999819</c:v>
                </c:pt>
                <c:pt idx="148">
                  <c:v>7.3999999999999817</c:v>
                </c:pt>
                <c:pt idx="149">
                  <c:v>7.4499999999999815</c:v>
                </c:pt>
                <c:pt idx="150">
                  <c:v>7.4999999999999813</c:v>
                </c:pt>
                <c:pt idx="151">
                  <c:v>7.5499999999999812</c:v>
                </c:pt>
                <c:pt idx="152">
                  <c:v>7.599999999999981</c:v>
                </c:pt>
                <c:pt idx="153">
                  <c:v>7.6499999999999808</c:v>
                </c:pt>
                <c:pt idx="154">
                  <c:v>7.6999999999999806</c:v>
                </c:pt>
                <c:pt idx="155">
                  <c:v>7.7499999999999805</c:v>
                </c:pt>
                <c:pt idx="156">
                  <c:v>7.7999999999999803</c:v>
                </c:pt>
                <c:pt idx="157">
                  <c:v>7.8499999999999801</c:v>
                </c:pt>
                <c:pt idx="158">
                  <c:v>7.8999999999999799</c:v>
                </c:pt>
                <c:pt idx="159">
                  <c:v>7.9499999999999797</c:v>
                </c:pt>
                <c:pt idx="160">
                  <c:v>7.9999999999999796</c:v>
                </c:pt>
              </c:numCache>
            </c:numRef>
          </c:xVal>
          <c:yVal>
            <c:numRef>
              <c:f>'3. ESPECTRO'!$BA$3:$BA$163</c:f>
              <c:numCache>
                <c:formatCode>General</c:formatCode>
                <c:ptCount val="161"/>
                <c:pt idx="0">
                  <c:v>0.90625</c:v>
                </c:pt>
                <c:pt idx="1">
                  <c:v>0.90625</c:v>
                </c:pt>
                <c:pt idx="2">
                  <c:v>0.90625</c:v>
                </c:pt>
                <c:pt idx="3">
                  <c:v>0.90625</c:v>
                </c:pt>
                <c:pt idx="4">
                  <c:v>0.90625</c:v>
                </c:pt>
                <c:pt idx="5">
                  <c:v>0.90625</c:v>
                </c:pt>
                <c:pt idx="6">
                  <c:v>0.90625</c:v>
                </c:pt>
                <c:pt idx="7">
                  <c:v>0.90625</c:v>
                </c:pt>
                <c:pt idx="8">
                  <c:v>0.90625</c:v>
                </c:pt>
                <c:pt idx="9">
                  <c:v>0.90625</c:v>
                </c:pt>
                <c:pt idx="10">
                  <c:v>0.90625</c:v>
                </c:pt>
                <c:pt idx="11">
                  <c:v>0.90625</c:v>
                </c:pt>
                <c:pt idx="12">
                  <c:v>0.90625</c:v>
                </c:pt>
                <c:pt idx="13">
                  <c:v>0.90625</c:v>
                </c:pt>
                <c:pt idx="14">
                  <c:v>0.90625</c:v>
                </c:pt>
                <c:pt idx="15">
                  <c:v>0.90625</c:v>
                </c:pt>
                <c:pt idx="16">
                  <c:v>0.90625</c:v>
                </c:pt>
                <c:pt idx="17">
                  <c:v>0.90352941176470569</c:v>
                </c:pt>
                <c:pt idx="18">
                  <c:v>0.85333333333333317</c:v>
                </c:pt>
                <c:pt idx="19">
                  <c:v>0.80842105263157871</c:v>
                </c:pt>
                <c:pt idx="20">
                  <c:v>0.76799999999999979</c:v>
                </c:pt>
                <c:pt idx="21">
                  <c:v>0.73142857142857121</c:v>
                </c:pt>
                <c:pt idx="22">
                  <c:v>0.69818181818181801</c:v>
                </c:pt>
                <c:pt idx="23">
                  <c:v>0.66782608695652157</c:v>
                </c:pt>
                <c:pt idx="24">
                  <c:v>0.63999999999999979</c:v>
                </c:pt>
                <c:pt idx="25">
                  <c:v>0.61439999999999984</c:v>
                </c:pt>
                <c:pt idx="26">
                  <c:v>0.5907692307692306</c:v>
                </c:pt>
                <c:pt idx="27">
                  <c:v>0.56888888888888867</c:v>
                </c:pt>
                <c:pt idx="28">
                  <c:v>0.54857142857142838</c:v>
                </c:pt>
                <c:pt idx="29">
                  <c:v>0.5296551724137929</c:v>
                </c:pt>
                <c:pt idx="30">
                  <c:v>0.51199999999999979</c:v>
                </c:pt>
                <c:pt idx="31">
                  <c:v>0.49548387096774171</c:v>
                </c:pt>
                <c:pt idx="32">
                  <c:v>0.47999999999999976</c:v>
                </c:pt>
                <c:pt idx="33">
                  <c:v>0.46545454545454523</c:v>
                </c:pt>
                <c:pt idx="34">
                  <c:v>0.45176470588235274</c:v>
                </c:pt>
                <c:pt idx="35">
                  <c:v>0.43885714285714267</c:v>
                </c:pt>
                <c:pt idx="36">
                  <c:v>0.42666666666666647</c:v>
                </c:pt>
                <c:pt idx="37">
                  <c:v>0.41513513513513495</c:v>
                </c:pt>
                <c:pt idx="38">
                  <c:v>0.40421052631578924</c:v>
                </c:pt>
                <c:pt idx="39">
                  <c:v>0.39384615384615362</c:v>
                </c:pt>
                <c:pt idx="40">
                  <c:v>0.38399999999999984</c:v>
                </c:pt>
                <c:pt idx="41">
                  <c:v>0.3746341463414633</c:v>
                </c:pt>
                <c:pt idx="42">
                  <c:v>0.3657142857142856</c:v>
                </c:pt>
                <c:pt idx="43">
                  <c:v>0.35720930232558135</c:v>
                </c:pt>
                <c:pt idx="44">
                  <c:v>0.34909090909090906</c:v>
                </c:pt>
                <c:pt idx="45">
                  <c:v>0.34133333333333332</c:v>
                </c:pt>
                <c:pt idx="46">
                  <c:v>0.3339130434782609</c:v>
                </c:pt>
                <c:pt idx="47">
                  <c:v>0.32680851063829791</c:v>
                </c:pt>
                <c:pt idx="48">
                  <c:v>0.32000000000000006</c:v>
                </c:pt>
                <c:pt idx="49">
                  <c:v>0.31346938775510214</c:v>
                </c:pt>
                <c:pt idx="50">
                  <c:v>0.30720000000000014</c:v>
                </c:pt>
                <c:pt idx="51">
                  <c:v>0.30117647058823543</c:v>
                </c:pt>
                <c:pt idx="52">
                  <c:v>0.29538461538461552</c:v>
                </c:pt>
                <c:pt idx="53">
                  <c:v>0.28981132075471716</c:v>
                </c:pt>
                <c:pt idx="54">
                  <c:v>0.28444444444444461</c:v>
                </c:pt>
                <c:pt idx="55">
                  <c:v>0.27927272727272745</c:v>
                </c:pt>
                <c:pt idx="56">
                  <c:v>0.27428571428571447</c:v>
                </c:pt>
                <c:pt idx="57">
                  <c:v>0.26947368421052653</c:v>
                </c:pt>
                <c:pt idx="58">
                  <c:v>0.26482758620689678</c:v>
                </c:pt>
                <c:pt idx="59">
                  <c:v>0.26033898305084768</c:v>
                </c:pt>
                <c:pt idx="60">
                  <c:v>0.25600000000000023</c:v>
                </c:pt>
                <c:pt idx="61">
                  <c:v>0.25180327868852481</c:v>
                </c:pt>
                <c:pt idx="62">
                  <c:v>0.24774193548387122</c:v>
                </c:pt>
                <c:pt idx="63">
                  <c:v>0.24380952380952406</c:v>
                </c:pt>
                <c:pt idx="64">
                  <c:v>0.24000000000000027</c:v>
                </c:pt>
                <c:pt idx="65">
                  <c:v>0.23630769230769258</c:v>
                </c:pt>
                <c:pt idx="66">
                  <c:v>0.232727272727273</c:v>
                </c:pt>
                <c:pt idx="67">
                  <c:v>0.22925373134328386</c:v>
                </c:pt>
                <c:pt idx="68">
                  <c:v>0.22588235294117676</c:v>
                </c:pt>
                <c:pt idx="69">
                  <c:v>0.2226086956521742</c:v>
                </c:pt>
                <c:pt idx="70">
                  <c:v>0.21942857142857172</c:v>
                </c:pt>
                <c:pt idx="71">
                  <c:v>0.21633802816901437</c:v>
                </c:pt>
                <c:pt idx="72">
                  <c:v>0.21333333333333362</c:v>
                </c:pt>
                <c:pt idx="73">
                  <c:v>0.21041095890410988</c:v>
                </c:pt>
                <c:pt idx="74">
                  <c:v>0.20756756756756786</c:v>
                </c:pt>
                <c:pt idx="75">
                  <c:v>0.20480000000000029</c:v>
                </c:pt>
                <c:pt idx="76">
                  <c:v>0.20210526315789504</c:v>
                </c:pt>
                <c:pt idx="77">
                  <c:v>0.19948051948051979</c:v>
                </c:pt>
                <c:pt idx="78">
                  <c:v>0.19692307692307723</c:v>
                </c:pt>
                <c:pt idx="79">
                  <c:v>0.19443037974683575</c:v>
                </c:pt>
                <c:pt idx="80">
                  <c:v>0.19200000000000031</c:v>
                </c:pt>
                <c:pt idx="81">
                  <c:v>0.18962962962962993</c:v>
                </c:pt>
                <c:pt idx="82">
                  <c:v>0.18731707317073201</c:v>
                </c:pt>
                <c:pt idx="83">
                  <c:v>0.18506024096385573</c:v>
                </c:pt>
                <c:pt idx="84">
                  <c:v>0.18285714285714316</c:v>
                </c:pt>
                <c:pt idx="85">
                  <c:v>0.18070588235294149</c:v>
                </c:pt>
                <c:pt idx="86">
                  <c:v>0.17860465116279101</c:v>
                </c:pt>
                <c:pt idx="87">
                  <c:v>0.17655172413793135</c:v>
                </c:pt>
                <c:pt idx="88">
                  <c:v>0.17454545454545486</c:v>
                </c:pt>
                <c:pt idx="89">
                  <c:v>0.17258426966292165</c:v>
                </c:pt>
                <c:pt idx="90">
                  <c:v>0.17066666666666697</c:v>
                </c:pt>
                <c:pt idx="91">
                  <c:v>0.1687912087912091</c:v>
                </c:pt>
                <c:pt idx="92">
                  <c:v>0.16695652173913075</c:v>
                </c:pt>
                <c:pt idx="93">
                  <c:v>0.16516129032258095</c:v>
                </c:pt>
                <c:pt idx="94">
                  <c:v>0.16340425531914923</c:v>
                </c:pt>
                <c:pt idx="95">
                  <c:v>0.1616842105263161</c:v>
                </c:pt>
                <c:pt idx="96">
                  <c:v>0.16000000000000031</c:v>
                </c:pt>
                <c:pt idx="97">
                  <c:v>0.15835051546391782</c:v>
                </c:pt>
                <c:pt idx="98">
                  <c:v>0.15673469387755132</c:v>
                </c:pt>
                <c:pt idx="99">
                  <c:v>0.15515151515151546</c:v>
                </c:pt>
                <c:pt idx="100">
                  <c:v>0.15360000000000029</c:v>
                </c:pt>
                <c:pt idx="101">
                  <c:v>0.15207920792079238</c:v>
                </c:pt>
                <c:pt idx="102">
                  <c:v>0.15058823529411794</c:v>
                </c:pt>
                <c:pt idx="103">
                  <c:v>0.1491262135922333</c:v>
                </c:pt>
                <c:pt idx="104">
                  <c:v>0.14769230769230798</c:v>
                </c:pt>
                <c:pt idx="105">
                  <c:v>0.14628571428571457</c:v>
                </c:pt>
                <c:pt idx="106">
                  <c:v>0.1449056603773588</c:v>
                </c:pt>
                <c:pt idx="107">
                  <c:v>0.14355140186915918</c:v>
                </c:pt>
                <c:pt idx="108">
                  <c:v>0.14222222222222253</c:v>
                </c:pt>
                <c:pt idx="109">
                  <c:v>0.14091743119266084</c:v>
                </c:pt>
                <c:pt idx="110">
                  <c:v>0.13963636363636392</c:v>
                </c:pt>
                <c:pt idx="111">
                  <c:v>0.13837837837837869</c:v>
                </c:pt>
                <c:pt idx="112">
                  <c:v>0.13714285714285743</c:v>
                </c:pt>
                <c:pt idx="113">
                  <c:v>0.1359292035398233</c:v>
                </c:pt>
                <c:pt idx="114">
                  <c:v>0.13473684210526346</c:v>
                </c:pt>
                <c:pt idx="115">
                  <c:v>0.13356521739130464</c:v>
                </c:pt>
                <c:pt idx="116">
                  <c:v>0.13241379310344856</c:v>
                </c:pt>
                <c:pt idx="117">
                  <c:v>0.13128205128205156</c:v>
                </c:pt>
                <c:pt idx="118">
                  <c:v>0.13016949152542401</c:v>
                </c:pt>
                <c:pt idx="119">
                  <c:v>0.12907563025210111</c:v>
                </c:pt>
                <c:pt idx="120">
                  <c:v>0.12800000000000028</c:v>
                </c:pt>
                <c:pt idx="121">
                  <c:v>0.12694214876033086</c:v>
                </c:pt>
                <c:pt idx="122">
                  <c:v>0.12590163934426257</c:v>
                </c:pt>
                <c:pt idx="123">
                  <c:v>0.12487804878048808</c:v>
                </c:pt>
                <c:pt idx="124">
                  <c:v>0.12387096774193576</c:v>
                </c:pt>
                <c:pt idx="125">
                  <c:v>0.12288000000000028</c:v>
                </c:pt>
                <c:pt idx="126">
                  <c:v>0.12190476190476218</c:v>
                </c:pt>
                <c:pt idx="127">
                  <c:v>0.12094488188976406</c:v>
                </c:pt>
                <c:pt idx="128">
                  <c:v>0.12000000000000027</c:v>
                </c:pt>
                <c:pt idx="129">
                  <c:v>0.11906976744186075</c:v>
                </c:pt>
                <c:pt idx="130">
                  <c:v>0.11815384615384643</c:v>
                </c:pt>
                <c:pt idx="131">
                  <c:v>0.11725190839694684</c:v>
                </c:pt>
                <c:pt idx="132">
                  <c:v>0.11636363636363664</c:v>
                </c:pt>
                <c:pt idx="133">
                  <c:v>0.11548872180451156</c:v>
                </c:pt>
                <c:pt idx="134">
                  <c:v>0.11462686567164207</c:v>
                </c:pt>
                <c:pt idx="135">
                  <c:v>0.11377777777777805</c:v>
                </c:pt>
                <c:pt idx="136">
                  <c:v>0.1129411764705885</c:v>
                </c:pt>
                <c:pt idx="137">
                  <c:v>0.11211678832116816</c:v>
                </c:pt>
                <c:pt idx="138">
                  <c:v>0.11130434782608722</c:v>
                </c:pt>
                <c:pt idx="139">
                  <c:v>0.11050359712230243</c:v>
                </c:pt>
                <c:pt idx="140">
                  <c:v>0.10971428571428599</c:v>
                </c:pt>
                <c:pt idx="141">
                  <c:v>0.10893617021276622</c:v>
                </c:pt>
                <c:pt idx="142">
                  <c:v>0.10816901408450731</c:v>
                </c:pt>
                <c:pt idx="143">
                  <c:v>0.10741258741258768</c:v>
                </c:pt>
                <c:pt idx="144">
                  <c:v>0.10666666666666692</c:v>
                </c:pt>
                <c:pt idx="145">
                  <c:v>0.10593103448275888</c:v>
                </c:pt>
                <c:pt idx="146">
                  <c:v>0.10520547945205505</c:v>
                </c:pt>
                <c:pt idx="147">
                  <c:v>0.1044897959183676</c:v>
                </c:pt>
                <c:pt idx="148">
                  <c:v>0.10378378378378404</c:v>
                </c:pt>
                <c:pt idx="149">
                  <c:v>0.10308724832214791</c:v>
                </c:pt>
                <c:pt idx="150">
                  <c:v>0.10240000000000025</c:v>
                </c:pt>
                <c:pt idx="151">
                  <c:v>0.10172185430463601</c:v>
                </c:pt>
                <c:pt idx="152">
                  <c:v>0.10105263157894763</c:v>
                </c:pt>
                <c:pt idx="153">
                  <c:v>0.10039215686274536</c:v>
                </c:pt>
                <c:pt idx="154">
                  <c:v>9.9481194130545278E-2</c:v>
                </c:pt>
                <c:pt idx="155">
                  <c:v>9.8201706555671661E-2</c:v>
                </c:pt>
                <c:pt idx="156">
                  <c:v>9.6946745562130662E-2</c:v>
                </c:pt>
                <c:pt idx="157">
                  <c:v>9.5715688263216026E-2</c:v>
                </c:pt>
                <c:pt idx="158">
                  <c:v>9.4507931421247068E-2</c:v>
                </c:pt>
                <c:pt idx="159">
                  <c:v>9.3322890708437634E-2</c:v>
                </c:pt>
                <c:pt idx="160">
                  <c:v>9.2160000000000464E-2</c:v>
                </c:pt>
              </c:numCache>
            </c:numRef>
          </c:yVal>
          <c:smooth val="0"/>
          <c:extLst>
            <c:ext xmlns:c16="http://schemas.microsoft.com/office/drawing/2014/chart" uri="{C3380CC4-5D6E-409C-BE32-E72D297353CC}">
              <c16:uniqueId val="{00000000-33A3-496C-95C2-EAA786E39414}"/>
            </c:ext>
          </c:extLst>
        </c:ser>
        <c:ser>
          <c:idx val="2"/>
          <c:order val="1"/>
          <c:tx>
            <c:strRef>
              <c:f>'3. ESPECTRO'!$W$50</c:f>
              <c:strCache>
                <c:ptCount val="1"/>
                <c:pt idx="0">
                  <c:v>Periodo Tx</c:v>
                </c:pt>
              </c:strCache>
            </c:strRef>
          </c:tx>
          <c:spPr>
            <a:ln w="9525" cap="rnd">
              <a:solidFill>
                <a:schemeClr val="accent3"/>
              </a:solidFill>
              <a:round/>
            </a:ln>
            <a:effectLst/>
          </c:spPr>
          <c:marker>
            <c:symbol val="none"/>
          </c:marker>
          <c:xVal>
            <c:numRef>
              <c:f>'3. ESPECTRO'!$W$52:$W$54</c:f>
              <c:numCache>
                <c:formatCode>General</c:formatCode>
                <c:ptCount val="3"/>
                <c:pt idx="0">
                  <c:v>0.370608709262856</c:v>
                </c:pt>
                <c:pt idx="1">
                  <c:v>0.370608709262856</c:v>
                </c:pt>
                <c:pt idx="2">
                  <c:v>0.370608709262856</c:v>
                </c:pt>
              </c:numCache>
            </c:numRef>
          </c:xVal>
          <c:yVal>
            <c:numRef>
              <c:f>'3. ESPECTRO'!$X$52:$X$54</c:f>
              <c:numCache>
                <c:formatCode>0.0000</c:formatCode>
                <c:ptCount val="3"/>
                <c:pt idx="0" formatCode="General">
                  <c:v>0</c:v>
                </c:pt>
                <c:pt idx="1">
                  <c:v>0</c:v>
                </c:pt>
                <c:pt idx="2">
                  <c:v>0.90625</c:v>
                </c:pt>
              </c:numCache>
            </c:numRef>
          </c:yVal>
          <c:smooth val="0"/>
          <c:extLst>
            <c:ext xmlns:c16="http://schemas.microsoft.com/office/drawing/2014/chart" uri="{C3380CC4-5D6E-409C-BE32-E72D297353CC}">
              <c16:uniqueId val="{00000001-33A3-496C-95C2-EAA786E39414}"/>
            </c:ext>
          </c:extLst>
        </c:ser>
        <c:ser>
          <c:idx val="3"/>
          <c:order val="2"/>
          <c:tx>
            <c:strRef>
              <c:f>'3. ESPECTRO'!$Z$50</c:f>
              <c:strCache>
                <c:ptCount val="1"/>
                <c:pt idx="0">
                  <c:v>Periodo Ty</c:v>
                </c:pt>
              </c:strCache>
            </c:strRef>
          </c:tx>
          <c:spPr>
            <a:ln w="9525" cap="rnd">
              <a:solidFill>
                <a:schemeClr val="accent4"/>
              </a:solidFill>
              <a:round/>
            </a:ln>
            <a:effectLst/>
          </c:spPr>
          <c:marker>
            <c:symbol val="none"/>
          </c:marker>
          <c:xVal>
            <c:numRef>
              <c:f>'3. ESPECTRO'!$Z$52:$Z$54</c:f>
              <c:numCache>
                <c:formatCode>General</c:formatCode>
                <c:ptCount val="3"/>
                <c:pt idx="0">
                  <c:v>0.370608709262856</c:v>
                </c:pt>
                <c:pt idx="1">
                  <c:v>0.370608709262856</c:v>
                </c:pt>
                <c:pt idx="2">
                  <c:v>0.370608709262856</c:v>
                </c:pt>
              </c:numCache>
            </c:numRef>
          </c:xVal>
          <c:yVal>
            <c:numRef>
              <c:f>'3. ESPECTRO'!$AA$52:$AA$54</c:f>
              <c:numCache>
                <c:formatCode>0.0000</c:formatCode>
                <c:ptCount val="3"/>
                <c:pt idx="0" formatCode="General">
                  <c:v>0</c:v>
                </c:pt>
                <c:pt idx="1">
                  <c:v>0</c:v>
                </c:pt>
                <c:pt idx="2">
                  <c:v>0.90625</c:v>
                </c:pt>
              </c:numCache>
            </c:numRef>
          </c:yVal>
          <c:smooth val="0"/>
          <c:extLst>
            <c:ext xmlns:c16="http://schemas.microsoft.com/office/drawing/2014/chart" uri="{C3380CC4-5D6E-409C-BE32-E72D297353CC}">
              <c16:uniqueId val="{00000002-33A3-496C-95C2-EAA786E39414}"/>
            </c:ext>
          </c:extLst>
        </c:ser>
        <c:dLbls>
          <c:showLegendKey val="0"/>
          <c:showVal val="0"/>
          <c:showCatName val="0"/>
          <c:showSerName val="0"/>
          <c:showPercent val="0"/>
          <c:showBubbleSize val="0"/>
        </c:dLbls>
        <c:axId val="1151983727"/>
        <c:axId val="1151987055"/>
      </c:scatterChart>
      <c:valAx>
        <c:axId val="1151983727"/>
        <c:scaling>
          <c:orientation val="minMax"/>
          <c:max val="8"/>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s-CO"/>
                  <a:t>Periodo [s]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s-CO"/>
            </a:p>
          </c:txPr>
        </c:title>
        <c:numFmt formatCode="0.000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s-CO"/>
          </a:p>
        </c:txPr>
        <c:crossAx val="1151987055"/>
        <c:crossesAt val="0"/>
        <c:crossBetween val="midCat"/>
      </c:valAx>
      <c:valAx>
        <c:axId val="115198705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s-CO"/>
                  <a:t>Aceleración espectral [g]</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s-CO"/>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s-CO"/>
          </a:p>
        </c:txPr>
        <c:crossAx val="11519837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6350" cap="flat" cmpd="sng" algn="ctr">
      <a:solidFill>
        <a:sysClr val="windowText" lastClr="000000"/>
      </a:solidFill>
      <a:round/>
    </a:ln>
    <a:effectLst/>
  </c:spPr>
  <c:txPr>
    <a:bodyPr/>
    <a:lstStyle/>
    <a:p>
      <a:pPr>
        <a:defRPr>
          <a:latin typeface="Times New Roman" panose="02020603050405020304" pitchFamily="18" charset="0"/>
          <a:cs typeface="Times New Roman" panose="02020603050405020304" pitchFamily="18" charset="0"/>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 Id="rId9" Type="http://schemas.openxmlformats.org/officeDocument/2006/relationships/image" Target="../media/image19.png"/></Relationships>
</file>

<file path=xl/drawings/_rels/drawing8.xml.rels><?xml version="1.0" encoding="UTF-8" standalone="yes"?>
<Relationships xmlns="http://schemas.openxmlformats.org/package/2006/relationships"><Relationship Id="rId1" Type="http://schemas.openxmlformats.org/officeDocument/2006/relationships/image" Target="../media/image20.png"/></Relationships>
</file>

<file path=xl/drawings/_rels/drawing9.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xdr:row>
      <xdr:rowOff>0</xdr:rowOff>
    </xdr:from>
    <xdr:to>
      <xdr:col>20</xdr:col>
      <xdr:colOff>12656</xdr:colOff>
      <xdr:row>47</xdr:row>
      <xdr:rowOff>0</xdr:rowOff>
    </xdr:to>
    <xdr:pic>
      <xdr:nvPicPr>
        <xdr:cNvPr id="4" name="Imagen 3">
          <a:extLst>
            <a:ext uri="{FF2B5EF4-FFF2-40B4-BE49-F238E27FC236}">
              <a16:creationId xmlns:a16="http://schemas.microsoft.com/office/drawing/2014/main" id="{3186E9C8-C5BC-45E4-B9FD-9DA9016D6F7D}"/>
            </a:ext>
          </a:extLst>
        </xdr:cNvPr>
        <xdr:cNvPicPr>
          <a:picLocks noChangeAspect="1"/>
        </xdr:cNvPicPr>
      </xdr:nvPicPr>
      <xdr:blipFill rotWithShape="1">
        <a:blip xmlns:r="http://schemas.openxmlformats.org/officeDocument/2006/relationships" r:embed="rId1"/>
        <a:srcRect l="3404" t="4117" r="2211" b="1834"/>
        <a:stretch/>
      </xdr:blipFill>
      <xdr:spPr>
        <a:xfrm>
          <a:off x="381000" y="3333750"/>
          <a:ext cx="7251656" cy="51593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339090</xdr:colOff>
      <xdr:row>32</xdr:row>
      <xdr:rowOff>40005</xdr:rowOff>
    </xdr:from>
    <xdr:to>
      <xdr:col>12</xdr:col>
      <xdr:colOff>15680</xdr:colOff>
      <xdr:row>41</xdr:row>
      <xdr:rowOff>0</xdr:rowOff>
    </xdr:to>
    <xdr:pic>
      <xdr:nvPicPr>
        <xdr:cNvPr id="8" name="Imagen 7">
          <a:extLst>
            <a:ext uri="{FF2B5EF4-FFF2-40B4-BE49-F238E27FC236}">
              <a16:creationId xmlns:a16="http://schemas.microsoft.com/office/drawing/2014/main" id="{B18A74AE-6FDA-4A35-A54B-C9252C764E41}"/>
            </a:ext>
          </a:extLst>
        </xdr:cNvPr>
        <xdr:cNvPicPr>
          <a:picLocks noChangeAspect="1"/>
        </xdr:cNvPicPr>
      </xdr:nvPicPr>
      <xdr:blipFill rotWithShape="1">
        <a:blip xmlns:r="http://schemas.openxmlformats.org/officeDocument/2006/relationships" r:embed="rId1"/>
        <a:srcRect l="4525" t="21982" r="700" b="5060"/>
        <a:stretch/>
      </xdr:blipFill>
      <xdr:spPr>
        <a:xfrm>
          <a:off x="339090" y="5663565"/>
          <a:ext cx="4340030" cy="1537335"/>
        </a:xfrm>
        <a:prstGeom prst="rect">
          <a:avLst/>
        </a:prstGeom>
      </xdr:spPr>
    </xdr:pic>
    <xdr:clientData/>
  </xdr:twoCellAnchor>
  <xdr:twoCellAnchor editAs="oneCell">
    <xdr:from>
      <xdr:col>1</xdr:col>
      <xdr:colOff>22860</xdr:colOff>
      <xdr:row>41</xdr:row>
      <xdr:rowOff>47978</xdr:rowOff>
    </xdr:from>
    <xdr:to>
      <xdr:col>6</xdr:col>
      <xdr:colOff>15240</xdr:colOff>
      <xdr:row>47</xdr:row>
      <xdr:rowOff>0</xdr:rowOff>
    </xdr:to>
    <xdr:pic>
      <xdr:nvPicPr>
        <xdr:cNvPr id="5" name="Imagen 4">
          <a:extLst>
            <a:ext uri="{FF2B5EF4-FFF2-40B4-BE49-F238E27FC236}">
              <a16:creationId xmlns:a16="http://schemas.microsoft.com/office/drawing/2014/main" id="{6D6A25BB-0D76-F25D-A68B-5A7129B2A5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1480" y="7248878"/>
          <a:ext cx="1935480" cy="10035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26</xdr:col>
      <xdr:colOff>68580</xdr:colOff>
      <xdr:row>90</xdr:row>
      <xdr:rowOff>45721</xdr:rowOff>
    </xdr:from>
    <xdr:to>
      <xdr:col>36</xdr:col>
      <xdr:colOff>381000</xdr:colOff>
      <xdr:row>98</xdr:row>
      <xdr:rowOff>1897</xdr:rowOff>
    </xdr:to>
    <xdr:pic>
      <xdr:nvPicPr>
        <xdr:cNvPr id="2" name="Imagen 1">
          <a:extLst>
            <a:ext uri="{FF2B5EF4-FFF2-40B4-BE49-F238E27FC236}">
              <a16:creationId xmlns:a16="http://schemas.microsoft.com/office/drawing/2014/main" id="{B2E20739-D83E-4B1F-9513-7CF507D54110}"/>
            </a:ext>
          </a:extLst>
        </xdr:cNvPr>
        <xdr:cNvPicPr>
          <a:picLocks noChangeAspect="1"/>
        </xdr:cNvPicPr>
      </xdr:nvPicPr>
      <xdr:blipFill>
        <a:blip xmlns:r="http://schemas.openxmlformats.org/officeDocument/2006/relationships" r:embed="rId1"/>
        <a:stretch>
          <a:fillRect/>
        </a:stretch>
      </xdr:blipFill>
      <xdr:spPr>
        <a:xfrm>
          <a:off x="2011680" y="11978641"/>
          <a:ext cx="4198620" cy="1343016"/>
        </a:xfrm>
        <a:prstGeom prst="rect">
          <a:avLst/>
        </a:prstGeom>
      </xdr:spPr>
    </xdr:pic>
    <xdr:clientData/>
  </xdr:twoCellAnchor>
  <xdr:twoCellAnchor editAs="oneCell">
    <xdr:from>
      <xdr:col>25</xdr:col>
      <xdr:colOff>240196</xdr:colOff>
      <xdr:row>62</xdr:row>
      <xdr:rowOff>91108</xdr:rowOff>
    </xdr:from>
    <xdr:to>
      <xdr:col>40</xdr:col>
      <xdr:colOff>262957</xdr:colOff>
      <xdr:row>78</xdr:row>
      <xdr:rowOff>178594</xdr:rowOff>
    </xdr:to>
    <xdr:pic>
      <xdr:nvPicPr>
        <xdr:cNvPr id="3" name="Imagen 2">
          <a:extLst>
            <a:ext uri="{FF2B5EF4-FFF2-40B4-BE49-F238E27FC236}">
              <a16:creationId xmlns:a16="http://schemas.microsoft.com/office/drawing/2014/main" id="{7874EB9C-55F3-D3F2-9D19-2A69474E6B00}"/>
            </a:ext>
          </a:extLst>
        </xdr:cNvPr>
        <xdr:cNvPicPr>
          <a:picLocks noChangeAspect="1"/>
        </xdr:cNvPicPr>
      </xdr:nvPicPr>
      <xdr:blipFill>
        <a:blip xmlns:r="http://schemas.openxmlformats.org/officeDocument/2006/relationships" r:embed="rId2"/>
        <a:stretch>
          <a:fillRect/>
        </a:stretch>
      </xdr:blipFill>
      <xdr:spPr>
        <a:xfrm>
          <a:off x="9765196" y="11719891"/>
          <a:ext cx="5820587" cy="31151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304800</xdr:colOff>
      <xdr:row>23</xdr:row>
      <xdr:rowOff>60960</xdr:rowOff>
    </xdr:from>
    <xdr:to>
      <xdr:col>33</xdr:col>
      <xdr:colOff>225230</xdr:colOff>
      <xdr:row>42</xdr:row>
      <xdr:rowOff>156424</xdr:rowOff>
    </xdr:to>
    <xdr:pic>
      <xdr:nvPicPr>
        <xdr:cNvPr id="2" name="Imagen 1">
          <a:extLst>
            <a:ext uri="{FF2B5EF4-FFF2-40B4-BE49-F238E27FC236}">
              <a16:creationId xmlns:a16="http://schemas.microsoft.com/office/drawing/2014/main" id="{6C3A175D-A9B4-6CC1-93E1-A4A9B953A2F0}"/>
            </a:ext>
          </a:extLst>
        </xdr:cNvPr>
        <xdr:cNvPicPr>
          <a:picLocks noChangeAspect="1"/>
        </xdr:cNvPicPr>
      </xdr:nvPicPr>
      <xdr:blipFill>
        <a:blip xmlns:r="http://schemas.openxmlformats.org/officeDocument/2006/relationships" r:embed="rId1"/>
        <a:stretch>
          <a:fillRect/>
        </a:stretch>
      </xdr:blipFill>
      <xdr:spPr>
        <a:xfrm>
          <a:off x="8465820" y="4107180"/>
          <a:ext cx="5052500" cy="38560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20</xdr:col>
      <xdr:colOff>94513</xdr:colOff>
      <xdr:row>148</xdr:row>
      <xdr:rowOff>31198</xdr:rowOff>
    </xdr:to>
    <xdr:pic>
      <xdr:nvPicPr>
        <xdr:cNvPr id="6" name="Imagen 5">
          <a:extLst>
            <a:ext uri="{FF2B5EF4-FFF2-40B4-BE49-F238E27FC236}">
              <a16:creationId xmlns:a16="http://schemas.microsoft.com/office/drawing/2014/main" id="{36CA5EE6-BB9C-4F47-850C-D0C28818B487}"/>
            </a:ext>
          </a:extLst>
        </xdr:cNvPr>
        <xdr:cNvPicPr>
          <a:picLocks noChangeAspect="1"/>
        </xdr:cNvPicPr>
      </xdr:nvPicPr>
      <xdr:blipFill>
        <a:blip xmlns:r="http://schemas.openxmlformats.org/officeDocument/2006/relationships" r:embed="rId1"/>
        <a:stretch>
          <a:fillRect/>
        </a:stretch>
      </xdr:blipFill>
      <xdr:spPr>
        <a:xfrm>
          <a:off x="381000" y="23907750"/>
          <a:ext cx="7333513" cy="3650698"/>
        </a:xfrm>
        <a:prstGeom prst="rect">
          <a:avLst/>
        </a:prstGeom>
      </xdr:spPr>
    </xdr:pic>
    <xdr:clientData/>
  </xdr:twoCellAnchor>
  <xdr:twoCellAnchor editAs="oneCell">
    <xdr:from>
      <xdr:col>1</xdr:col>
      <xdr:colOff>0</xdr:colOff>
      <xdr:row>151</xdr:row>
      <xdr:rowOff>0</xdr:rowOff>
    </xdr:from>
    <xdr:to>
      <xdr:col>20</xdr:col>
      <xdr:colOff>24925</xdr:colOff>
      <xdr:row>170</xdr:row>
      <xdr:rowOff>79375</xdr:rowOff>
    </xdr:to>
    <xdr:pic>
      <xdr:nvPicPr>
        <xdr:cNvPr id="8" name="Imagen 7">
          <a:extLst>
            <a:ext uri="{FF2B5EF4-FFF2-40B4-BE49-F238E27FC236}">
              <a16:creationId xmlns:a16="http://schemas.microsoft.com/office/drawing/2014/main" id="{8480278A-9DE9-45B7-A608-F2ED723EC7AB}"/>
            </a:ext>
          </a:extLst>
        </xdr:cNvPr>
        <xdr:cNvPicPr>
          <a:picLocks noChangeAspect="1"/>
        </xdr:cNvPicPr>
      </xdr:nvPicPr>
      <xdr:blipFill>
        <a:blip xmlns:r="http://schemas.openxmlformats.org/officeDocument/2006/relationships" r:embed="rId2"/>
        <a:stretch>
          <a:fillRect/>
        </a:stretch>
      </xdr:blipFill>
      <xdr:spPr>
        <a:xfrm>
          <a:off x="381000" y="28098750"/>
          <a:ext cx="7263925" cy="3698875"/>
        </a:xfrm>
        <a:prstGeom prst="rect">
          <a:avLst/>
        </a:prstGeom>
      </xdr:spPr>
    </xdr:pic>
    <xdr:clientData/>
  </xdr:twoCellAnchor>
  <xdr:twoCellAnchor editAs="oneCell">
    <xdr:from>
      <xdr:col>1</xdr:col>
      <xdr:colOff>0</xdr:colOff>
      <xdr:row>7</xdr:row>
      <xdr:rowOff>0</xdr:rowOff>
    </xdr:from>
    <xdr:to>
      <xdr:col>20</xdr:col>
      <xdr:colOff>24765</xdr:colOff>
      <xdr:row>47</xdr:row>
      <xdr:rowOff>47625</xdr:rowOff>
    </xdr:to>
    <xdr:pic>
      <xdr:nvPicPr>
        <xdr:cNvPr id="4" name="Imagen 3">
          <a:extLst>
            <a:ext uri="{FF2B5EF4-FFF2-40B4-BE49-F238E27FC236}">
              <a16:creationId xmlns:a16="http://schemas.microsoft.com/office/drawing/2014/main" id="{F0AF47AE-9124-4CE0-95E2-CCCFEE819891}"/>
            </a:ext>
          </a:extLst>
        </xdr:cNvPr>
        <xdr:cNvPicPr>
          <a:picLocks noChangeAspect="1"/>
        </xdr:cNvPicPr>
      </xdr:nvPicPr>
      <xdr:blipFill>
        <a:blip xmlns:r="http://schemas.openxmlformats.org/officeDocument/2006/relationships" r:embed="rId3"/>
        <a:stretch>
          <a:fillRect/>
        </a:stretch>
      </xdr:blipFill>
      <xdr:spPr>
        <a:xfrm>
          <a:off x="381000" y="1270000"/>
          <a:ext cx="7263765" cy="7254875"/>
        </a:xfrm>
        <a:prstGeom prst="rect">
          <a:avLst/>
        </a:prstGeom>
      </xdr:spPr>
    </xdr:pic>
    <xdr:clientData/>
  </xdr:twoCellAnchor>
  <xdr:twoCellAnchor editAs="oneCell">
    <xdr:from>
      <xdr:col>1</xdr:col>
      <xdr:colOff>0</xdr:colOff>
      <xdr:row>67</xdr:row>
      <xdr:rowOff>0</xdr:rowOff>
    </xdr:from>
    <xdr:to>
      <xdr:col>20</xdr:col>
      <xdr:colOff>69220</xdr:colOff>
      <xdr:row>105</xdr:row>
      <xdr:rowOff>51438</xdr:rowOff>
    </xdr:to>
    <xdr:pic>
      <xdr:nvPicPr>
        <xdr:cNvPr id="9" name="Imagen 8">
          <a:extLst>
            <a:ext uri="{FF2B5EF4-FFF2-40B4-BE49-F238E27FC236}">
              <a16:creationId xmlns:a16="http://schemas.microsoft.com/office/drawing/2014/main" id="{15CFCAC4-0F94-4741-AF8B-9C38BEB70AC3}"/>
            </a:ext>
          </a:extLst>
        </xdr:cNvPr>
        <xdr:cNvPicPr>
          <a:picLocks noChangeAspect="1"/>
        </xdr:cNvPicPr>
      </xdr:nvPicPr>
      <xdr:blipFill>
        <a:blip xmlns:r="http://schemas.openxmlformats.org/officeDocument/2006/relationships" r:embed="rId4"/>
        <a:stretch>
          <a:fillRect/>
        </a:stretch>
      </xdr:blipFill>
      <xdr:spPr>
        <a:xfrm>
          <a:off x="381000" y="12287250"/>
          <a:ext cx="7308220" cy="729043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27</xdr:row>
      <xdr:rowOff>0</xdr:rowOff>
    </xdr:from>
    <xdr:to>
      <xdr:col>20</xdr:col>
      <xdr:colOff>0</xdr:colOff>
      <xdr:row>46</xdr:row>
      <xdr:rowOff>152400</xdr:rowOff>
    </xdr:to>
    <xdr:graphicFrame macro="">
      <xdr:nvGraphicFramePr>
        <xdr:cNvPr id="3" name="Gráfico 2">
          <a:extLst>
            <a:ext uri="{FF2B5EF4-FFF2-40B4-BE49-F238E27FC236}">
              <a16:creationId xmlns:a16="http://schemas.microsoft.com/office/drawing/2014/main" id="{DD1E06E0-78CF-4313-A6CC-10BD38D34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327931</xdr:colOff>
      <xdr:row>20</xdr:row>
      <xdr:rowOff>182336</xdr:rowOff>
    </xdr:from>
    <xdr:to>
      <xdr:col>8</xdr:col>
      <xdr:colOff>251400</xdr:colOff>
      <xdr:row>27</xdr:row>
      <xdr:rowOff>57695</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srcRect b="4326"/>
        <a:stretch/>
      </xdr:blipFill>
      <xdr:spPr>
        <a:xfrm>
          <a:off x="708931" y="3420836"/>
          <a:ext cx="2590469" cy="1197429"/>
        </a:xfrm>
        <a:prstGeom prst="rect">
          <a:avLst/>
        </a:prstGeom>
      </xdr:spPr>
    </xdr:pic>
    <xdr:clientData/>
  </xdr:twoCellAnchor>
  <xdr:twoCellAnchor editAs="oneCell">
    <xdr:from>
      <xdr:col>11</xdr:col>
      <xdr:colOff>180975</xdr:colOff>
      <xdr:row>19</xdr:row>
      <xdr:rowOff>180975</xdr:rowOff>
    </xdr:from>
    <xdr:to>
      <xdr:col>19</xdr:col>
      <xdr:colOff>304801</xdr:colOff>
      <xdr:row>28</xdr:row>
      <xdr:rowOff>18506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srcRect l="9118" t="7469" r="9453" b="2203"/>
        <a:stretch/>
      </xdr:blipFill>
      <xdr:spPr>
        <a:xfrm>
          <a:off x="4371975" y="3228975"/>
          <a:ext cx="3171826" cy="1563461"/>
        </a:xfrm>
        <a:prstGeom prst="rect">
          <a:avLst/>
        </a:prstGeom>
      </xdr:spPr>
    </xdr:pic>
    <xdr:clientData/>
  </xdr:twoCellAnchor>
  <xdr:oneCellAnchor>
    <xdr:from>
      <xdr:col>7</xdr:col>
      <xdr:colOff>150719</xdr:colOff>
      <xdr:row>72</xdr:row>
      <xdr:rowOff>11205</xdr:rowOff>
    </xdr:from>
    <xdr:ext cx="1416424" cy="1963272"/>
    <xdr:pic>
      <xdr:nvPicPr>
        <xdr:cNvPr id="7" name="Imagen 6">
          <a:extLst>
            <a:ext uri="{FF2B5EF4-FFF2-40B4-BE49-F238E27FC236}">
              <a16:creationId xmlns:a16="http://schemas.microsoft.com/office/drawing/2014/main" id="{00000000-0008-0000-0400-000007000000}"/>
            </a:ext>
          </a:extLst>
        </xdr:cNvPr>
        <xdr:cNvPicPr>
          <a:picLocks noChangeAspect="1"/>
        </xdr:cNvPicPr>
      </xdr:nvPicPr>
      <xdr:blipFill rotWithShape="1">
        <a:blip xmlns:r="http://schemas.openxmlformats.org/officeDocument/2006/relationships" r:embed="rId3"/>
        <a:srcRect l="72697" t="1781" r="8063" b="68212"/>
        <a:stretch/>
      </xdr:blipFill>
      <xdr:spPr>
        <a:xfrm>
          <a:off x="2817719" y="13155705"/>
          <a:ext cx="1416424" cy="1963272"/>
        </a:xfrm>
        <a:prstGeom prst="rect">
          <a:avLst/>
        </a:prstGeom>
      </xdr:spPr>
    </xdr:pic>
    <xdr:clientData/>
  </xdr:oneCellAnchor>
  <xdr:oneCellAnchor>
    <xdr:from>
      <xdr:col>14</xdr:col>
      <xdr:colOff>359149</xdr:colOff>
      <xdr:row>91</xdr:row>
      <xdr:rowOff>189940</xdr:rowOff>
    </xdr:from>
    <xdr:ext cx="1552381" cy="1961905"/>
    <xdr:pic>
      <xdr:nvPicPr>
        <xdr:cNvPr id="8" name="Imagen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4"/>
        <a:stretch>
          <a:fillRect/>
        </a:stretch>
      </xdr:blipFill>
      <xdr:spPr>
        <a:xfrm>
          <a:off x="5693149" y="16953940"/>
          <a:ext cx="1552381" cy="1961905"/>
        </a:xfrm>
        <a:prstGeom prst="rect">
          <a:avLst/>
        </a:prstGeom>
      </xdr:spPr>
    </xdr:pic>
    <xdr:clientData/>
  </xdr:oneCellAnchor>
  <xdr:oneCellAnchor>
    <xdr:from>
      <xdr:col>7</xdr:col>
      <xdr:colOff>28575</xdr:colOff>
      <xdr:row>110</xdr:row>
      <xdr:rowOff>28575</xdr:rowOff>
    </xdr:from>
    <xdr:ext cx="1476190" cy="1933333"/>
    <xdr:pic>
      <xdr:nvPicPr>
        <xdr:cNvPr id="9" name="Imagen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5"/>
        <a:stretch>
          <a:fillRect/>
        </a:stretch>
      </xdr:blipFill>
      <xdr:spPr>
        <a:xfrm>
          <a:off x="2695575" y="20221575"/>
          <a:ext cx="1476190" cy="1933333"/>
        </a:xfrm>
        <a:prstGeom prst="rect">
          <a:avLst/>
        </a:prstGeom>
      </xdr:spPr>
    </xdr:pic>
    <xdr:clientData/>
  </xdr:oneCellAnchor>
  <xdr:oneCellAnchor>
    <xdr:from>
      <xdr:col>16</xdr:col>
      <xdr:colOff>208430</xdr:colOff>
      <xdr:row>72</xdr:row>
      <xdr:rowOff>5603</xdr:rowOff>
    </xdr:from>
    <xdr:ext cx="1495238" cy="1961905"/>
    <xdr:pic>
      <xdr:nvPicPr>
        <xdr:cNvPr id="10" name="Imagen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6"/>
        <a:stretch>
          <a:fillRect/>
        </a:stretch>
      </xdr:blipFill>
      <xdr:spPr>
        <a:xfrm>
          <a:off x="6304430" y="13150103"/>
          <a:ext cx="1495238" cy="1961905"/>
        </a:xfrm>
        <a:prstGeom prst="rect">
          <a:avLst/>
        </a:prstGeom>
      </xdr:spPr>
    </xdr:pic>
    <xdr:clientData/>
  </xdr:oneCellAnchor>
  <xdr:oneCellAnchor>
    <xdr:from>
      <xdr:col>5</xdr:col>
      <xdr:colOff>132230</xdr:colOff>
      <xdr:row>92</xdr:row>
      <xdr:rowOff>67794</xdr:rowOff>
    </xdr:from>
    <xdr:ext cx="1695238" cy="2217351"/>
    <xdr:pic>
      <xdr:nvPicPr>
        <xdr:cNvPr id="11" name="Imagen 10">
          <a:extLst>
            <a:ext uri="{FF2B5EF4-FFF2-40B4-BE49-F238E27FC236}">
              <a16:creationId xmlns:a16="http://schemas.microsoft.com/office/drawing/2014/main" id="{00000000-0008-0000-0400-00000B000000}"/>
            </a:ext>
          </a:extLst>
        </xdr:cNvPr>
        <xdr:cNvPicPr>
          <a:picLocks noChangeAspect="1"/>
        </xdr:cNvPicPr>
      </xdr:nvPicPr>
      <xdr:blipFill rotWithShape="1">
        <a:blip xmlns:r="http://schemas.openxmlformats.org/officeDocument/2006/relationships" r:embed="rId7"/>
        <a:srcRect t="5357"/>
        <a:stretch/>
      </xdr:blipFill>
      <xdr:spPr>
        <a:xfrm>
          <a:off x="2037230" y="17022294"/>
          <a:ext cx="1695238" cy="2217351"/>
        </a:xfrm>
        <a:prstGeom prst="rect">
          <a:avLst/>
        </a:prstGeom>
      </xdr:spPr>
    </xdr:pic>
    <xdr:clientData/>
  </xdr:oneCellAnchor>
  <xdr:twoCellAnchor editAs="oneCell">
    <xdr:from>
      <xdr:col>2</xdr:col>
      <xdr:colOff>0</xdr:colOff>
      <xdr:row>40</xdr:row>
      <xdr:rowOff>0</xdr:rowOff>
    </xdr:from>
    <xdr:to>
      <xdr:col>9</xdr:col>
      <xdr:colOff>249283</xdr:colOff>
      <xdr:row>47</xdr:row>
      <xdr:rowOff>94981</xdr:rowOff>
    </xdr:to>
    <xdr:pic>
      <xdr:nvPicPr>
        <xdr:cNvPr id="14" name="Imagen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8"/>
        <a:srcRect t="7768" r="53064" b="1649"/>
        <a:stretch/>
      </xdr:blipFill>
      <xdr:spPr>
        <a:xfrm>
          <a:off x="762000" y="7239000"/>
          <a:ext cx="2901043" cy="1443720"/>
        </a:xfrm>
        <a:prstGeom prst="rect">
          <a:avLst/>
        </a:prstGeom>
      </xdr:spPr>
    </xdr:pic>
    <xdr:clientData/>
  </xdr:twoCellAnchor>
  <xdr:twoCellAnchor editAs="oneCell">
    <xdr:from>
      <xdr:col>12</xdr:col>
      <xdr:colOff>0</xdr:colOff>
      <xdr:row>40</xdr:row>
      <xdr:rowOff>0</xdr:rowOff>
    </xdr:from>
    <xdr:to>
      <xdr:col>19</xdr:col>
      <xdr:colOff>169545</xdr:colOff>
      <xdr:row>47</xdr:row>
      <xdr:rowOff>93074</xdr:rowOff>
    </xdr:to>
    <xdr:pic>
      <xdr:nvPicPr>
        <xdr:cNvPr id="15" name="Imagen 14">
          <a:extLst>
            <a:ext uri="{FF2B5EF4-FFF2-40B4-BE49-F238E27FC236}">
              <a16:creationId xmlns:a16="http://schemas.microsoft.com/office/drawing/2014/main" id="{00000000-0008-0000-0400-00000F000000}"/>
            </a:ext>
          </a:extLst>
        </xdr:cNvPr>
        <xdr:cNvPicPr>
          <a:picLocks noChangeAspect="1"/>
        </xdr:cNvPicPr>
      </xdr:nvPicPr>
      <xdr:blipFill rotWithShape="1">
        <a:blip xmlns:r="http://schemas.openxmlformats.org/officeDocument/2006/relationships" r:embed="rId8"/>
        <a:srcRect l="51471" t="8367" r="2453" b="1649"/>
        <a:stretch/>
      </xdr:blipFill>
      <xdr:spPr>
        <a:xfrm>
          <a:off x="4572000" y="7239000"/>
          <a:ext cx="2847975" cy="1434193"/>
        </a:xfrm>
        <a:prstGeom prst="rect">
          <a:avLst/>
        </a:prstGeom>
      </xdr:spPr>
    </xdr:pic>
    <xdr:clientData/>
  </xdr:twoCellAnchor>
  <xdr:twoCellAnchor editAs="oneCell">
    <xdr:from>
      <xdr:col>1</xdr:col>
      <xdr:colOff>36195</xdr:colOff>
      <xdr:row>52</xdr:row>
      <xdr:rowOff>106680</xdr:rowOff>
    </xdr:from>
    <xdr:to>
      <xdr:col>11</xdr:col>
      <xdr:colOff>22315</xdr:colOff>
      <xdr:row>61</xdr:row>
      <xdr:rowOff>110523</xdr:rowOff>
    </xdr:to>
    <xdr:pic>
      <xdr:nvPicPr>
        <xdr:cNvPr id="16" name="Imagen 15">
          <a:extLst>
            <a:ext uri="{FF2B5EF4-FFF2-40B4-BE49-F238E27FC236}">
              <a16:creationId xmlns:a16="http://schemas.microsoft.com/office/drawing/2014/main" id="{00000000-0008-0000-0400-000010000000}"/>
            </a:ext>
          </a:extLst>
        </xdr:cNvPr>
        <xdr:cNvPicPr>
          <a:picLocks noChangeAspect="1"/>
        </xdr:cNvPicPr>
      </xdr:nvPicPr>
      <xdr:blipFill rotWithShape="1">
        <a:blip xmlns:r="http://schemas.openxmlformats.org/officeDocument/2006/relationships" r:embed="rId9"/>
        <a:srcRect l="5430" t="1157" r="1992" b="53990"/>
        <a:stretch/>
      </xdr:blipFill>
      <xdr:spPr>
        <a:xfrm>
          <a:off x="424815" y="9250680"/>
          <a:ext cx="3878035" cy="1581183"/>
        </a:xfrm>
        <a:prstGeom prst="rect">
          <a:avLst/>
        </a:prstGeom>
      </xdr:spPr>
    </xdr:pic>
    <xdr:clientData/>
  </xdr:twoCellAnchor>
  <xdr:twoCellAnchor editAs="oneCell">
    <xdr:from>
      <xdr:col>12</xdr:col>
      <xdr:colOff>47625</xdr:colOff>
      <xdr:row>52</xdr:row>
      <xdr:rowOff>180975</xdr:rowOff>
    </xdr:from>
    <xdr:to>
      <xdr:col>18</xdr:col>
      <xdr:colOff>359229</xdr:colOff>
      <xdr:row>60</xdr:row>
      <xdr:rowOff>92242</xdr:rowOff>
    </xdr:to>
    <xdr:pic>
      <xdr:nvPicPr>
        <xdr:cNvPr id="17" name="Imagen 16">
          <a:extLst>
            <a:ext uri="{FF2B5EF4-FFF2-40B4-BE49-F238E27FC236}">
              <a16:creationId xmlns:a16="http://schemas.microsoft.com/office/drawing/2014/main" id="{00000000-0008-0000-0400-000011000000}"/>
            </a:ext>
          </a:extLst>
        </xdr:cNvPr>
        <xdr:cNvPicPr>
          <a:picLocks noChangeAspect="1"/>
        </xdr:cNvPicPr>
      </xdr:nvPicPr>
      <xdr:blipFill rotWithShape="1">
        <a:blip xmlns:r="http://schemas.openxmlformats.org/officeDocument/2006/relationships" r:embed="rId9"/>
        <a:srcRect l="18102" t="59899" r="19059" b="2483"/>
        <a:stretch/>
      </xdr:blipFill>
      <xdr:spPr>
        <a:xfrm>
          <a:off x="4619625" y="9705975"/>
          <a:ext cx="2588079" cy="142955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27</xdr:col>
      <xdr:colOff>0</xdr:colOff>
      <xdr:row>42</xdr:row>
      <xdr:rowOff>0</xdr:rowOff>
    </xdr:from>
    <xdr:to>
      <xdr:col>32</xdr:col>
      <xdr:colOff>71991</xdr:colOff>
      <xdr:row>47</xdr:row>
      <xdr:rowOff>33946</xdr:rowOff>
    </xdr:to>
    <xdr:pic>
      <xdr:nvPicPr>
        <xdr:cNvPr id="2" name="Imagen 1">
          <a:extLst>
            <a:ext uri="{FF2B5EF4-FFF2-40B4-BE49-F238E27FC236}">
              <a16:creationId xmlns:a16="http://schemas.microsoft.com/office/drawing/2014/main" id="{5A67A068-072D-4017-90B6-2F094D93C53E}"/>
            </a:ext>
          </a:extLst>
        </xdr:cNvPr>
        <xdr:cNvPicPr>
          <a:picLocks noChangeAspect="1"/>
        </xdr:cNvPicPr>
      </xdr:nvPicPr>
      <xdr:blipFill>
        <a:blip xmlns:r="http://schemas.openxmlformats.org/officeDocument/2006/relationships" r:embed="rId1"/>
        <a:stretch>
          <a:fillRect/>
        </a:stretch>
      </xdr:blipFill>
      <xdr:spPr>
        <a:xfrm>
          <a:off x="11958918" y="7736541"/>
          <a:ext cx="2289523" cy="95619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11</xdr:col>
      <xdr:colOff>187258</xdr:colOff>
      <xdr:row>46</xdr:row>
      <xdr:rowOff>490</xdr:rowOff>
    </xdr:to>
    <xdr:pic>
      <xdr:nvPicPr>
        <xdr:cNvPr id="3" name="Imagen 2">
          <a:extLst>
            <a:ext uri="{FF2B5EF4-FFF2-40B4-BE49-F238E27FC236}">
              <a16:creationId xmlns:a16="http://schemas.microsoft.com/office/drawing/2014/main" id="{0EB8DCE9-3FEB-4085-BF86-040B18F62F6C}"/>
            </a:ext>
          </a:extLst>
        </xdr:cNvPr>
        <xdr:cNvPicPr>
          <a:picLocks noChangeAspect="1"/>
        </xdr:cNvPicPr>
      </xdr:nvPicPr>
      <xdr:blipFill>
        <a:blip xmlns:r="http://schemas.openxmlformats.org/officeDocument/2006/relationships" r:embed="rId1"/>
        <a:stretch>
          <a:fillRect/>
        </a:stretch>
      </xdr:blipFill>
      <xdr:spPr>
        <a:xfrm>
          <a:off x="388620" y="4594860"/>
          <a:ext cx="4067743" cy="3505689"/>
        </a:xfrm>
        <a:prstGeom prst="rect">
          <a:avLst/>
        </a:prstGeom>
        <a:ln w="6350">
          <a:solidFill>
            <a:schemeClr val="tx1"/>
          </a:solid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91</xdr:col>
      <xdr:colOff>358140</xdr:colOff>
      <xdr:row>52</xdr:row>
      <xdr:rowOff>15240</xdr:rowOff>
    </xdr:from>
    <xdr:ext cx="3497036" cy="2034189"/>
    <xdr:pic>
      <xdr:nvPicPr>
        <xdr:cNvPr id="2" name="Imagen 1">
          <a:extLst>
            <a:ext uri="{FF2B5EF4-FFF2-40B4-BE49-F238E27FC236}">
              <a16:creationId xmlns:a16="http://schemas.microsoft.com/office/drawing/2014/main" id="{175C164B-58C8-42B0-B608-2538C03FB2B8}"/>
            </a:ext>
          </a:extLst>
        </xdr:cNvPr>
        <xdr:cNvPicPr>
          <a:picLocks noChangeAspect="1"/>
        </xdr:cNvPicPr>
      </xdr:nvPicPr>
      <xdr:blipFill>
        <a:blip xmlns:r="http://schemas.openxmlformats.org/officeDocument/2006/relationships" r:embed="rId1"/>
        <a:stretch>
          <a:fillRect/>
        </a:stretch>
      </xdr:blipFill>
      <xdr:spPr>
        <a:xfrm>
          <a:off x="67414140" y="9525000"/>
          <a:ext cx="3497036" cy="2034189"/>
        </a:xfrm>
        <a:prstGeom prst="rect">
          <a:avLst/>
        </a:prstGeom>
      </xdr:spPr>
    </xdr:pic>
    <xdr:clientData/>
  </xdr:oneCellAnchor>
  <xdr:oneCellAnchor>
    <xdr:from>
      <xdr:col>82</xdr:col>
      <xdr:colOff>0</xdr:colOff>
      <xdr:row>29</xdr:row>
      <xdr:rowOff>0</xdr:rowOff>
    </xdr:from>
    <xdr:ext cx="2771429" cy="1992659"/>
    <xdr:pic>
      <xdr:nvPicPr>
        <xdr:cNvPr id="3" name="Imagen 2">
          <a:extLst>
            <a:ext uri="{FF2B5EF4-FFF2-40B4-BE49-F238E27FC236}">
              <a16:creationId xmlns:a16="http://schemas.microsoft.com/office/drawing/2014/main" id="{732CD289-6BBA-493F-8CFC-2E9B1AFB5719}"/>
            </a:ext>
          </a:extLst>
        </xdr:cNvPr>
        <xdr:cNvPicPr>
          <a:picLocks noChangeAspect="1"/>
        </xdr:cNvPicPr>
      </xdr:nvPicPr>
      <xdr:blipFill>
        <a:blip xmlns:r="http://schemas.openxmlformats.org/officeDocument/2006/relationships" r:embed="rId2"/>
        <a:stretch>
          <a:fillRect/>
        </a:stretch>
      </xdr:blipFill>
      <xdr:spPr>
        <a:xfrm>
          <a:off x="60198000" y="5303520"/>
          <a:ext cx="2771429" cy="1992659"/>
        </a:xfrm>
        <a:prstGeom prst="rect">
          <a:avLst/>
        </a:prstGeom>
      </xdr:spPr>
    </xdr:pic>
    <xdr:clientData/>
  </xdr:oneCellAnchor>
  <xdr:oneCellAnchor>
    <xdr:from>
      <xdr:col>82</xdr:col>
      <xdr:colOff>0</xdr:colOff>
      <xdr:row>8</xdr:row>
      <xdr:rowOff>0</xdr:rowOff>
    </xdr:from>
    <xdr:ext cx="2819048" cy="2083000"/>
    <xdr:pic>
      <xdr:nvPicPr>
        <xdr:cNvPr id="4" name="Imagen 3">
          <a:extLst>
            <a:ext uri="{FF2B5EF4-FFF2-40B4-BE49-F238E27FC236}">
              <a16:creationId xmlns:a16="http://schemas.microsoft.com/office/drawing/2014/main" id="{790D7A52-36D3-4FFB-AA73-B86B7D50D06C}"/>
            </a:ext>
          </a:extLst>
        </xdr:cNvPr>
        <xdr:cNvPicPr>
          <a:picLocks noChangeAspect="1"/>
        </xdr:cNvPicPr>
      </xdr:nvPicPr>
      <xdr:blipFill>
        <a:blip xmlns:r="http://schemas.openxmlformats.org/officeDocument/2006/relationships" r:embed="rId3"/>
        <a:stretch>
          <a:fillRect/>
        </a:stretch>
      </xdr:blipFill>
      <xdr:spPr>
        <a:xfrm>
          <a:off x="60198000" y="1463040"/>
          <a:ext cx="2819048" cy="2083000"/>
        </a:xfrm>
        <a:prstGeom prst="rect">
          <a:avLst/>
        </a:prstGeom>
      </xdr:spPr>
    </xdr:pic>
    <xdr:clientData/>
  </xdr:oneCellAnchor>
  <xdr:oneCellAnchor>
    <xdr:from>
      <xdr:col>43</xdr:col>
      <xdr:colOff>503249</xdr:colOff>
      <xdr:row>85</xdr:row>
      <xdr:rowOff>139930</xdr:rowOff>
    </xdr:from>
    <xdr:ext cx="2293936" cy="2426076"/>
    <xdr:pic>
      <xdr:nvPicPr>
        <xdr:cNvPr id="5" name="Imagen 4">
          <a:extLst>
            <a:ext uri="{FF2B5EF4-FFF2-40B4-BE49-F238E27FC236}">
              <a16:creationId xmlns:a16="http://schemas.microsoft.com/office/drawing/2014/main" id="{A1839268-FEE0-4287-AC18-7E1797086312}"/>
            </a:ext>
          </a:extLst>
        </xdr:cNvPr>
        <xdr:cNvPicPr>
          <a:picLocks noChangeAspect="1"/>
        </xdr:cNvPicPr>
      </xdr:nvPicPr>
      <xdr:blipFill>
        <a:blip xmlns:r="http://schemas.openxmlformats.org/officeDocument/2006/relationships" r:embed="rId4"/>
        <a:stretch>
          <a:fillRect/>
        </a:stretch>
      </xdr:blipFill>
      <xdr:spPr>
        <a:xfrm>
          <a:off x="30983249" y="15684730"/>
          <a:ext cx="2293936" cy="2426076"/>
        </a:xfrm>
        <a:prstGeom prst="rect">
          <a:avLst/>
        </a:prstGeom>
      </xdr:spPr>
    </xdr:pic>
    <xdr:clientData/>
  </xdr:oneCellAnchor>
  <xdr:oneCellAnchor>
    <xdr:from>
      <xdr:col>47</xdr:col>
      <xdr:colOff>139466</xdr:colOff>
      <xdr:row>88</xdr:row>
      <xdr:rowOff>55151</xdr:rowOff>
    </xdr:from>
    <xdr:ext cx="3195129" cy="2473387"/>
    <xdr:pic>
      <xdr:nvPicPr>
        <xdr:cNvPr id="6" name="Imagen 5">
          <a:extLst>
            <a:ext uri="{FF2B5EF4-FFF2-40B4-BE49-F238E27FC236}">
              <a16:creationId xmlns:a16="http://schemas.microsoft.com/office/drawing/2014/main" id="{D02683EC-BB90-47EE-AB7C-A39BB50A7B86}"/>
            </a:ext>
          </a:extLst>
        </xdr:cNvPr>
        <xdr:cNvPicPr>
          <a:picLocks noChangeAspect="1"/>
        </xdr:cNvPicPr>
      </xdr:nvPicPr>
      <xdr:blipFill>
        <a:blip xmlns:r="http://schemas.openxmlformats.org/officeDocument/2006/relationships" r:embed="rId5"/>
        <a:stretch>
          <a:fillRect/>
        </a:stretch>
      </xdr:blipFill>
      <xdr:spPr>
        <a:xfrm>
          <a:off x="33667466" y="16148591"/>
          <a:ext cx="3195129" cy="2473387"/>
        </a:xfrm>
        <a:prstGeom prst="rect">
          <a:avLst/>
        </a:prstGeom>
      </xdr:spPr>
    </xdr:pic>
    <xdr:clientData/>
  </xdr:oneCellAnchor>
  <xdr:twoCellAnchor editAs="oneCell">
    <xdr:from>
      <xdr:col>1</xdr:col>
      <xdr:colOff>0</xdr:colOff>
      <xdr:row>5</xdr:row>
      <xdr:rowOff>0</xdr:rowOff>
    </xdr:from>
    <xdr:to>
      <xdr:col>11</xdr:col>
      <xdr:colOff>377527</xdr:colOff>
      <xdr:row>45</xdr:row>
      <xdr:rowOff>80122</xdr:rowOff>
    </xdr:to>
    <xdr:pic>
      <xdr:nvPicPr>
        <xdr:cNvPr id="8" name="Imagen 7">
          <a:extLst>
            <a:ext uri="{FF2B5EF4-FFF2-40B4-BE49-F238E27FC236}">
              <a16:creationId xmlns:a16="http://schemas.microsoft.com/office/drawing/2014/main" id="{8BCDF7AC-5897-240F-E05B-0F4E9174C95F}"/>
            </a:ext>
          </a:extLst>
        </xdr:cNvPr>
        <xdr:cNvPicPr>
          <a:picLocks noChangeAspect="1"/>
        </xdr:cNvPicPr>
      </xdr:nvPicPr>
      <xdr:blipFill>
        <a:blip xmlns:r="http://schemas.openxmlformats.org/officeDocument/2006/relationships" r:embed="rId6"/>
        <a:stretch>
          <a:fillRect/>
        </a:stretch>
      </xdr:blipFill>
      <xdr:spPr>
        <a:xfrm>
          <a:off x="744071" y="941294"/>
          <a:ext cx="7801087" cy="7620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91</xdr:col>
      <xdr:colOff>358140</xdr:colOff>
      <xdr:row>52</xdr:row>
      <xdr:rowOff>15240</xdr:rowOff>
    </xdr:from>
    <xdr:ext cx="3497036" cy="2034189"/>
    <xdr:pic>
      <xdr:nvPicPr>
        <xdr:cNvPr id="2" name="Imagen 1">
          <a:extLst>
            <a:ext uri="{FF2B5EF4-FFF2-40B4-BE49-F238E27FC236}">
              <a16:creationId xmlns:a16="http://schemas.microsoft.com/office/drawing/2014/main" id="{E60746F4-1A72-4C24-BCFD-00A9E29AB305}"/>
            </a:ext>
          </a:extLst>
        </xdr:cNvPr>
        <xdr:cNvPicPr>
          <a:picLocks noChangeAspect="1"/>
        </xdr:cNvPicPr>
      </xdr:nvPicPr>
      <xdr:blipFill>
        <a:blip xmlns:r="http://schemas.openxmlformats.org/officeDocument/2006/relationships" r:embed="rId1"/>
        <a:stretch>
          <a:fillRect/>
        </a:stretch>
      </xdr:blipFill>
      <xdr:spPr>
        <a:xfrm>
          <a:off x="68317110" y="9925050"/>
          <a:ext cx="3497036" cy="2034189"/>
        </a:xfrm>
        <a:prstGeom prst="rect">
          <a:avLst/>
        </a:prstGeom>
      </xdr:spPr>
    </xdr:pic>
    <xdr:clientData/>
  </xdr:oneCellAnchor>
  <xdr:oneCellAnchor>
    <xdr:from>
      <xdr:col>82</xdr:col>
      <xdr:colOff>0</xdr:colOff>
      <xdr:row>29</xdr:row>
      <xdr:rowOff>0</xdr:rowOff>
    </xdr:from>
    <xdr:ext cx="2771429" cy="1992659"/>
    <xdr:pic>
      <xdr:nvPicPr>
        <xdr:cNvPr id="3" name="Imagen 2">
          <a:extLst>
            <a:ext uri="{FF2B5EF4-FFF2-40B4-BE49-F238E27FC236}">
              <a16:creationId xmlns:a16="http://schemas.microsoft.com/office/drawing/2014/main" id="{0D7B689B-BE4F-4DD1-9747-7A9741AEEE06}"/>
            </a:ext>
          </a:extLst>
        </xdr:cNvPr>
        <xdr:cNvPicPr>
          <a:picLocks noChangeAspect="1"/>
        </xdr:cNvPicPr>
      </xdr:nvPicPr>
      <xdr:blipFill>
        <a:blip xmlns:r="http://schemas.openxmlformats.org/officeDocument/2006/relationships" r:embed="rId2"/>
        <a:stretch>
          <a:fillRect/>
        </a:stretch>
      </xdr:blipFill>
      <xdr:spPr>
        <a:xfrm>
          <a:off x="61234320" y="5524500"/>
          <a:ext cx="2771429" cy="1992659"/>
        </a:xfrm>
        <a:prstGeom prst="rect">
          <a:avLst/>
        </a:prstGeom>
      </xdr:spPr>
    </xdr:pic>
    <xdr:clientData/>
  </xdr:oneCellAnchor>
  <xdr:oneCellAnchor>
    <xdr:from>
      <xdr:col>82</xdr:col>
      <xdr:colOff>0</xdr:colOff>
      <xdr:row>8</xdr:row>
      <xdr:rowOff>0</xdr:rowOff>
    </xdr:from>
    <xdr:ext cx="2819048" cy="2083000"/>
    <xdr:pic>
      <xdr:nvPicPr>
        <xdr:cNvPr id="4" name="Imagen 3">
          <a:extLst>
            <a:ext uri="{FF2B5EF4-FFF2-40B4-BE49-F238E27FC236}">
              <a16:creationId xmlns:a16="http://schemas.microsoft.com/office/drawing/2014/main" id="{7436B278-FD41-46E5-B83B-AD5F2DC9A424}"/>
            </a:ext>
          </a:extLst>
        </xdr:cNvPr>
        <xdr:cNvPicPr>
          <a:picLocks noChangeAspect="1"/>
        </xdr:cNvPicPr>
      </xdr:nvPicPr>
      <xdr:blipFill>
        <a:blip xmlns:r="http://schemas.openxmlformats.org/officeDocument/2006/relationships" r:embed="rId3"/>
        <a:stretch>
          <a:fillRect/>
        </a:stretch>
      </xdr:blipFill>
      <xdr:spPr>
        <a:xfrm>
          <a:off x="61234320" y="1524000"/>
          <a:ext cx="2819048" cy="2083000"/>
        </a:xfrm>
        <a:prstGeom prst="rect">
          <a:avLst/>
        </a:prstGeom>
      </xdr:spPr>
    </xdr:pic>
    <xdr:clientData/>
  </xdr:oneCellAnchor>
  <xdr:oneCellAnchor>
    <xdr:from>
      <xdr:col>43</xdr:col>
      <xdr:colOff>503249</xdr:colOff>
      <xdr:row>85</xdr:row>
      <xdr:rowOff>139930</xdr:rowOff>
    </xdr:from>
    <xdr:ext cx="2293936" cy="2426076"/>
    <xdr:pic>
      <xdr:nvPicPr>
        <xdr:cNvPr id="5" name="Imagen 4">
          <a:extLst>
            <a:ext uri="{FF2B5EF4-FFF2-40B4-BE49-F238E27FC236}">
              <a16:creationId xmlns:a16="http://schemas.microsoft.com/office/drawing/2014/main" id="{028F5FD7-C2CB-4791-A3A4-7B6E2A19F55B}"/>
            </a:ext>
          </a:extLst>
        </xdr:cNvPr>
        <xdr:cNvPicPr>
          <a:picLocks noChangeAspect="1"/>
        </xdr:cNvPicPr>
      </xdr:nvPicPr>
      <xdr:blipFill>
        <a:blip xmlns:r="http://schemas.openxmlformats.org/officeDocument/2006/relationships" r:embed="rId4"/>
        <a:stretch>
          <a:fillRect/>
        </a:stretch>
      </xdr:blipFill>
      <xdr:spPr>
        <a:xfrm>
          <a:off x="32612024" y="16341955"/>
          <a:ext cx="2293936" cy="2426076"/>
        </a:xfrm>
        <a:prstGeom prst="rect">
          <a:avLst/>
        </a:prstGeom>
      </xdr:spPr>
    </xdr:pic>
    <xdr:clientData/>
  </xdr:oneCellAnchor>
  <xdr:oneCellAnchor>
    <xdr:from>
      <xdr:col>47</xdr:col>
      <xdr:colOff>139466</xdr:colOff>
      <xdr:row>88</xdr:row>
      <xdr:rowOff>55151</xdr:rowOff>
    </xdr:from>
    <xdr:ext cx="3195129" cy="2473387"/>
    <xdr:pic>
      <xdr:nvPicPr>
        <xdr:cNvPr id="6" name="Imagen 5">
          <a:extLst>
            <a:ext uri="{FF2B5EF4-FFF2-40B4-BE49-F238E27FC236}">
              <a16:creationId xmlns:a16="http://schemas.microsoft.com/office/drawing/2014/main" id="{E52D98DF-F0D2-40C6-AF7D-1B79AB6EB383}"/>
            </a:ext>
          </a:extLst>
        </xdr:cNvPr>
        <xdr:cNvPicPr>
          <a:picLocks noChangeAspect="1"/>
        </xdr:cNvPicPr>
      </xdr:nvPicPr>
      <xdr:blipFill>
        <a:blip xmlns:r="http://schemas.openxmlformats.org/officeDocument/2006/relationships" r:embed="rId5"/>
        <a:stretch>
          <a:fillRect/>
        </a:stretch>
      </xdr:blipFill>
      <xdr:spPr>
        <a:xfrm>
          <a:off x="35239091" y="16838201"/>
          <a:ext cx="3195129" cy="2473387"/>
        </a:xfrm>
        <a:prstGeom prst="rect">
          <a:avLst/>
        </a:prstGeom>
      </xdr:spPr>
    </xdr:pic>
    <xdr:clientData/>
  </xdr:oneCellAnchor>
  <xdr:twoCellAnchor editAs="oneCell">
    <xdr:from>
      <xdr:col>1</xdr:col>
      <xdr:colOff>0</xdr:colOff>
      <xdr:row>5</xdr:row>
      <xdr:rowOff>0</xdr:rowOff>
    </xdr:from>
    <xdr:to>
      <xdr:col>11</xdr:col>
      <xdr:colOff>377527</xdr:colOff>
      <xdr:row>45</xdr:row>
      <xdr:rowOff>80122</xdr:rowOff>
    </xdr:to>
    <xdr:pic>
      <xdr:nvPicPr>
        <xdr:cNvPr id="7" name="Imagen 6">
          <a:extLst>
            <a:ext uri="{FF2B5EF4-FFF2-40B4-BE49-F238E27FC236}">
              <a16:creationId xmlns:a16="http://schemas.microsoft.com/office/drawing/2014/main" id="{32586215-9C2C-4EB9-A59A-E6D0B6C88AB5}"/>
            </a:ext>
          </a:extLst>
        </xdr:cNvPr>
        <xdr:cNvPicPr>
          <a:picLocks noChangeAspect="1"/>
        </xdr:cNvPicPr>
      </xdr:nvPicPr>
      <xdr:blipFill>
        <a:blip xmlns:r="http://schemas.openxmlformats.org/officeDocument/2006/relationships" r:embed="rId6"/>
        <a:stretch>
          <a:fillRect/>
        </a:stretch>
      </xdr:blipFill>
      <xdr:spPr>
        <a:xfrm>
          <a:off x="746760" y="952500"/>
          <a:ext cx="7845127" cy="770012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91</xdr:col>
      <xdr:colOff>358140</xdr:colOff>
      <xdr:row>52</xdr:row>
      <xdr:rowOff>15240</xdr:rowOff>
    </xdr:from>
    <xdr:ext cx="3497036" cy="2034189"/>
    <xdr:pic>
      <xdr:nvPicPr>
        <xdr:cNvPr id="2" name="Imagen 1">
          <a:extLst>
            <a:ext uri="{FF2B5EF4-FFF2-40B4-BE49-F238E27FC236}">
              <a16:creationId xmlns:a16="http://schemas.microsoft.com/office/drawing/2014/main" id="{69B5BEFC-3D31-4ED4-B1AA-E5BBF57F93F1}"/>
            </a:ext>
          </a:extLst>
        </xdr:cNvPr>
        <xdr:cNvPicPr>
          <a:picLocks noChangeAspect="1"/>
        </xdr:cNvPicPr>
      </xdr:nvPicPr>
      <xdr:blipFill>
        <a:blip xmlns:r="http://schemas.openxmlformats.org/officeDocument/2006/relationships" r:embed="rId1"/>
        <a:stretch>
          <a:fillRect/>
        </a:stretch>
      </xdr:blipFill>
      <xdr:spPr>
        <a:xfrm>
          <a:off x="68317110" y="9925050"/>
          <a:ext cx="3497036" cy="2034189"/>
        </a:xfrm>
        <a:prstGeom prst="rect">
          <a:avLst/>
        </a:prstGeom>
      </xdr:spPr>
    </xdr:pic>
    <xdr:clientData/>
  </xdr:oneCellAnchor>
  <xdr:oneCellAnchor>
    <xdr:from>
      <xdr:col>82</xdr:col>
      <xdr:colOff>0</xdr:colOff>
      <xdr:row>29</xdr:row>
      <xdr:rowOff>0</xdr:rowOff>
    </xdr:from>
    <xdr:ext cx="2771429" cy="1992659"/>
    <xdr:pic>
      <xdr:nvPicPr>
        <xdr:cNvPr id="3" name="Imagen 2">
          <a:extLst>
            <a:ext uri="{FF2B5EF4-FFF2-40B4-BE49-F238E27FC236}">
              <a16:creationId xmlns:a16="http://schemas.microsoft.com/office/drawing/2014/main" id="{76C10C01-739D-48F5-90E9-F8B9982409E8}"/>
            </a:ext>
          </a:extLst>
        </xdr:cNvPr>
        <xdr:cNvPicPr>
          <a:picLocks noChangeAspect="1"/>
        </xdr:cNvPicPr>
      </xdr:nvPicPr>
      <xdr:blipFill>
        <a:blip xmlns:r="http://schemas.openxmlformats.org/officeDocument/2006/relationships" r:embed="rId2"/>
        <a:stretch>
          <a:fillRect/>
        </a:stretch>
      </xdr:blipFill>
      <xdr:spPr>
        <a:xfrm>
          <a:off x="61234320" y="5524500"/>
          <a:ext cx="2771429" cy="1992659"/>
        </a:xfrm>
        <a:prstGeom prst="rect">
          <a:avLst/>
        </a:prstGeom>
      </xdr:spPr>
    </xdr:pic>
    <xdr:clientData/>
  </xdr:oneCellAnchor>
  <xdr:oneCellAnchor>
    <xdr:from>
      <xdr:col>82</xdr:col>
      <xdr:colOff>0</xdr:colOff>
      <xdr:row>8</xdr:row>
      <xdr:rowOff>0</xdr:rowOff>
    </xdr:from>
    <xdr:ext cx="2819048" cy="2083000"/>
    <xdr:pic>
      <xdr:nvPicPr>
        <xdr:cNvPr id="4" name="Imagen 3">
          <a:extLst>
            <a:ext uri="{FF2B5EF4-FFF2-40B4-BE49-F238E27FC236}">
              <a16:creationId xmlns:a16="http://schemas.microsoft.com/office/drawing/2014/main" id="{AAE70460-CAEA-48A8-8A74-73F6AC45CD2B}"/>
            </a:ext>
          </a:extLst>
        </xdr:cNvPr>
        <xdr:cNvPicPr>
          <a:picLocks noChangeAspect="1"/>
        </xdr:cNvPicPr>
      </xdr:nvPicPr>
      <xdr:blipFill>
        <a:blip xmlns:r="http://schemas.openxmlformats.org/officeDocument/2006/relationships" r:embed="rId3"/>
        <a:stretch>
          <a:fillRect/>
        </a:stretch>
      </xdr:blipFill>
      <xdr:spPr>
        <a:xfrm>
          <a:off x="61234320" y="1524000"/>
          <a:ext cx="2819048" cy="2083000"/>
        </a:xfrm>
        <a:prstGeom prst="rect">
          <a:avLst/>
        </a:prstGeom>
      </xdr:spPr>
    </xdr:pic>
    <xdr:clientData/>
  </xdr:oneCellAnchor>
  <xdr:oneCellAnchor>
    <xdr:from>
      <xdr:col>43</xdr:col>
      <xdr:colOff>503249</xdr:colOff>
      <xdr:row>85</xdr:row>
      <xdr:rowOff>139930</xdr:rowOff>
    </xdr:from>
    <xdr:ext cx="2293936" cy="2426076"/>
    <xdr:pic>
      <xdr:nvPicPr>
        <xdr:cNvPr id="5" name="Imagen 4">
          <a:extLst>
            <a:ext uri="{FF2B5EF4-FFF2-40B4-BE49-F238E27FC236}">
              <a16:creationId xmlns:a16="http://schemas.microsoft.com/office/drawing/2014/main" id="{CC28CC79-F8E1-4A9E-BCB3-1A31FA37A919}"/>
            </a:ext>
          </a:extLst>
        </xdr:cNvPr>
        <xdr:cNvPicPr>
          <a:picLocks noChangeAspect="1"/>
        </xdr:cNvPicPr>
      </xdr:nvPicPr>
      <xdr:blipFill>
        <a:blip xmlns:r="http://schemas.openxmlformats.org/officeDocument/2006/relationships" r:embed="rId4"/>
        <a:stretch>
          <a:fillRect/>
        </a:stretch>
      </xdr:blipFill>
      <xdr:spPr>
        <a:xfrm>
          <a:off x="32612024" y="16341955"/>
          <a:ext cx="2293936" cy="2426076"/>
        </a:xfrm>
        <a:prstGeom prst="rect">
          <a:avLst/>
        </a:prstGeom>
      </xdr:spPr>
    </xdr:pic>
    <xdr:clientData/>
  </xdr:oneCellAnchor>
  <xdr:oneCellAnchor>
    <xdr:from>
      <xdr:col>47</xdr:col>
      <xdr:colOff>139466</xdr:colOff>
      <xdr:row>88</xdr:row>
      <xdr:rowOff>55151</xdr:rowOff>
    </xdr:from>
    <xdr:ext cx="3195129" cy="2473387"/>
    <xdr:pic>
      <xdr:nvPicPr>
        <xdr:cNvPr id="6" name="Imagen 5">
          <a:extLst>
            <a:ext uri="{FF2B5EF4-FFF2-40B4-BE49-F238E27FC236}">
              <a16:creationId xmlns:a16="http://schemas.microsoft.com/office/drawing/2014/main" id="{6AC2C9FE-6B76-46B0-B6E7-9F9C7F2595B8}"/>
            </a:ext>
          </a:extLst>
        </xdr:cNvPr>
        <xdr:cNvPicPr>
          <a:picLocks noChangeAspect="1"/>
        </xdr:cNvPicPr>
      </xdr:nvPicPr>
      <xdr:blipFill>
        <a:blip xmlns:r="http://schemas.openxmlformats.org/officeDocument/2006/relationships" r:embed="rId5"/>
        <a:stretch>
          <a:fillRect/>
        </a:stretch>
      </xdr:blipFill>
      <xdr:spPr>
        <a:xfrm>
          <a:off x="35239091" y="16838201"/>
          <a:ext cx="3195129" cy="2473387"/>
        </a:xfrm>
        <a:prstGeom prst="rect">
          <a:avLst/>
        </a:prstGeom>
      </xdr:spPr>
    </xdr:pic>
    <xdr:clientData/>
  </xdr:oneCellAnchor>
  <xdr:twoCellAnchor editAs="oneCell">
    <xdr:from>
      <xdr:col>1</xdr:col>
      <xdr:colOff>0</xdr:colOff>
      <xdr:row>5</xdr:row>
      <xdr:rowOff>0</xdr:rowOff>
    </xdr:from>
    <xdr:to>
      <xdr:col>11</xdr:col>
      <xdr:colOff>377527</xdr:colOff>
      <xdr:row>45</xdr:row>
      <xdr:rowOff>80122</xdr:rowOff>
    </xdr:to>
    <xdr:pic>
      <xdr:nvPicPr>
        <xdr:cNvPr id="7" name="Imagen 6">
          <a:extLst>
            <a:ext uri="{FF2B5EF4-FFF2-40B4-BE49-F238E27FC236}">
              <a16:creationId xmlns:a16="http://schemas.microsoft.com/office/drawing/2014/main" id="{AAED775F-B92E-4789-8B66-887F7DB6C6A9}"/>
            </a:ext>
          </a:extLst>
        </xdr:cNvPr>
        <xdr:cNvPicPr>
          <a:picLocks noChangeAspect="1"/>
        </xdr:cNvPicPr>
      </xdr:nvPicPr>
      <xdr:blipFill>
        <a:blip xmlns:r="http://schemas.openxmlformats.org/officeDocument/2006/relationships" r:embed="rId6"/>
        <a:stretch>
          <a:fillRect/>
        </a:stretch>
      </xdr:blipFill>
      <xdr:spPr>
        <a:xfrm>
          <a:off x="746760" y="952500"/>
          <a:ext cx="7845127" cy="770012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88</xdr:col>
      <xdr:colOff>358140</xdr:colOff>
      <xdr:row>52</xdr:row>
      <xdr:rowOff>15240</xdr:rowOff>
    </xdr:from>
    <xdr:ext cx="3497036" cy="2034189"/>
    <xdr:pic>
      <xdr:nvPicPr>
        <xdr:cNvPr id="2" name="Imagen 1">
          <a:extLst>
            <a:ext uri="{FF2B5EF4-FFF2-40B4-BE49-F238E27FC236}">
              <a16:creationId xmlns:a16="http://schemas.microsoft.com/office/drawing/2014/main" id="{A524F0BB-0A5D-43E3-BB08-B843439B46F5}"/>
            </a:ext>
          </a:extLst>
        </xdr:cNvPr>
        <xdr:cNvPicPr>
          <a:picLocks noChangeAspect="1"/>
        </xdr:cNvPicPr>
      </xdr:nvPicPr>
      <xdr:blipFill>
        <a:blip xmlns:r="http://schemas.openxmlformats.org/officeDocument/2006/relationships" r:embed="rId1"/>
        <a:stretch>
          <a:fillRect/>
        </a:stretch>
      </xdr:blipFill>
      <xdr:spPr>
        <a:xfrm>
          <a:off x="67966590" y="9921240"/>
          <a:ext cx="3497036" cy="2034189"/>
        </a:xfrm>
        <a:prstGeom prst="rect">
          <a:avLst/>
        </a:prstGeom>
      </xdr:spPr>
    </xdr:pic>
    <xdr:clientData/>
  </xdr:oneCellAnchor>
  <xdr:oneCellAnchor>
    <xdr:from>
      <xdr:col>79</xdr:col>
      <xdr:colOff>0</xdr:colOff>
      <xdr:row>29</xdr:row>
      <xdr:rowOff>0</xdr:rowOff>
    </xdr:from>
    <xdr:ext cx="2771429" cy="1992659"/>
    <xdr:pic>
      <xdr:nvPicPr>
        <xdr:cNvPr id="3" name="Imagen 2">
          <a:extLst>
            <a:ext uri="{FF2B5EF4-FFF2-40B4-BE49-F238E27FC236}">
              <a16:creationId xmlns:a16="http://schemas.microsoft.com/office/drawing/2014/main" id="{19050354-C179-4907-802F-D3216C39F591}"/>
            </a:ext>
          </a:extLst>
        </xdr:cNvPr>
        <xdr:cNvPicPr>
          <a:picLocks noChangeAspect="1"/>
        </xdr:cNvPicPr>
      </xdr:nvPicPr>
      <xdr:blipFill>
        <a:blip xmlns:r="http://schemas.openxmlformats.org/officeDocument/2006/relationships" r:embed="rId2"/>
        <a:stretch>
          <a:fillRect/>
        </a:stretch>
      </xdr:blipFill>
      <xdr:spPr>
        <a:xfrm>
          <a:off x="60921900" y="5524500"/>
          <a:ext cx="2771429" cy="1992659"/>
        </a:xfrm>
        <a:prstGeom prst="rect">
          <a:avLst/>
        </a:prstGeom>
      </xdr:spPr>
    </xdr:pic>
    <xdr:clientData/>
  </xdr:oneCellAnchor>
  <xdr:oneCellAnchor>
    <xdr:from>
      <xdr:col>79</xdr:col>
      <xdr:colOff>0</xdr:colOff>
      <xdr:row>8</xdr:row>
      <xdr:rowOff>0</xdr:rowOff>
    </xdr:from>
    <xdr:ext cx="2819048" cy="2083000"/>
    <xdr:pic>
      <xdr:nvPicPr>
        <xdr:cNvPr id="4" name="Imagen 3">
          <a:extLst>
            <a:ext uri="{FF2B5EF4-FFF2-40B4-BE49-F238E27FC236}">
              <a16:creationId xmlns:a16="http://schemas.microsoft.com/office/drawing/2014/main" id="{D66D2872-A139-4D77-9B13-58B0E9DE92D0}"/>
            </a:ext>
          </a:extLst>
        </xdr:cNvPr>
        <xdr:cNvPicPr>
          <a:picLocks noChangeAspect="1"/>
        </xdr:cNvPicPr>
      </xdr:nvPicPr>
      <xdr:blipFill>
        <a:blip xmlns:r="http://schemas.openxmlformats.org/officeDocument/2006/relationships" r:embed="rId3"/>
        <a:stretch>
          <a:fillRect/>
        </a:stretch>
      </xdr:blipFill>
      <xdr:spPr>
        <a:xfrm>
          <a:off x="60921900" y="1524000"/>
          <a:ext cx="2819048" cy="2083000"/>
        </a:xfrm>
        <a:prstGeom prst="rect">
          <a:avLst/>
        </a:prstGeom>
      </xdr:spPr>
    </xdr:pic>
    <xdr:clientData/>
  </xdr:oneCellAnchor>
  <xdr:oneCellAnchor>
    <xdr:from>
      <xdr:col>40</xdr:col>
      <xdr:colOff>503249</xdr:colOff>
      <xdr:row>85</xdr:row>
      <xdr:rowOff>139930</xdr:rowOff>
    </xdr:from>
    <xdr:ext cx="2293936" cy="2426076"/>
    <xdr:pic>
      <xdr:nvPicPr>
        <xdr:cNvPr id="5" name="Imagen 4">
          <a:extLst>
            <a:ext uri="{FF2B5EF4-FFF2-40B4-BE49-F238E27FC236}">
              <a16:creationId xmlns:a16="http://schemas.microsoft.com/office/drawing/2014/main" id="{FD3E4B32-0758-450A-B90C-BED9893AEDB7}"/>
            </a:ext>
          </a:extLst>
        </xdr:cNvPr>
        <xdr:cNvPicPr>
          <a:picLocks noChangeAspect="1"/>
        </xdr:cNvPicPr>
      </xdr:nvPicPr>
      <xdr:blipFill>
        <a:blip xmlns:r="http://schemas.openxmlformats.org/officeDocument/2006/relationships" r:embed="rId4"/>
        <a:stretch>
          <a:fillRect/>
        </a:stretch>
      </xdr:blipFill>
      <xdr:spPr>
        <a:xfrm>
          <a:off x="32450099" y="16341955"/>
          <a:ext cx="2293936" cy="2426076"/>
        </a:xfrm>
        <a:prstGeom prst="rect">
          <a:avLst/>
        </a:prstGeom>
      </xdr:spPr>
    </xdr:pic>
    <xdr:clientData/>
  </xdr:oneCellAnchor>
  <xdr:oneCellAnchor>
    <xdr:from>
      <xdr:col>44</xdr:col>
      <xdr:colOff>139466</xdr:colOff>
      <xdr:row>88</xdr:row>
      <xdr:rowOff>55151</xdr:rowOff>
    </xdr:from>
    <xdr:ext cx="3195129" cy="2473387"/>
    <xdr:pic>
      <xdr:nvPicPr>
        <xdr:cNvPr id="6" name="Imagen 5">
          <a:extLst>
            <a:ext uri="{FF2B5EF4-FFF2-40B4-BE49-F238E27FC236}">
              <a16:creationId xmlns:a16="http://schemas.microsoft.com/office/drawing/2014/main" id="{AAC507F9-733B-402A-8FA0-88269C99DBF4}"/>
            </a:ext>
          </a:extLst>
        </xdr:cNvPr>
        <xdr:cNvPicPr>
          <a:picLocks noChangeAspect="1"/>
        </xdr:cNvPicPr>
      </xdr:nvPicPr>
      <xdr:blipFill>
        <a:blip xmlns:r="http://schemas.openxmlformats.org/officeDocument/2006/relationships" r:embed="rId5"/>
        <a:stretch>
          <a:fillRect/>
        </a:stretch>
      </xdr:blipFill>
      <xdr:spPr>
        <a:xfrm>
          <a:off x="35058116" y="16828676"/>
          <a:ext cx="3195129" cy="2473387"/>
        </a:xfrm>
        <a:prstGeom prst="rect">
          <a:avLst/>
        </a:prstGeom>
      </xdr:spPr>
    </xdr:pic>
    <xdr:clientData/>
  </xdr:oneCellAnchor>
  <xdr:twoCellAnchor editAs="oneCell">
    <xdr:from>
      <xdr:col>1</xdr:col>
      <xdr:colOff>0</xdr:colOff>
      <xdr:row>5</xdr:row>
      <xdr:rowOff>0</xdr:rowOff>
    </xdr:from>
    <xdr:to>
      <xdr:col>11</xdr:col>
      <xdr:colOff>377527</xdr:colOff>
      <xdr:row>45</xdr:row>
      <xdr:rowOff>80122</xdr:rowOff>
    </xdr:to>
    <xdr:pic>
      <xdr:nvPicPr>
        <xdr:cNvPr id="7" name="Imagen 6">
          <a:extLst>
            <a:ext uri="{FF2B5EF4-FFF2-40B4-BE49-F238E27FC236}">
              <a16:creationId xmlns:a16="http://schemas.microsoft.com/office/drawing/2014/main" id="{EF69F86A-705E-4124-80BF-B3D7E734A448}"/>
            </a:ext>
          </a:extLst>
        </xdr:cNvPr>
        <xdr:cNvPicPr>
          <a:picLocks noChangeAspect="1"/>
        </xdr:cNvPicPr>
      </xdr:nvPicPr>
      <xdr:blipFill>
        <a:blip xmlns:r="http://schemas.openxmlformats.org/officeDocument/2006/relationships" r:embed="rId6"/>
        <a:stretch>
          <a:fillRect/>
        </a:stretch>
      </xdr:blipFill>
      <xdr:spPr>
        <a:xfrm>
          <a:off x="742950" y="952500"/>
          <a:ext cx="7807027" cy="770012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javerianacaliedu-my.sharepoint.com/personal/jzamora18_javerianacali_edu_co/Documents/TRABAJO/INGECOM/4.0%20ISE%20CASA%2030/MEMORIA%20DE%20C&#193;LCULO/M.C.%20Edificio%20Casa%203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2019\01_19_ACERO\19_38_BODEGA%20BAVARIA\M.C\ZAPATA%20BODEGA%20BAVARI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OS%20ING/JULIAN-EQ/FORMATO%20CANTIDADES/2011/--/AVALUO%20DE%20CARGA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018/02_CONCRETO/18_39_LIVING%20APARTAESTUDIOS/M.C/18_39_M.C.Living_05_07_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
      <sheetName val="PORTADA"/>
      <sheetName val="INFO."/>
      <sheetName val="A.2"/>
      <sheetName val="MZSC"/>
      <sheetName val="C.9"/>
      <sheetName val="W"/>
      <sheetName val="MODAL"/>
      <sheetName val="A.4"/>
      <sheetName val="A.5"/>
      <sheetName val="CG"/>
      <sheetName val="A.6"/>
      <sheetName val="A.3"/>
      <sheetName val="1P"/>
      <sheetName val="A.12"/>
      <sheetName val="COL"/>
      <sheetName val="CW"/>
      <sheetName val="W_V"/>
      <sheetName val="W_RM"/>
      <sheetName val="VIGAS"/>
      <sheetName val="PESO LOSA"/>
      <sheetName val="B.D. P 1"/>
      <sheetName val="B.D.P.2"/>
      <sheetName val="T. E"/>
      <sheetName val="T. E (2)"/>
      <sheetName val="rmin"/>
      <sheetName val="V. W"/>
      <sheetName val="B_Z"/>
      <sheetName val="V. W (2)"/>
      <sheetName val="CIMENTACION"/>
      <sheetName val="ANEXOS"/>
      <sheetName val="Hoja1"/>
      <sheetName val="Hoja2"/>
    </sheetNames>
    <sheetDataSet>
      <sheetData sheetId="0"/>
      <sheetData sheetId="1">
        <row r="13">
          <cell r="AN13" t="str">
            <v>Casa 30 Condado de La Rivera</v>
          </cell>
        </row>
      </sheetData>
      <sheetData sheetId="2">
        <row r="11">
          <cell r="BF11">
            <v>28</v>
          </cell>
        </row>
        <row r="12">
          <cell r="V12" t="str">
            <v>I</v>
          </cell>
          <cell r="BF12">
            <v>28</v>
          </cell>
        </row>
        <row r="15">
          <cell r="V15">
            <v>9.1</v>
          </cell>
          <cell r="BF15">
            <v>28</v>
          </cell>
        </row>
        <row r="20">
          <cell r="V20" t="str">
            <v>ZONA 4E</v>
          </cell>
          <cell r="BF20">
            <v>420</v>
          </cell>
        </row>
        <row r="21">
          <cell r="V21" t="str">
            <v>127.53 Kpa</v>
          </cell>
        </row>
        <row r="29">
          <cell r="AK29">
            <v>7</v>
          </cell>
          <cell r="BF29" t="str">
            <v/>
          </cell>
          <cell r="CA29">
            <v>10</v>
          </cell>
        </row>
        <row r="30">
          <cell r="BF30">
            <v>18</v>
          </cell>
          <cell r="CA30">
            <v>12.7</v>
          </cell>
        </row>
        <row r="32">
          <cell r="BF32" t="e">
            <v>#REF!</v>
          </cell>
          <cell r="CA32">
            <v>390</v>
          </cell>
        </row>
        <row r="33">
          <cell r="BF33">
            <v>190</v>
          </cell>
          <cell r="CA33">
            <v>0.8</v>
          </cell>
        </row>
        <row r="37">
          <cell r="BN37">
            <v>11.224806201550388</v>
          </cell>
        </row>
        <row r="44">
          <cell r="BY44" t="e">
            <v>#REF!</v>
          </cell>
        </row>
        <row r="50">
          <cell r="AK50">
            <v>39.090000000000003</v>
          </cell>
        </row>
        <row r="51">
          <cell r="AK51">
            <v>16.260000000000002</v>
          </cell>
        </row>
        <row r="52">
          <cell r="BP52">
            <v>23544</v>
          </cell>
        </row>
      </sheetData>
      <sheetData sheetId="3">
        <row r="11">
          <cell r="AC11">
            <v>0.25</v>
          </cell>
        </row>
        <row r="61">
          <cell r="AI61">
            <v>0.91</v>
          </cell>
        </row>
        <row r="76">
          <cell r="AK76">
            <v>1.81</v>
          </cell>
        </row>
        <row r="96">
          <cell r="Z96">
            <v>0.19890109890109892</v>
          </cell>
        </row>
      </sheetData>
      <sheetData sheetId="4"/>
      <sheetData sheetId="5"/>
      <sheetData sheetId="6">
        <row r="8">
          <cell r="AN8">
            <v>9.81</v>
          </cell>
        </row>
      </sheetData>
      <sheetData sheetId="7"/>
      <sheetData sheetId="8">
        <row r="13">
          <cell r="U13">
            <v>4.9000000000000002E-2</v>
          </cell>
          <cell r="AA13">
            <v>0.75</v>
          </cell>
          <cell r="AF13">
            <v>0.2567302976182585</v>
          </cell>
        </row>
        <row r="18">
          <cell r="AM18">
            <v>0.2567302976182585</v>
          </cell>
        </row>
        <row r="19">
          <cell r="AM19">
            <v>0.2567302976182585</v>
          </cell>
        </row>
        <row r="21">
          <cell r="J21">
            <v>1.2069999999999999</v>
          </cell>
        </row>
        <row r="22">
          <cell r="AF22">
            <v>0.56879999999999997</v>
          </cell>
        </row>
        <row r="29">
          <cell r="D29">
            <v>1</v>
          </cell>
        </row>
        <row r="32">
          <cell r="AC32"/>
        </row>
        <row r="33">
          <cell r="AH33" t="str">
            <v/>
          </cell>
        </row>
      </sheetData>
      <sheetData sheetId="9">
        <row r="28">
          <cell r="AL28">
            <v>1.8927809700737206</v>
          </cell>
        </row>
        <row r="29">
          <cell r="AL29">
            <v>2.208233649642581</v>
          </cell>
        </row>
      </sheetData>
      <sheetData sheetId="10">
        <row r="9">
          <cell r="BN9">
            <v>0.5</v>
          </cell>
          <cell r="CA9">
            <v>144</v>
          </cell>
        </row>
        <row r="55">
          <cell r="BK55" t="e">
            <v>#REF!</v>
          </cell>
          <cell r="BR55">
            <v>0</v>
          </cell>
        </row>
        <row r="56">
          <cell r="BA56">
            <v>7.9761701108644549E-4</v>
          </cell>
        </row>
        <row r="63">
          <cell r="BR63" t="str">
            <v>AREA PRIMER NIVEL</v>
          </cell>
        </row>
        <row r="163">
          <cell r="BA163">
            <v>7.0458776324646745E-4</v>
          </cell>
        </row>
      </sheetData>
      <sheetData sheetId="11"/>
      <sheetData sheetId="12">
        <row r="54">
          <cell r="CZ54">
            <v>0.75</v>
          </cell>
        </row>
        <row r="60">
          <cell r="X60">
            <v>0.8</v>
          </cell>
          <cell r="BH60">
            <v>1</v>
          </cell>
          <cell r="BW60">
            <v>4.2</v>
          </cell>
        </row>
      </sheetData>
      <sheetData sheetId="13"/>
      <sheetData sheetId="14">
        <row r="10">
          <cell r="AM10">
            <v>0.06</v>
          </cell>
        </row>
        <row r="138">
          <cell r="AF138">
            <v>0.10415999999999999</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8">
          <cell r="R8">
            <v>0.03</v>
          </cell>
        </row>
      </sheetData>
      <sheetData sheetId="30"/>
      <sheetData sheetId="31"/>
      <sheetData sheetId="3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IGERADA"/>
      <sheetName val="W ALIGERADA"/>
      <sheetName val="MACIZA"/>
      <sheetName val="W MACIZA"/>
      <sheetName val="P. FACIL"/>
      <sheetName val="WSL"/>
      <sheetName val="DX"/>
      <sheetName val="EJERCICIO"/>
      <sheetName val="BALCONES"/>
      <sheetName val="R VOLADIZO"/>
      <sheetName val="R. MACIZA"/>
      <sheetName val="Z4"/>
      <sheetName val="Z2"/>
      <sheetName val="Z3"/>
      <sheetName val="Z1"/>
      <sheetName val="z6"/>
      <sheetName val="VAmarre"/>
    </sheetNames>
    <sheetDataSet>
      <sheetData sheetId="0">
        <row r="18">
          <cell r="AM18">
            <v>0.5</v>
          </cell>
        </row>
        <row r="20">
          <cell r="AD20">
            <v>0.14000000000000001</v>
          </cell>
        </row>
        <row r="22">
          <cell r="AM22">
            <v>1.2</v>
          </cell>
        </row>
        <row r="37">
          <cell r="AM37">
            <v>9.166666666666666E-2</v>
          </cell>
        </row>
      </sheetData>
      <sheetData sheetId="1"/>
      <sheetData sheetId="2"/>
      <sheetData sheetId="3"/>
      <sheetData sheetId="4"/>
      <sheetData sheetId="5"/>
      <sheetData sheetId="6">
        <row r="20">
          <cell r="G20" t="e">
            <v>#REF!</v>
          </cell>
        </row>
        <row r="23">
          <cell r="G23">
            <v>0.02</v>
          </cell>
        </row>
        <row r="26">
          <cell r="G26">
            <v>1.0391461973679151E-3</v>
          </cell>
        </row>
        <row r="27">
          <cell r="G27">
            <v>1.0416666666666666E-2</v>
          </cell>
        </row>
        <row r="29">
          <cell r="G29">
            <v>21538.105766292447</v>
          </cell>
        </row>
        <row r="31">
          <cell r="G31">
            <v>200000</v>
          </cell>
        </row>
        <row r="32">
          <cell r="G32">
            <v>2.8411969308726208</v>
          </cell>
        </row>
        <row r="33">
          <cell r="G33">
            <v>118383.20545302586</v>
          </cell>
        </row>
        <row r="38">
          <cell r="G38" t="e">
            <v>#NAME?</v>
          </cell>
        </row>
        <row r="39">
          <cell r="G39" t="e">
            <v>#NAME?</v>
          </cell>
        </row>
        <row r="45">
          <cell r="N45" t="e">
            <v>#REF!</v>
          </cell>
        </row>
        <row r="53">
          <cell r="N53" t="e">
            <v>#REF!</v>
          </cell>
        </row>
      </sheetData>
      <sheetData sheetId="7"/>
      <sheetData sheetId="8">
        <row r="12">
          <cell r="G12">
            <v>21000</v>
          </cell>
        </row>
        <row r="13">
          <cell r="G13">
            <v>420000</v>
          </cell>
        </row>
        <row r="30">
          <cell r="N30" t="e">
            <v>#REF!</v>
          </cell>
        </row>
        <row r="31">
          <cell r="N31" t="e">
            <v>#REF!</v>
          </cell>
        </row>
        <row r="32">
          <cell r="N32" t="e">
            <v>#REF!</v>
          </cell>
        </row>
      </sheetData>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GAS LOSA"/>
      <sheetName val="CARGAS CUBIERTA"/>
      <sheetName val="SISMO"/>
      <sheetName val="DINAMICO"/>
      <sheetName val="VIENTO SIMPLE"/>
      <sheetName val="VIENTO COMPLETO"/>
      <sheetName val="Cp Simple"/>
      <sheetName val="Cp Completo"/>
      <sheetName val="Mapa"/>
      <sheetName val="Hoja2"/>
      <sheetName val="Hoja1"/>
    </sheetNames>
    <sheetDataSet>
      <sheetData sheetId="0"/>
      <sheetData sheetId="1"/>
      <sheetData sheetId="2"/>
      <sheetData sheetId="3"/>
      <sheetData sheetId="4"/>
      <sheetData sheetId="5">
        <row r="16">
          <cell r="C16">
            <v>100</v>
          </cell>
        </row>
        <row r="19">
          <cell r="C19">
            <v>1.1000000000000001</v>
          </cell>
        </row>
        <row r="21">
          <cell r="C21">
            <v>0.91</v>
          </cell>
        </row>
        <row r="23">
          <cell r="C23">
            <v>1.05</v>
          </cell>
        </row>
        <row r="25">
          <cell r="C25">
            <v>0.94</v>
          </cell>
        </row>
        <row r="28">
          <cell r="C28">
            <v>105.10500000000003</v>
          </cell>
        </row>
        <row r="33">
          <cell r="C33">
            <v>0.49844339344800026</v>
          </cell>
        </row>
      </sheetData>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_V (2)"/>
      <sheetName val="PORTADA"/>
      <sheetName val="CU"/>
      <sheetName val="INFO."/>
      <sheetName val="A.2"/>
      <sheetName val="MZSC"/>
      <sheetName val="C.9"/>
      <sheetName val="W"/>
      <sheetName val="MODAL"/>
      <sheetName val="A.4"/>
      <sheetName val="A.5"/>
      <sheetName val="CG"/>
      <sheetName val="A.6"/>
      <sheetName val="A.3"/>
      <sheetName val="1P"/>
      <sheetName val="A.12"/>
      <sheetName val="COL"/>
      <sheetName val="CW"/>
      <sheetName val="W_V"/>
      <sheetName val="W_RM"/>
      <sheetName val="VIGAS"/>
      <sheetName val="Hoja1"/>
      <sheetName val="M.E"/>
      <sheetName val="B.D. P 1"/>
      <sheetName val="B.D.P.2"/>
      <sheetName val="T. E"/>
      <sheetName val="T. E (2)"/>
      <sheetName val="rmin"/>
      <sheetName val="V. W"/>
      <sheetName val="B_Z"/>
      <sheetName val="CIMENTACION"/>
      <sheetName val="ANEXOS"/>
    </sheetNames>
    <sheetDataSet>
      <sheetData sheetId="0" refreshError="1"/>
      <sheetData sheetId="1">
        <row r="13">
          <cell r="AN13" t="str">
            <v>LIVING APARTAESTUDIOS</v>
          </cell>
        </row>
      </sheetData>
      <sheetData sheetId="2" refreshError="1"/>
      <sheetData sheetId="3">
        <row r="4">
          <cell r="Q4" t="str">
            <v>Ing. Karl Narváez</v>
          </cell>
        </row>
      </sheetData>
      <sheetData sheetId="4">
        <row r="10">
          <cell r="AC10">
            <v>0.25</v>
          </cell>
        </row>
      </sheetData>
      <sheetData sheetId="5" refreshError="1"/>
      <sheetData sheetId="6"/>
      <sheetData sheetId="7">
        <row r="8">
          <cell r="AN8">
            <v>9.81</v>
          </cell>
        </row>
      </sheetData>
      <sheetData sheetId="8" refreshError="1"/>
      <sheetData sheetId="9">
        <row r="13">
          <cell r="U13">
            <v>4.9000000000000002E-2</v>
          </cell>
        </row>
      </sheetData>
      <sheetData sheetId="10">
        <row r="13">
          <cell r="I13">
            <v>1.0149999999999999</v>
          </cell>
        </row>
      </sheetData>
      <sheetData sheetId="11">
        <row r="9">
          <cell r="BN9">
            <v>0.5</v>
          </cell>
        </row>
      </sheetData>
      <sheetData sheetId="12" refreshError="1"/>
      <sheetData sheetId="13">
        <row r="54">
          <cell r="CZ54">
            <v>0.75</v>
          </cell>
        </row>
      </sheetData>
      <sheetData sheetId="14" refreshError="1"/>
      <sheetData sheetId="15">
        <row r="10">
          <cell r="AM10">
            <v>0.06</v>
          </cell>
        </row>
      </sheetData>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ow r="8">
          <cell r="R8">
            <v>0.03</v>
          </cell>
        </row>
      </sheetData>
      <sheetData sheetId="31"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7C559-DC5B-48ED-82C7-A024A43A7E44}">
  <dimension ref="A1:U65"/>
  <sheetViews>
    <sheetView workbookViewId="0">
      <selection activeCell="I38" sqref="I38"/>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211" t="s">
        <v>5</v>
      </c>
      <c r="B1" s="212"/>
      <c r="C1" s="212"/>
      <c r="D1" s="212"/>
      <c r="E1" s="213"/>
      <c r="F1" s="217" t="s">
        <v>0</v>
      </c>
      <c r="G1" s="210"/>
      <c r="H1" s="217"/>
      <c r="I1" s="209"/>
      <c r="J1" s="209"/>
      <c r="K1" s="209"/>
      <c r="L1" s="209"/>
      <c r="M1" s="209"/>
      <c r="N1" s="210"/>
      <c r="O1" s="221" t="s">
        <v>2</v>
      </c>
      <c r="P1" s="222"/>
      <c r="Q1" s="222"/>
      <c r="R1" s="222"/>
      <c r="S1" s="222"/>
      <c r="T1" s="222"/>
      <c r="U1" s="223"/>
    </row>
    <row r="2" spans="1:21" x14ac:dyDescent="0.25">
      <c r="A2" s="214"/>
      <c r="B2" s="215"/>
      <c r="C2" s="215"/>
      <c r="D2" s="215"/>
      <c r="E2" s="216"/>
      <c r="F2" s="218"/>
      <c r="G2" s="219"/>
      <c r="H2" s="218"/>
      <c r="I2" s="220"/>
      <c r="J2" s="220"/>
      <c r="K2" s="220"/>
      <c r="L2" s="220"/>
      <c r="M2" s="220"/>
      <c r="N2" s="219"/>
      <c r="O2" s="221" t="s">
        <v>3</v>
      </c>
      <c r="P2" s="222"/>
      <c r="Q2" s="222"/>
      <c r="R2" s="222"/>
      <c r="S2" s="222"/>
      <c r="T2" s="222"/>
      <c r="U2" s="223"/>
    </row>
    <row r="3" spans="1:21" x14ac:dyDescent="0.25">
      <c r="A3" s="214"/>
      <c r="B3" s="215"/>
      <c r="C3" s="215"/>
      <c r="D3" s="215"/>
      <c r="E3" s="216"/>
      <c r="F3" s="217" t="s">
        <v>1</v>
      </c>
      <c r="G3" s="210"/>
      <c r="H3" s="217"/>
      <c r="I3" s="209"/>
      <c r="J3" s="209"/>
      <c r="K3" s="209"/>
      <c r="L3" s="209"/>
      <c r="M3" s="209"/>
      <c r="N3" s="210"/>
      <c r="O3" s="217" t="s">
        <v>4</v>
      </c>
      <c r="P3" s="209"/>
      <c r="Q3" s="209"/>
      <c r="R3" s="209"/>
      <c r="S3" s="209"/>
      <c r="T3" s="209"/>
      <c r="U3" s="210"/>
    </row>
    <row r="4" spans="1:21" ht="13.9" x14ac:dyDescent="0.25">
      <c r="A4" s="2"/>
      <c r="B4" s="3"/>
      <c r="C4" s="3"/>
      <c r="D4" s="3"/>
      <c r="E4" s="3"/>
      <c r="F4" s="3"/>
      <c r="G4" s="3"/>
      <c r="H4" s="3"/>
      <c r="I4" s="3"/>
      <c r="J4" s="3"/>
      <c r="K4" s="3"/>
      <c r="L4" s="3"/>
      <c r="M4" s="3"/>
      <c r="N4" s="3"/>
      <c r="O4" s="3"/>
      <c r="P4" s="3"/>
      <c r="Q4" s="3"/>
      <c r="R4" s="3"/>
      <c r="S4" s="3"/>
      <c r="T4" s="3"/>
      <c r="U4" s="4"/>
    </row>
    <row r="5" spans="1:21" ht="13.9" x14ac:dyDescent="0.25">
      <c r="A5" s="5"/>
      <c r="B5" s="6"/>
      <c r="C5" s="6"/>
      <c r="D5" s="6"/>
      <c r="E5" s="6"/>
      <c r="F5" s="6"/>
      <c r="G5" s="6"/>
      <c r="H5" s="6"/>
      <c r="I5" s="6"/>
      <c r="J5" s="6"/>
      <c r="U5" s="7"/>
    </row>
    <row r="6" spans="1:21" ht="13.9" x14ac:dyDescent="0.25">
      <c r="A6" s="5"/>
      <c r="B6" s="6"/>
      <c r="C6" s="6"/>
      <c r="D6" s="6"/>
      <c r="E6" s="6"/>
      <c r="F6" s="6"/>
      <c r="G6" s="6"/>
      <c r="H6" s="6"/>
      <c r="I6" s="6"/>
      <c r="J6" s="6"/>
      <c r="U6" s="7"/>
    </row>
    <row r="7" spans="1:21" ht="13.9" x14ac:dyDescent="0.25">
      <c r="A7" s="5"/>
      <c r="B7" s="6"/>
      <c r="C7" s="6"/>
      <c r="D7" s="6"/>
      <c r="E7" s="6"/>
      <c r="F7" s="6"/>
      <c r="G7" s="6"/>
      <c r="H7" s="6"/>
      <c r="I7" s="6"/>
      <c r="J7" s="6"/>
      <c r="U7" s="7"/>
    </row>
    <row r="8" spans="1:21" ht="13.9" x14ac:dyDescent="0.25">
      <c r="A8" s="5"/>
      <c r="B8" s="6"/>
      <c r="C8" s="6"/>
      <c r="D8" s="6"/>
      <c r="E8" s="6"/>
      <c r="F8" s="6"/>
      <c r="G8" s="6"/>
      <c r="H8" s="6"/>
      <c r="I8" s="6"/>
      <c r="J8" s="6"/>
      <c r="U8" s="7"/>
    </row>
    <row r="9" spans="1:21" ht="13.9" x14ac:dyDescent="0.25">
      <c r="A9" s="5"/>
      <c r="B9" s="6"/>
      <c r="C9" s="6"/>
      <c r="D9" s="6"/>
      <c r="E9" s="6"/>
      <c r="F9" s="6"/>
      <c r="G9" s="6"/>
      <c r="H9" s="6"/>
      <c r="I9" s="6"/>
      <c r="J9" s="6"/>
      <c r="U9" s="7"/>
    </row>
    <row r="10" spans="1:21" ht="13.9" x14ac:dyDescent="0.25">
      <c r="A10" s="5"/>
      <c r="B10" s="6"/>
      <c r="C10" s="6"/>
      <c r="D10" s="6"/>
      <c r="E10" s="6"/>
      <c r="F10" s="6"/>
      <c r="G10" s="6"/>
      <c r="H10" s="6"/>
      <c r="I10" s="6"/>
      <c r="J10" s="6"/>
      <c r="U10" s="7"/>
    </row>
    <row r="11" spans="1:21" ht="13.9" x14ac:dyDescent="0.25">
      <c r="A11" s="5"/>
      <c r="B11" s="6"/>
      <c r="C11" s="6"/>
      <c r="D11" s="6"/>
      <c r="E11" s="6"/>
      <c r="F11" s="6"/>
      <c r="G11" s="6"/>
      <c r="H11" s="6"/>
      <c r="I11" s="6"/>
      <c r="J11" s="6"/>
      <c r="U11" s="7"/>
    </row>
    <row r="12" spans="1:21" ht="13.9" x14ac:dyDescent="0.25">
      <c r="A12" s="5"/>
      <c r="B12" s="6"/>
      <c r="C12" s="6"/>
      <c r="D12" s="6"/>
      <c r="E12" s="6"/>
      <c r="F12" s="6"/>
      <c r="G12" s="6"/>
      <c r="H12" s="6"/>
      <c r="I12" s="6"/>
      <c r="J12" s="6"/>
      <c r="U12" s="7"/>
    </row>
    <row r="13" spans="1:21" ht="13.9" x14ac:dyDescent="0.25">
      <c r="A13" s="5"/>
      <c r="B13" s="6"/>
      <c r="C13" s="6"/>
      <c r="D13" s="6"/>
      <c r="E13" s="6"/>
      <c r="F13" s="6"/>
      <c r="G13" s="6"/>
      <c r="H13" s="6"/>
      <c r="I13" s="6"/>
      <c r="J13" s="6"/>
      <c r="U13" s="7"/>
    </row>
    <row r="14" spans="1:21" ht="13.9" x14ac:dyDescent="0.25">
      <c r="A14" s="5"/>
      <c r="B14" s="6"/>
      <c r="C14" s="6"/>
      <c r="D14" s="6"/>
      <c r="E14" s="6"/>
      <c r="F14" s="6"/>
      <c r="G14" s="6"/>
      <c r="H14" s="6"/>
      <c r="I14" s="6"/>
      <c r="J14" s="6"/>
      <c r="U14" s="7"/>
    </row>
    <row r="15" spans="1:21" ht="13.9" x14ac:dyDescent="0.25">
      <c r="A15" s="5"/>
      <c r="B15" s="6"/>
      <c r="C15" s="6"/>
      <c r="D15" s="6"/>
      <c r="E15" s="6"/>
      <c r="F15" s="6"/>
      <c r="G15" s="6"/>
      <c r="H15" s="6"/>
      <c r="I15" s="6"/>
      <c r="J15" s="6"/>
      <c r="U15" s="7"/>
    </row>
    <row r="16" spans="1:21" ht="13.9" x14ac:dyDescent="0.25">
      <c r="A16" s="5"/>
      <c r="B16" s="6"/>
      <c r="C16" s="6"/>
      <c r="D16" s="6"/>
      <c r="E16" s="6"/>
      <c r="F16" s="6"/>
      <c r="G16" s="6"/>
      <c r="H16" s="6"/>
      <c r="I16" s="6"/>
      <c r="J16" s="6"/>
      <c r="U16" s="7"/>
    </row>
    <row r="17" spans="1:21" ht="13.9" x14ac:dyDescent="0.25">
      <c r="A17" s="5"/>
      <c r="B17" s="6"/>
      <c r="C17" s="6"/>
      <c r="D17" s="6"/>
      <c r="E17" s="6"/>
      <c r="F17" s="6"/>
      <c r="G17" s="6"/>
      <c r="H17" s="6"/>
      <c r="I17" s="6"/>
      <c r="J17" s="6"/>
      <c r="U17" s="7"/>
    </row>
    <row r="18" spans="1:21" ht="13.9" x14ac:dyDescent="0.25">
      <c r="A18" s="5"/>
      <c r="B18" s="6"/>
      <c r="C18" s="6"/>
      <c r="D18" s="6"/>
      <c r="E18" s="6"/>
      <c r="F18" s="6"/>
      <c r="G18" s="6"/>
      <c r="H18" s="6"/>
      <c r="I18" s="6"/>
      <c r="J18" s="6"/>
      <c r="U18" s="7"/>
    </row>
    <row r="19" spans="1:21" ht="13.9" x14ac:dyDescent="0.25">
      <c r="A19" s="5"/>
      <c r="B19" s="6"/>
      <c r="C19" s="6"/>
      <c r="D19" s="6"/>
      <c r="E19" s="6"/>
      <c r="F19" s="6"/>
      <c r="G19" s="6"/>
      <c r="H19" s="6"/>
      <c r="I19" s="6"/>
      <c r="J19" s="6"/>
      <c r="U19" s="7"/>
    </row>
    <row r="20" spans="1:21" ht="13.9" x14ac:dyDescent="0.25">
      <c r="A20" s="5"/>
      <c r="B20" s="6"/>
      <c r="C20" s="6"/>
      <c r="D20" s="6"/>
      <c r="E20" s="6"/>
      <c r="F20" s="6"/>
      <c r="G20" s="6"/>
      <c r="H20" s="6"/>
      <c r="I20" s="6"/>
      <c r="J20" s="6"/>
      <c r="U20" s="7"/>
    </row>
    <row r="21" spans="1:21" ht="13.9" x14ac:dyDescent="0.25">
      <c r="A21" s="5"/>
      <c r="B21" s="6"/>
      <c r="C21" s="6"/>
      <c r="D21" s="6"/>
      <c r="E21" s="6"/>
      <c r="F21" s="6"/>
      <c r="G21" s="6"/>
      <c r="H21" s="6"/>
      <c r="I21" s="6"/>
      <c r="J21" s="6"/>
      <c r="U21" s="7"/>
    </row>
    <row r="22" spans="1:21" ht="13.9" x14ac:dyDescent="0.25">
      <c r="A22" s="5"/>
      <c r="B22" s="6"/>
      <c r="C22" s="6"/>
      <c r="D22" s="6"/>
      <c r="E22" s="6"/>
      <c r="F22" s="6"/>
      <c r="G22" s="6"/>
      <c r="H22" s="6"/>
      <c r="I22" s="6"/>
      <c r="J22" s="6"/>
      <c r="U22" s="7"/>
    </row>
    <row r="23" spans="1:21" ht="13.9" x14ac:dyDescent="0.25">
      <c r="A23" s="5"/>
      <c r="B23" s="6"/>
      <c r="C23" s="6"/>
      <c r="D23" s="6"/>
      <c r="E23" s="6"/>
      <c r="F23" s="6"/>
      <c r="G23" s="6"/>
      <c r="H23" s="6"/>
      <c r="I23" s="6"/>
      <c r="J23" s="6"/>
      <c r="U23" s="7"/>
    </row>
    <row r="24" spans="1:21" ht="13.9" x14ac:dyDescent="0.25">
      <c r="A24" s="5"/>
      <c r="B24" s="6"/>
      <c r="C24" s="6"/>
      <c r="D24" s="6"/>
      <c r="E24" s="6"/>
      <c r="F24" s="6"/>
      <c r="G24" s="6"/>
      <c r="H24" s="6"/>
      <c r="I24" s="6"/>
      <c r="J24" s="6"/>
      <c r="U24" s="7"/>
    </row>
    <row r="25" spans="1:21" ht="13.9" x14ac:dyDescent="0.25">
      <c r="A25" s="5"/>
      <c r="B25" s="6"/>
      <c r="C25" s="6"/>
      <c r="D25" s="6"/>
      <c r="E25" s="6"/>
      <c r="F25" s="6"/>
      <c r="G25" s="6"/>
      <c r="H25" s="6"/>
      <c r="I25" s="6"/>
      <c r="J25" s="6"/>
      <c r="U25" s="7"/>
    </row>
    <row r="26" spans="1:21" ht="13.9" x14ac:dyDescent="0.25">
      <c r="A26" s="5"/>
      <c r="B26" s="6"/>
      <c r="C26" s="6"/>
      <c r="D26" s="6"/>
      <c r="E26" s="6"/>
      <c r="F26" s="6"/>
      <c r="G26" s="6"/>
      <c r="H26" s="6"/>
      <c r="I26" s="6"/>
      <c r="J26" s="6"/>
      <c r="U26" s="7"/>
    </row>
    <row r="27" spans="1:21" ht="13.9" x14ac:dyDescent="0.25">
      <c r="A27" s="5"/>
      <c r="B27" s="6"/>
      <c r="C27" s="6"/>
      <c r="D27" s="6"/>
      <c r="E27" s="6"/>
      <c r="F27" s="6"/>
      <c r="G27" s="6"/>
      <c r="H27" s="6"/>
      <c r="I27" s="6"/>
      <c r="J27" s="6"/>
      <c r="U27" s="7"/>
    </row>
    <row r="28" spans="1:21" ht="13.9" x14ac:dyDescent="0.25">
      <c r="A28" s="5"/>
      <c r="B28" s="6"/>
      <c r="C28" s="6"/>
      <c r="D28" s="6"/>
      <c r="E28" s="6"/>
      <c r="F28" s="6"/>
      <c r="G28" s="6"/>
      <c r="H28" s="6"/>
      <c r="I28" s="6"/>
      <c r="J28" s="6"/>
      <c r="U28" s="7"/>
    </row>
    <row r="29" spans="1:21" ht="13.9" x14ac:dyDescent="0.25">
      <c r="A29" s="5"/>
      <c r="B29" s="6"/>
      <c r="C29" s="6"/>
      <c r="D29" s="6"/>
      <c r="E29" s="6"/>
      <c r="F29" s="6"/>
      <c r="G29" s="6"/>
      <c r="H29" s="6"/>
      <c r="I29" s="6"/>
      <c r="J29" s="6"/>
      <c r="U29" s="7"/>
    </row>
    <row r="30" spans="1:21" ht="13.9" x14ac:dyDescent="0.25">
      <c r="A30" s="5"/>
      <c r="B30" s="6"/>
      <c r="C30" s="6"/>
      <c r="D30" s="6"/>
      <c r="E30" s="6"/>
      <c r="F30" s="6"/>
      <c r="G30" s="6"/>
      <c r="H30" s="6"/>
      <c r="I30" s="6"/>
      <c r="J30" s="6"/>
      <c r="U30" s="7"/>
    </row>
    <row r="31" spans="1:21" ht="13.9" x14ac:dyDescent="0.25">
      <c r="A31" s="5"/>
      <c r="B31" s="6"/>
      <c r="C31" s="6"/>
      <c r="D31" s="6"/>
      <c r="E31" s="6"/>
      <c r="F31" s="6"/>
      <c r="G31" s="6"/>
      <c r="H31" s="6"/>
      <c r="I31" s="6"/>
      <c r="J31" s="6"/>
      <c r="U31" s="7"/>
    </row>
    <row r="32" spans="1:21" ht="13.9" x14ac:dyDescent="0.25">
      <c r="A32" s="5"/>
      <c r="B32" s="6"/>
      <c r="C32" s="6"/>
      <c r="D32" s="6"/>
      <c r="E32" s="6"/>
      <c r="F32" s="6"/>
      <c r="G32" s="6"/>
      <c r="H32" s="6"/>
      <c r="I32" s="6"/>
      <c r="J32" s="6"/>
      <c r="U32" s="7"/>
    </row>
    <row r="33" spans="1:21" ht="13.9" x14ac:dyDescent="0.25">
      <c r="A33" s="5"/>
      <c r="B33" s="6"/>
      <c r="C33" s="6"/>
      <c r="D33" s="6"/>
      <c r="E33" s="6"/>
      <c r="F33" s="6"/>
      <c r="G33" s="6"/>
      <c r="H33" s="6"/>
      <c r="I33" s="6"/>
      <c r="J33" s="6"/>
      <c r="U33" s="7"/>
    </row>
    <row r="34" spans="1:21" ht="13.9" x14ac:dyDescent="0.25">
      <c r="A34" s="5"/>
      <c r="B34" s="6"/>
      <c r="C34" s="6"/>
      <c r="D34" s="6"/>
      <c r="E34" s="6"/>
      <c r="F34" s="6"/>
      <c r="G34" s="6"/>
      <c r="H34" s="6"/>
      <c r="I34" s="6"/>
      <c r="J34" s="6"/>
      <c r="U34" s="7"/>
    </row>
    <row r="35" spans="1:21" ht="13.9" x14ac:dyDescent="0.25">
      <c r="A35" s="5"/>
      <c r="B35" s="6"/>
      <c r="C35" s="6"/>
      <c r="D35" s="6"/>
      <c r="E35" s="6"/>
      <c r="F35" s="6"/>
      <c r="G35" s="6"/>
      <c r="H35" s="6"/>
      <c r="I35" s="6"/>
      <c r="J35" s="6"/>
      <c r="U35" s="7"/>
    </row>
    <row r="36" spans="1:21" ht="13.9" x14ac:dyDescent="0.25">
      <c r="A36" s="5"/>
      <c r="B36" s="6"/>
      <c r="C36" s="6"/>
      <c r="D36" s="6"/>
      <c r="E36" s="6"/>
      <c r="F36" s="6"/>
      <c r="G36" s="6"/>
      <c r="H36" s="6"/>
      <c r="I36" s="6"/>
      <c r="J36" s="6"/>
      <c r="U36" s="7"/>
    </row>
    <row r="37" spans="1:21" ht="13.9" x14ac:dyDescent="0.25">
      <c r="A37" s="5"/>
      <c r="B37" s="6"/>
      <c r="C37" s="6"/>
      <c r="D37" s="6"/>
      <c r="E37" s="6"/>
      <c r="F37" s="6"/>
      <c r="G37" s="6"/>
      <c r="H37" s="6"/>
      <c r="I37" s="6"/>
      <c r="J37" s="6"/>
      <c r="U37" s="7"/>
    </row>
    <row r="38" spans="1:21" ht="13.9" x14ac:dyDescent="0.25">
      <c r="A38" s="5"/>
      <c r="B38" s="6"/>
      <c r="C38" s="6"/>
      <c r="D38" s="6"/>
      <c r="E38" s="6"/>
      <c r="F38" s="6"/>
      <c r="G38" s="6"/>
      <c r="H38" s="6"/>
      <c r="I38" s="6"/>
      <c r="J38" s="6"/>
      <c r="U38" s="7"/>
    </row>
    <row r="39" spans="1:21" ht="13.9" x14ac:dyDescent="0.25">
      <c r="A39" s="5"/>
      <c r="B39" s="6"/>
      <c r="C39" s="6"/>
      <c r="D39" s="6"/>
      <c r="E39" s="6"/>
      <c r="F39" s="6"/>
      <c r="G39" s="6"/>
      <c r="H39" s="6"/>
      <c r="I39" s="6"/>
      <c r="J39" s="6"/>
      <c r="U39" s="7"/>
    </row>
    <row r="40" spans="1:21" ht="13.9" x14ac:dyDescent="0.25">
      <c r="A40" s="5"/>
      <c r="B40" s="6"/>
      <c r="C40" s="6"/>
      <c r="D40" s="6"/>
      <c r="E40" s="6"/>
      <c r="F40" s="6"/>
      <c r="G40" s="6"/>
      <c r="H40" s="6"/>
      <c r="I40" s="6"/>
      <c r="J40" s="6"/>
      <c r="U40" s="7"/>
    </row>
    <row r="41" spans="1:21" ht="13.9" x14ac:dyDescent="0.25">
      <c r="A41" s="5"/>
      <c r="B41" s="6"/>
      <c r="C41" s="6"/>
      <c r="D41" s="6"/>
      <c r="E41" s="6"/>
      <c r="F41" s="6"/>
      <c r="G41" s="6"/>
      <c r="H41" s="6"/>
      <c r="I41" s="6"/>
      <c r="J41" s="6"/>
      <c r="U41" s="7"/>
    </row>
    <row r="42" spans="1:21" ht="13.9" x14ac:dyDescent="0.25">
      <c r="A42" s="5"/>
      <c r="B42" s="6"/>
      <c r="C42" s="6"/>
      <c r="D42" s="6"/>
      <c r="E42" s="6"/>
      <c r="F42" s="6"/>
      <c r="G42" s="6"/>
      <c r="H42" s="6"/>
      <c r="I42" s="6"/>
      <c r="J42" s="6"/>
      <c r="U42" s="8"/>
    </row>
    <row r="43" spans="1:21" ht="13.9" x14ac:dyDescent="0.25">
      <c r="A43" s="5"/>
      <c r="B43" s="6"/>
      <c r="C43" s="6"/>
      <c r="D43" s="6"/>
      <c r="E43" s="6"/>
      <c r="F43" s="6"/>
      <c r="G43" s="6"/>
      <c r="H43" s="6"/>
      <c r="I43" s="6"/>
      <c r="J43" s="6"/>
      <c r="U43" s="7"/>
    </row>
    <row r="44" spans="1:21" ht="13.9" x14ac:dyDescent="0.25">
      <c r="A44" s="5"/>
      <c r="B44" s="6"/>
      <c r="C44" s="6"/>
      <c r="D44" s="6"/>
      <c r="E44" s="6"/>
      <c r="F44" s="6"/>
      <c r="G44" s="6"/>
      <c r="H44" s="6"/>
      <c r="I44" s="6"/>
      <c r="J44" s="6"/>
      <c r="U44" s="7"/>
    </row>
    <row r="45" spans="1:21" ht="13.9" x14ac:dyDescent="0.25">
      <c r="A45" s="5"/>
      <c r="B45" s="6"/>
      <c r="C45" s="6"/>
      <c r="D45" s="6"/>
      <c r="E45" s="6"/>
      <c r="F45" s="6"/>
      <c r="G45" s="6"/>
      <c r="H45" s="6"/>
      <c r="I45" s="6"/>
      <c r="J45" s="6"/>
      <c r="U45" s="7"/>
    </row>
    <row r="46" spans="1:21" ht="13.9" x14ac:dyDescent="0.25">
      <c r="A46" s="5"/>
      <c r="B46" s="6"/>
      <c r="C46" s="6"/>
      <c r="D46" s="6"/>
      <c r="E46" s="6"/>
      <c r="F46" s="6"/>
      <c r="G46" s="6"/>
      <c r="H46" s="6"/>
      <c r="I46" s="6"/>
      <c r="J46" s="6"/>
      <c r="U46" s="7"/>
    </row>
    <row r="47" spans="1:21" ht="13.9" x14ac:dyDescent="0.25">
      <c r="A47" s="5"/>
      <c r="B47" s="6"/>
      <c r="C47" s="6"/>
      <c r="D47" s="6"/>
      <c r="E47" s="6"/>
      <c r="F47" s="6"/>
      <c r="G47" s="6"/>
      <c r="H47" s="6"/>
      <c r="I47" s="6"/>
      <c r="J47" s="6"/>
      <c r="U47" s="7"/>
    </row>
    <row r="48" spans="1:21" ht="13.9" x14ac:dyDescent="0.25">
      <c r="A48" s="5"/>
      <c r="B48" s="6"/>
      <c r="C48" s="6"/>
      <c r="D48" s="6"/>
      <c r="E48" s="6"/>
      <c r="F48" s="6"/>
      <c r="G48" s="6"/>
      <c r="H48" s="6"/>
      <c r="I48" s="6"/>
      <c r="J48" s="6"/>
      <c r="U48" s="7"/>
    </row>
    <row r="49" spans="1:21" ht="13.9" x14ac:dyDescent="0.25">
      <c r="A49" s="5"/>
      <c r="B49" s="6"/>
      <c r="C49" s="6"/>
      <c r="D49" s="6"/>
      <c r="E49" s="6"/>
      <c r="F49" s="6"/>
      <c r="G49" s="6"/>
      <c r="H49" s="6"/>
      <c r="I49" s="6"/>
      <c r="J49" s="6"/>
      <c r="U49" s="7"/>
    </row>
    <row r="50" spans="1:21" ht="13.9" x14ac:dyDescent="0.25">
      <c r="A50" s="5"/>
      <c r="B50" s="6"/>
      <c r="C50" s="6"/>
      <c r="D50" s="6"/>
      <c r="E50" s="6"/>
      <c r="F50" s="6"/>
      <c r="G50" s="6"/>
      <c r="H50" s="6"/>
      <c r="I50" s="6"/>
      <c r="J50" s="6"/>
      <c r="U50" s="7"/>
    </row>
    <row r="51" spans="1:21" x14ac:dyDescent="0.25">
      <c r="A51" s="5"/>
      <c r="B51" s="6"/>
      <c r="C51" s="6"/>
      <c r="D51" s="6"/>
      <c r="E51" s="6"/>
      <c r="F51" s="6"/>
      <c r="G51" s="6"/>
      <c r="H51" s="6"/>
      <c r="I51" s="6"/>
      <c r="J51" s="6"/>
      <c r="U51" s="7"/>
    </row>
    <row r="52" spans="1:21" x14ac:dyDescent="0.25">
      <c r="A52" s="5"/>
      <c r="B52" s="6"/>
      <c r="C52" s="6"/>
      <c r="D52" s="6"/>
      <c r="E52" s="6"/>
      <c r="F52" s="6"/>
      <c r="G52" s="6"/>
      <c r="H52" s="6"/>
      <c r="I52" s="6"/>
      <c r="J52" s="6"/>
      <c r="U52" s="7"/>
    </row>
    <row r="53" spans="1:21" x14ac:dyDescent="0.25">
      <c r="A53" s="5"/>
      <c r="B53" s="6"/>
      <c r="C53" s="6"/>
      <c r="D53" s="6"/>
      <c r="E53" s="6"/>
      <c r="F53" s="6"/>
      <c r="G53" s="6"/>
      <c r="H53" s="6"/>
      <c r="I53" s="6"/>
      <c r="J53" s="6"/>
      <c r="U53" s="7"/>
    </row>
    <row r="54" spans="1:21" x14ac:dyDescent="0.25">
      <c r="A54" s="5"/>
      <c r="B54" s="6"/>
      <c r="C54" s="6"/>
      <c r="D54" s="6"/>
      <c r="E54" s="6"/>
      <c r="F54" s="6"/>
      <c r="G54" s="6"/>
      <c r="H54" s="6"/>
      <c r="I54" s="6"/>
      <c r="J54" s="6"/>
      <c r="U54" s="7"/>
    </row>
    <row r="55" spans="1:21" x14ac:dyDescent="0.25">
      <c r="A55" s="5"/>
      <c r="B55" s="6"/>
      <c r="C55" s="6"/>
      <c r="D55" s="6"/>
      <c r="E55" s="6"/>
      <c r="F55" s="6"/>
      <c r="G55" s="6"/>
      <c r="H55" s="6"/>
      <c r="I55" s="6"/>
      <c r="J55" s="6"/>
      <c r="U55" s="7"/>
    </row>
    <row r="56" spans="1:21" x14ac:dyDescent="0.25">
      <c r="A56" s="5"/>
      <c r="B56" s="6"/>
      <c r="C56" s="6"/>
      <c r="D56" s="6"/>
      <c r="E56" s="6"/>
      <c r="F56" s="6"/>
      <c r="G56" s="6"/>
      <c r="H56" s="6"/>
      <c r="I56" s="6"/>
      <c r="J56" s="6"/>
      <c r="U56" s="7"/>
    </row>
    <row r="57" spans="1:21" x14ac:dyDescent="0.25">
      <c r="A57" s="5"/>
      <c r="B57" s="6"/>
      <c r="C57" s="6"/>
      <c r="D57" s="6"/>
      <c r="E57" s="6"/>
      <c r="F57" s="6"/>
      <c r="G57" s="6"/>
      <c r="H57" s="6"/>
      <c r="I57" s="6"/>
      <c r="J57" s="6"/>
      <c r="U57" s="7"/>
    </row>
    <row r="58" spans="1:21" x14ac:dyDescent="0.25">
      <c r="A58" s="5"/>
      <c r="B58" s="6"/>
      <c r="C58" s="6"/>
      <c r="D58" s="6"/>
      <c r="E58" s="6"/>
      <c r="F58" s="6"/>
      <c r="G58" s="6"/>
      <c r="H58" s="6"/>
      <c r="I58" s="6"/>
      <c r="J58" s="6"/>
      <c r="U58" s="7"/>
    </row>
    <row r="59" spans="1:21" x14ac:dyDescent="0.25">
      <c r="A59" s="5"/>
      <c r="U59" s="7"/>
    </row>
    <row r="60" spans="1:21" x14ac:dyDescent="0.25">
      <c r="A60" s="5"/>
      <c r="U60" s="7"/>
    </row>
    <row r="61" spans="1:21" x14ac:dyDescent="0.25">
      <c r="A61" s="5"/>
      <c r="U61" s="7"/>
    </row>
    <row r="62" spans="1:21" x14ac:dyDescent="0.25">
      <c r="A62" s="5"/>
      <c r="B62" s="6"/>
      <c r="C62" s="6"/>
      <c r="D62" s="6"/>
      <c r="E62" s="6"/>
      <c r="F62" s="6"/>
      <c r="G62" s="6"/>
      <c r="H62" s="6"/>
      <c r="I62" s="6"/>
      <c r="J62" s="6"/>
      <c r="U62" s="7"/>
    </row>
    <row r="63" spans="1:21" x14ac:dyDescent="0.25">
      <c r="A63" s="5"/>
      <c r="B63" s="6"/>
      <c r="C63" s="6"/>
      <c r="D63" s="6"/>
      <c r="E63" s="6"/>
      <c r="F63" s="6"/>
      <c r="G63" s="6"/>
      <c r="H63" s="6"/>
      <c r="I63" s="6"/>
      <c r="J63" s="6"/>
      <c r="U63" s="7"/>
    </row>
    <row r="64" spans="1:21" x14ac:dyDescent="0.25">
      <c r="A64" s="5"/>
      <c r="B64" s="6"/>
      <c r="C64" s="6"/>
      <c r="D64" s="6"/>
      <c r="E64" s="6"/>
      <c r="F64" s="6"/>
      <c r="G64" s="6"/>
      <c r="H64" s="6"/>
      <c r="I64" s="6"/>
      <c r="J64" s="6"/>
      <c r="U64" s="7"/>
    </row>
    <row r="65" spans="1:21" x14ac:dyDescent="0.25">
      <c r="A65" s="9"/>
      <c r="B65" s="10"/>
      <c r="C65" s="10"/>
      <c r="D65" s="10"/>
      <c r="E65" s="10"/>
      <c r="F65" s="10"/>
      <c r="G65" s="10"/>
      <c r="H65" s="10"/>
      <c r="I65" s="10"/>
      <c r="J65" s="10"/>
      <c r="K65" s="10"/>
      <c r="L65" s="10"/>
      <c r="M65" s="10"/>
      <c r="N65" s="10"/>
      <c r="O65" s="10"/>
      <c r="P65" s="10"/>
      <c r="Q65" s="10"/>
      <c r="R65" s="10"/>
      <c r="S65" s="10"/>
      <c r="T65" s="10"/>
      <c r="U65" s="11"/>
    </row>
  </sheetData>
  <mergeCells count="11">
    <mergeCell ref="Q3:U3"/>
    <mergeCell ref="A1:E3"/>
    <mergeCell ref="F1:G2"/>
    <mergeCell ref="H1:N2"/>
    <mergeCell ref="O1:P1"/>
    <mergeCell ref="Q1:U1"/>
    <mergeCell ref="O2:P2"/>
    <mergeCell ref="Q2:U2"/>
    <mergeCell ref="F3:G3"/>
    <mergeCell ref="H3:N3"/>
    <mergeCell ref="O3:P3"/>
  </mergeCells>
  <pageMargins left="0.7" right="0.7" top="0.75" bottom="0.75" header="0.3" footer="0.3"/>
  <pageSetup scale="75" fitToWidth="0" fitToHeight="0" orientation="portrait" horizont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01FF3-7E62-4226-BC48-7F80535EA37D}">
  <dimension ref="A1:U65"/>
  <sheetViews>
    <sheetView view="pageBreakPreview" zoomScale="55" zoomScaleNormal="100" zoomScaleSheetLayoutView="55" workbookViewId="0">
      <selection activeCell="AC43" sqref="AC43"/>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73"/>
      <c r="B1" s="74"/>
      <c r="C1" s="74"/>
      <c r="D1" s="74"/>
      <c r="E1" s="74"/>
      <c r="F1" s="72"/>
      <c r="G1" s="72"/>
      <c r="H1" s="72"/>
      <c r="I1" s="72"/>
      <c r="J1" s="72"/>
      <c r="K1" s="72"/>
      <c r="L1" s="72"/>
      <c r="M1" s="72"/>
      <c r="N1" s="72"/>
      <c r="O1" s="72"/>
      <c r="P1" s="72"/>
      <c r="Q1" s="72"/>
      <c r="R1" s="72"/>
      <c r="S1" s="72"/>
      <c r="T1" s="72"/>
      <c r="U1" s="76"/>
    </row>
    <row r="2" spans="1:21" x14ac:dyDescent="0.25">
      <c r="A2" s="75"/>
      <c r="B2" s="224" t="s">
        <v>833</v>
      </c>
      <c r="C2" s="224"/>
      <c r="D2" s="224"/>
      <c r="E2" s="224"/>
      <c r="F2" s="224"/>
      <c r="G2" s="224"/>
      <c r="H2" s="224"/>
      <c r="I2" s="224"/>
      <c r="J2" s="224"/>
      <c r="K2" s="224"/>
      <c r="L2" s="224"/>
      <c r="M2" s="224"/>
      <c r="N2" s="224"/>
      <c r="O2" s="224"/>
      <c r="P2" s="224"/>
      <c r="Q2" s="224"/>
      <c r="R2" s="224"/>
      <c r="S2" s="224"/>
      <c r="T2" s="224"/>
      <c r="U2" s="77"/>
    </row>
    <row r="3" spans="1:21" x14ac:dyDescent="0.25">
      <c r="A3" s="5"/>
      <c r="B3" s="224"/>
      <c r="C3" s="224"/>
      <c r="D3" s="224"/>
      <c r="E3" s="224"/>
      <c r="F3" s="224"/>
      <c r="G3" s="224"/>
      <c r="H3" s="224"/>
      <c r="I3" s="224"/>
      <c r="J3" s="224"/>
      <c r="K3" s="224"/>
      <c r="L3" s="224"/>
      <c r="M3" s="224"/>
      <c r="N3" s="224"/>
      <c r="O3" s="224"/>
      <c r="P3" s="224"/>
      <c r="Q3" s="224"/>
      <c r="R3" s="224"/>
      <c r="S3" s="224"/>
      <c r="T3" s="224"/>
      <c r="U3" s="7"/>
    </row>
    <row r="4" spans="1:21" x14ac:dyDescent="0.25">
      <c r="A4" s="5"/>
      <c r="B4" s="224"/>
      <c r="C4" s="224"/>
      <c r="D4" s="224"/>
      <c r="E4" s="224"/>
      <c r="F4" s="224"/>
      <c r="G4" s="224"/>
      <c r="H4" s="224"/>
      <c r="I4" s="224"/>
      <c r="J4" s="224"/>
      <c r="K4" s="224"/>
      <c r="L4" s="224"/>
      <c r="M4" s="224"/>
      <c r="N4" s="224"/>
      <c r="O4" s="224"/>
      <c r="P4" s="224"/>
      <c r="Q4" s="224"/>
      <c r="R4" s="224"/>
      <c r="S4" s="224"/>
      <c r="T4" s="224"/>
      <c r="U4" s="7"/>
    </row>
    <row r="5" spans="1:21" ht="13.9" customHeight="1" x14ac:dyDescent="0.25">
      <c r="A5" s="5"/>
      <c r="B5" s="224"/>
      <c r="C5" s="224"/>
      <c r="D5" s="224"/>
      <c r="E5" s="224"/>
      <c r="F5" s="224"/>
      <c r="G5" s="224"/>
      <c r="H5" s="224"/>
      <c r="I5" s="224"/>
      <c r="J5" s="224"/>
      <c r="K5" s="224"/>
      <c r="L5" s="224"/>
      <c r="M5" s="224"/>
      <c r="N5" s="224"/>
      <c r="O5" s="224"/>
      <c r="P5" s="224"/>
      <c r="Q5" s="224"/>
      <c r="R5" s="224"/>
      <c r="S5" s="224"/>
      <c r="T5" s="224"/>
      <c r="U5" s="7"/>
    </row>
    <row r="6" spans="1:21" ht="13.9" customHeight="1" x14ac:dyDescent="0.25">
      <c r="A6" s="5"/>
      <c r="B6" s="224"/>
      <c r="C6" s="224"/>
      <c r="D6" s="224"/>
      <c r="E6" s="224"/>
      <c r="F6" s="224"/>
      <c r="G6" s="224"/>
      <c r="H6" s="224"/>
      <c r="I6" s="224"/>
      <c r="J6" s="224"/>
      <c r="K6" s="224"/>
      <c r="L6" s="224"/>
      <c r="M6" s="224"/>
      <c r="N6" s="224"/>
      <c r="O6" s="224"/>
      <c r="P6" s="224"/>
      <c r="Q6" s="224"/>
      <c r="R6" s="224"/>
      <c r="S6" s="224"/>
      <c r="T6" s="224"/>
      <c r="U6" s="7"/>
    </row>
    <row r="7" spans="1:21" ht="13.9" customHeight="1" x14ac:dyDescent="0.25">
      <c r="A7" s="5"/>
      <c r="B7" s="224"/>
      <c r="C7" s="224"/>
      <c r="D7" s="224"/>
      <c r="E7" s="224"/>
      <c r="F7" s="224"/>
      <c r="G7" s="224"/>
      <c r="H7" s="224"/>
      <c r="I7" s="224"/>
      <c r="J7" s="224"/>
      <c r="K7" s="224"/>
      <c r="L7" s="224"/>
      <c r="M7" s="224"/>
      <c r="N7" s="224"/>
      <c r="O7" s="224"/>
      <c r="P7" s="224"/>
      <c r="Q7" s="224"/>
      <c r="R7" s="224"/>
      <c r="S7" s="224"/>
      <c r="T7" s="224"/>
      <c r="U7" s="7"/>
    </row>
    <row r="8" spans="1:21" ht="13.9" customHeight="1" x14ac:dyDescent="0.25">
      <c r="A8" s="5"/>
      <c r="B8" s="224"/>
      <c r="C8" s="224"/>
      <c r="D8" s="224"/>
      <c r="E8" s="224"/>
      <c r="F8" s="224"/>
      <c r="G8" s="224"/>
      <c r="H8" s="224"/>
      <c r="I8" s="224"/>
      <c r="J8" s="224"/>
      <c r="K8" s="224"/>
      <c r="L8" s="224"/>
      <c r="M8" s="224"/>
      <c r="N8" s="224"/>
      <c r="O8" s="224"/>
      <c r="P8" s="224"/>
      <c r="Q8" s="224"/>
      <c r="R8" s="224"/>
      <c r="S8" s="224"/>
      <c r="T8" s="224"/>
      <c r="U8" s="7"/>
    </row>
    <row r="9" spans="1:21" ht="13.9" customHeight="1" x14ac:dyDescent="0.25">
      <c r="A9" s="5"/>
      <c r="B9" s="224"/>
      <c r="C9" s="224"/>
      <c r="D9" s="224"/>
      <c r="E9" s="224"/>
      <c r="F9" s="224"/>
      <c r="G9" s="224"/>
      <c r="H9" s="224"/>
      <c r="I9" s="224"/>
      <c r="J9" s="224"/>
      <c r="K9" s="224"/>
      <c r="L9" s="224"/>
      <c r="M9" s="224"/>
      <c r="N9" s="224"/>
      <c r="O9" s="224"/>
      <c r="P9" s="224"/>
      <c r="Q9" s="224"/>
      <c r="R9" s="224"/>
      <c r="S9" s="224"/>
      <c r="T9" s="224"/>
      <c r="U9" s="7"/>
    </row>
    <row r="10" spans="1:21" x14ac:dyDescent="0.25">
      <c r="A10" s="5"/>
      <c r="B10" s="224"/>
      <c r="C10" s="224"/>
      <c r="D10" s="224"/>
      <c r="E10" s="224"/>
      <c r="F10" s="224"/>
      <c r="G10" s="224"/>
      <c r="H10" s="224"/>
      <c r="I10" s="224"/>
      <c r="J10" s="224"/>
      <c r="K10" s="224"/>
      <c r="L10" s="224"/>
      <c r="M10" s="224"/>
      <c r="N10" s="224"/>
      <c r="O10" s="224"/>
      <c r="P10" s="224"/>
      <c r="Q10" s="224"/>
      <c r="R10" s="224"/>
      <c r="S10" s="224"/>
      <c r="T10" s="224"/>
      <c r="U10" s="7"/>
    </row>
    <row r="11" spans="1:21" x14ac:dyDescent="0.25">
      <c r="A11" s="5"/>
      <c r="B11" s="224"/>
      <c r="C11" s="224"/>
      <c r="D11" s="224"/>
      <c r="E11" s="224"/>
      <c r="F11" s="224"/>
      <c r="G11" s="224"/>
      <c r="H11" s="224"/>
      <c r="I11" s="224"/>
      <c r="J11" s="224"/>
      <c r="K11" s="224"/>
      <c r="L11" s="224"/>
      <c r="M11" s="224"/>
      <c r="N11" s="224"/>
      <c r="O11" s="224"/>
      <c r="P11" s="224"/>
      <c r="Q11" s="224"/>
      <c r="R11" s="224"/>
      <c r="S11" s="224"/>
      <c r="T11" s="224"/>
      <c r="U11" s="7"/>
    </row>
    <row r="12" spans="1:21" x14ac:dyDescent="0.25">
      <c r="A12" s="5"/>
      <c r="B12" s="224"/>
      <c r="C12" s="224"/>
      <c r="D12" s="224"/>
      <c r="E12" s="224"/>
      <c r="F12" s="224"/>
      <c r="G12" s="224"/>
      <c r="H12" s="224"/>
      <c r="I12" s="224"/>
      <c r="J12" s="224"/>
      <c r="K12" s="224"/>
      <c r="L12" s="224"/>
      <c r="M12" s="224"/>
      <c r="N12" s="224"/>
      <c r="O12" s="224"/>
      <c r="P12" s="224"/>
      <c r="Q12" s="224"/>
      <c r="R12" s="224"/>
      <c r="S12" s="224"/>
      <c r="T12" s="224"/>
      <c r="U12" s="7"/>
    </row>
    <row r="13" spans="1:21" x14ac:dyDescent="0.25">
      <c r="A13" s="5"/>
      <c r="B13" s="224"/>
      <c r="C13" s="224"/>
      <c r="D13" s="224"/>
      <c r="E13" s="224"/>
      <c r="F13" s="224"/>
      <c r="G13" s="224"/>
      <c r="H13" s="224"/>
      <c r="I13" s="224"/>
      <c r="J13" s="224"/>
      <c r="K13" s="224"/>
      <c r="L13" s="224"/>
      <c r="M13" s="224"/>
      <c r="N13" s="224"/>
      <c r="O13" s="224"/>
      <c r="P13" s="224"/>
      <c r="Q13" s="224"/>
      <c r="R13" s="224"/>
      <c r="S13" s="224"/>
      <c r="T13" s="224"/>
      <c r="U13" s="7"/>
    </row>
    <row r="14" spans="1:21" x14ac:dyDescent="0.25">
      <c r="A14" s="5"/>
      <c r="B14" s="225" t="s">
        <v>763</v>
      </c>
      <c r="C14" s="225"/>
      <c r="D14" s="225"/>
      <c r="E14" s="225"/>
      <c r="F14" s="225"/>
      <c r="G14" s="225"/>
      <c r="H14" s="225"/>
      <c r="I14" s="225"/>
      <c r="J14" s="225"/>
      <c r="K14" s="225"/>
      <c r="L14" s="225"/>
      <c r="M14" s="225"/>
      <c r="N14" s="225"/>
      <c r="O14" s="225"/>
      <c r="P14" s="225"/>
      <c r="Q14" s="225"/>
      <c r="R14" s="225"/>
      <c r="S14" s="225"/>
      <c r="T14" s="225"/>
      <c r="U14" s="7"/>
    </row>
    <row r="15" spans="1:21" x14ac:dyDescent="0.25">
      <c r="A15" s="5"/>
      <c r="B15" s="225"/>
      <c r="C15" s="225"/>
      <c r="D15" s="225"/>
      <c r="E15" s="225"/>
      <c r="F15" s="225"/>
      <c r="G15" s="225"/>
      <c r="H15" s="225"/>
      <c r="I15" s="225"/>
      <c r="J15" s="225"/>
      <c r="K15" s="225"/>
      <c r="L15" s="225"/>
      <c r="M15" s="225"/>
      <c r="N15" s="225"/>
      <c r="O15" s="225"/>
      <c r="P15" s="225"/>
      <c r="Q15" s="225"/>
      <c r="R15" s="225"/>
      <c r="S15" s="225"/>
      <c r="T15" s="225"/>
      <c r="U15" s="7"/>
    </row>
    <row r="16" spans="1:21" x14ac:dyDescent="0.25">
      <c r="A16" s="5"/>
      <c r="B16" s="225" t="s">
        <v>294</v>
      </c>
      <c r="C16" s="225"/>
      <c r="D16" s="225"/>
      <c r="E16" s="225"/>
      <c r="F16" s="225"/>
      <c r="G16" s="225"/>
      <c r="H16" s="225"/>
      <c r="I16" s="225"/>
      <c r="J16" s="225"/>
      <c r="K16" s="225"/>
      <c r="L16" s="225"/>
      <c r="M16" s="225"/>
      <c r="N16" s="225"/>
      <c r="O16" s="225"/>
      <c r="P16" s="225"/>
      <c r="Q16" s="225"/>
      <c r="R16" s="225"/>
      <c r="S16" s="225"/>
      <c r="T16" s="225"/>
      <c r="U16" s="7"/>
    </row>
    <row r="17" spans="1:21" x14ac:dyDescent="0.25">
      <c r="A17" s="5"/>
      <c r="B17" s="225"/>
      <c r="C17" s="225"/>
      <c r="D17" s="225"/>
      <c r="E17" s="225"/>
      <c r="F17" s="225"/>
      <c r="G17" s="225"/>
      <c r="H17" s="225"/>
      <c r="I17" s="225"/>
      <c r="J17" s="225"/>
      <c r="K17" s="225"/>
      <c r="L17" s="225"/>
      <c r="M17" s="225"/>
      <c r="N17" s="225"/>
      <c r="O17" s="225"/>
      <c r="P17" s="225"/>
      <c r="Q17" s="225"/>
      <c r="R17" s="225"/>
      <c r="S17" s="225"/>
      <c r="T17" s="225"/>
      <c r="U17" s="7"/>
    </row>
    <row r="18" spans="1:21" ht="13.9" x14ac:dyDescent="0.25">
      <c r="A18" s="5"/>
      <c r="U18" s="7"/>
    </row>
    <row r="19" spans="1:21" ht="13.9" x14ac:dyDescent="0.25">
      <c r="A19" s="5"/>
      <c r="B19" s="6"/>
      <c r="C19" s="6"/>
      <c r="D19" s="6"/>
      <c r="E19" s="6"/>
      <c r="F19" s="6"/>
      <c r="G19" s="6"/>
      <c r="H19" s="6"/>
      <c r="I19" s="6"/>
      <c r="J19" s="6"/>
      <c r="U19" s="7"/>
    </row>
    <row r="20" spans="1:21" ht="13.9" x14ac:dyDescent="0.25">
      <c r="A20" s="5"/>
      <c r="B20" s="6"/>
      <c r="C20" s="6"/>
      <c r="D20" s="6"/>
      <c r="E20" s="6"/>
      <c r="F20" s="6"/>
      <c r="G20" s="6"/>
      <c r="H20" s="6"/>
      <c r="I20" s="6"/>
      <c r="J20" s="6"/>
      <c r="U20" s="7"/>
    </row>
    <row r="21" spans="1:21" ht="13.9" x14ac:dyDescent="0.25">
      <c r="A21" s="5"/>
      <c r="B21" s="6"/>
      <c r="C21" s="6"/>
      <c r="D21" s="6"/>
      <c r="E21" s="6"/>
      <c r="F21" s="6"/>
      <c r="G21" s="6"/>
      <c r="H21" s="6"/>
      <c r="I21" s="6"/>
      <c r="J21" s="6"/>
      <c r="U21" s="7"/>
    </row>
    <row r="22" spans="1:21" ht="13.9" x14ac:dyDescent="0.25">
      <c r="A22" s="5"/>
      <c r="B22" s="6"/>
      <c r="C22" s="6"/>
      <c r="D22" s="6"/>
      <c r="E22" s="6"/>
      <c r="F22" s="6"/>
      <c r="G22" s="6"/>
      <c r="H22" s="6"/>
      <c r="I22" s="6"/>
      <c r="J22" s="6"/>
      <c r="U22" s="7"/>
    </row>
    <row r="23" spans="1:21" ht="13.9" x14ac:dyDescent="0.25">
      <c r="A23" s="5"/>
      <c r="B23" s="6"/>
      <c r="C23" s="6"/>
      <c r="D23" s="6"/>
      <c r="E23" s="6"/>
      <c r="F23" s="6"/>
      <c r="G23" s="6"/>
      <c r="H23" s="6"/>
      <c r="I23" s="6"/>
      <c r="J23" s="6"/>
      <c r="U23" s="7"/>
    </row>
    <row r="24" spans="1:21" ht="13.9" x14ac:dyDescent="0.25">
      <c r="A24" s="5"/>
      <c r="B24" s="6"/>
      <c r="C24" s="6"/>
      <c r="D24" s="6"/>
      <c r="E24" s="6"/>
      <c r="F24" s="6"/>
      <c r="G24" s="6"/>
      <c r="H24" s="6"/>
      <c r="I24" s="6"/>
      <c r="J24" s="6"/>
      <c r="U24" s="7"/>
    </row>
    <row r="25" spans="1:21" ht="13.9" x14ac:dyDescent="0.25">
      <c r="A25" s="5"/>
      <c r="B25" s="6"/>
      <c r="C25" s="6"/>
      <c r="D25" s="6"/>
      <c r="E25" s="6"/>
      <c r="F25" s="6"/>
      <c r="G25" s="6"/>
      <c r="H25" s="6"/>
      <c r="I25" s="6"/>
      <c r="J25" s="6"/>
      <c r="U25" s="7"/>
    </row>
    <row r="26" spans="1:21" ht="13.9" x14ac:dyDescent="0.25">
      <c r="A26" s="5"/>
      <c r="B26" s="6"/>
      <c r="C26" s="6"/>
      <c r="D26" s="6"/>
      <c r="E26" s="6"/>
      <c r="F26" s="6"/>
      <c r="G26" s="6"/>
      <c r="H26" s="6"/>
      <c r="I26" s="6"/>
      <c r="J26" s="6"/>
      <c r="U26" s="7"/>
    </row>
    <row r="27" spans="1:21" ht="13.9" x14ac:dyDescent="0.25">
      <c r="A27" s="5"/>
      <c r="B27" s="6"/>
      <c r="C27" s="6"/>
      <c r="D27" s="6"/>
      <c r="E27" s="6"/>
      <c r="F27" s="6"/>
      <c r="G27" s="6"/>
      <c r="H27" s="6"/>
      <c r="I27" s="6"/>
      <c r="J27" s="6"/>
      <c r="U27" s="7"/>
    </row>
    <row r="28" spans="1:21" ht="13.9" x14ac:dyDescent="0.25">
      <c r="A28" s="5"/>
      <c r="B28" s="6"/>
      <c r="C28" s="6"/>
      <c r="D28" s="6"/>
      <c r="E28" s="6"/>
      <c r="F28" s="6"/>
      <c r="G28" s="6"/>
      <c r="H28" s="6"/>
      <c r="I28" s="6"/>
      <c r="J28" s="6"/>
      <c r="U28" s="7"/>
    </row>
    <row r="29" spans="1:21" ht="13.9" x14ac:dyDescent="0.25">
      <c r="A29" s="5"/>
      <c r="B29" s="6"/>
      <c r="C29" s="6"/>
      <c r="D29" s="6"/>
      <c r="E29" s="6"/>
      <c r="F29" s="6"/>
      <c r="G29" s="6"/>
      <c r="H29" s="6"/>
      <c r="I29" s="6"/>
      <c r="J29" s="6"/>
      <c r="U29" s="7"/>
    </row>
    <row r="30" spans="1:21" ht="13.9" x14ac:dyDescent="0.25">
      <c r="A30" s="5"/>
      <c r="B30" s="6"/>
      <c r="C30" s="6"/>
      <c r="D30" s="6"/>
      <c r="E30" s="6"/>
      <c r="F30" s="6"/>
      <c r="G30" s="6"/>
      <c r="H30" s="6"/>
      <c r="I30" s="6"/>
      <c r="J30" s="6"/>
      <c r="U30" s="7"/>
    </row>
    <row r="31" spans="1:21" ht="13.9" customHeight="1" x14ac:dyDescent="0.25">
      <c r="A31" s="5"/>
      <c r="B31" s="6"/>
      <c r="C31" s="6"/>
      <c r="D31" s="6"/>
      <c r="E31" s="6"/>
      <c r="F31" s="6"/>
      <c r="G31" s="6"/>
      <c r="H31" s="6"/>
      <c r="I31" s="6"/>
      <c r="J31" s="6"/>
      <c r="U31" s="7"/>
    </row>
    <row r="32" spans="1:21" ht="13.9" customHeight="1" x14ac:dyDescent="0.25">
      <c r="A32" s="5"/>
      <c r="B32" s="6"/>
      <c r="C32" s="6"/>
      <c r="D32" s="6"/>
      <c r="E32" s="6"/>
      <c r="F32" s="6"/>
      <c r="G32" s="6"/>
      <c r="H32" s="6"/>
      <c r="I32" s="6"/>
      <c r="J32" s="6"/>
      <c r="U32" s="7"/>
    </row>
    <row r="33" spans="1:21" ht="13.9" x14ac:dyDescent="0.25">
      <c r="A33" s="5"/>
      <c r="B33" s="6"/>
      <c r="C33" s="6"/>
      <c r="D33" s="6"/>
      <c r="E33" s="6"/>
      <c r="F33" s="6"/>
      <c r="G33" s="6"/>
      <c r="H33" s="6"/>
      <c r="I33" s="6"/>
      <c r="J33" s="6"/>
      <c r="U33" s="7"/>
    </row>
    <row r="34" spans="1:21" ht="13.9" x14ac:dyDescent="0.25">
      <c r="A34" s="5"/>
      <c r="B34" s="6"/>
      <c r="C34" s="6"/>
      <c r="D34" s="6"/>
      <c r="E34" s="6"/>
      <c r="F34" s="6"/>
      <c r="G34" s="6"/>
      <c r="H34" s="6"/>
      <c r="I34" s="6"/>
      <c r="J34" s="6"/>
      <c r="U34" s="7"/>
    </row>
    <row r="35" spans="1:21" ht="13.9" x14ac:dyDescent="0.25">
      <c r="A35" s="5"/>
      <c r="B35" s="6"/>
      <c r="C35" s="6"/>
      <c r="D35" s="6"/>
      <c r="E35" s="6"/>
      <c r="F35" s="6"/>
      <c r="G35" s="6"/>
      <c r="H35" s="6"/>
      <c r="I35" s="6"/>
      <c r="J35" s="6"/>
      <c r="U35" s="7"/>
    </row>
    <row r="36" spans="1:21" ht="13.9" x14ac:dyDescent="0.25">
      <c r="A36" s="5"/>
      <c r="B36" s="6"/>
      <c r="C36" s="6"/>
      <c r="D36" s="6"/>
      <c r="E36" s="6"/>
      <c r="F36" s="6"/>
      <c r="G36" s="6"/>
      <c r="H36" s="6"/>
      <c r="I36" s="6"/>
      <c r="J36" s="6"/>
      <c r="U36" s="7"/>
    </row>
    <row r="37" spans="1:21" ht="13.9" x14ac:dyDescent="0.25">
      <c r="A37" s="5"/>
      <c r="B37" s="6"/>
      <c r="C37" s="6"/>
      <c r="D37" s="6"/>
      <c r="E37" s="6"/>
      <c r="F37" s="6"/>
      <c r="G37" s="6"/>
      <c r="H37" s="6"/>
      <c r="I37" s="6"/>
      <c r="J37" s="6"/>
      <c r="U37" s="7"/>
    </row>
    <row r="38" spans="1:21" ht="13.9" x14ac:dyDescent="0.25">
      <c r="A38" s="5"/>
      <c r="B38" s="6"/>
      <c r="C38" s="6"/>
      <c r="D38" s="6"/>
      <c r="E38" s="6"/>
      <c r="F38" s="6"/>
      <c r="G38" s="6"/>
      <c r="H38" s="6"/>
      <c r="I38" s="6"/>
      <c r="J38" s="6"/>
      <c r="U38" s="7"/>
    </row>
    <row r="39" spans="1:21" ht="13.9" x14ac:dyDescent="0.25">
      <c r="A39" s="5"/>
      <c r="B39" s="6"/>
      <c r="C39" s="6"/>
      <c r="D39" s="6"/>
      <c r="E39" s="6"/>
      <c r="F39" s="6"/>
      <c r="G39" s="6"/>
      <c r="H39" s="6"/>
      <c r="I39" s="6"/>
      <c r="J39" s="6"/>
      <c r="U39" s="7"/>
    </row>
    <row r="40" spans="1:21" ht="13.9" x14ac:dyDescent="0.25">
      <c r="A40" s="5"/>
      <c r="B40" s="6"/>
      <c r="C40" s="6"/>
      <c r="D40" s="6"/>
      <c r="E40" s="6"/>
      <c r="F40" s="6"/>
      <c r="G40" s="6"/>
      <c r="H40" s="6"/>
      <c r="I40" s="6"/>
      <c r="J40" s="6"/>
      <c r="U40" s="7"/>
    </row>
    <row r="41" spans="1:21" ht="13.9" x14ac:dyDescent="0.25">
      <c r="A41" s="5"/>
      <c r="B41" s="6"/>
      <c r="C41" s="6"/>
      <c r="D41" s="6"/>
      <c r="E41" s="6"/>
      <c r="F41" s="6"/>
      <c r="G41" s="6"/>
      <c r="H41" s="6"/>
      <c r="I41" s="6"/>
      <c r="J41" s="6"/>
      <c r="U41" s="7"/>
    </row>
    <row r="42" spans="1:21" ht="13.9" x14ac:dyDescent="0.25">
      <c r="A42" s="5"/>
      <c r="B42" s="6"/>
      <c r="C42" s="6"/>
      <c r="D42" s="6"/>
      <c r="E42" s="6"/>
      <c r="F42" s="6"/>
      <c r="G42" s="6"/>
      <c r="H42" s="6"/>
      <c r="I42" s="6"/>
      <c r="J42" s="6"/>
      <c r="U42" s="8"/>
    </row>
    <row r="43" spans="1:21" ht="13.9" x14ac:dyDescent="0.25">
      <c r="A43" s="5"/>
      <c r="B43" s="6"/>
      <c r="C43" s="6"/>
      <c r="D43" s="6"/>
      <c r="E43" s="6"/>
      <c r="F43" s="6"/>
      <c r="G43" s="6"/>
      <c r="H43" s="6"/>
      <c r="I43" s="6"/>
      <c r="J43" s="6"/>
      <c r="U43" s="7"/>
    </row>
    <row r="44" spans="1:21" ht="13.9" x14ac:dyDescent="0.25">
      <c r="A44" s="5"/>
      <c r="B44" s="6"/>
      <c r="C44" s="6"/>
      <c r="D44" s="6"/>
      <c r="E44" s="6"/>
      <c r="F44" s="6"/>
      <c r="G44" s="6"/>
      <c r="H44" s="6"/>
      <c r="I44" s="6"/>
      <c r="J44" s="6"/>
      <c r="U44" s="7"/>
    </row>
    <row r="45" spans="1:21" ht="13.9" x14ac:dyDescent="0.25">
      <c r="A45" s="5"/>
      <c r="B45" s="6"/>
      <c r="C45" s="6"/>
      <c r="D45" s="6"/>
      <c r="E45" s="6"/>
      <c r="F45" s="6"/>
      <c r="G45" s="6"/>
      <c r="H45" s="6"/>
      <c r="I45" s="6"/>
      <c r="J45" s="6"/>
      <c r="U45" s="7"/>
    </row>
    <row r="46" spans="1:21" ht="13.9" x14ac:dyDescent="0.25">
      <c r="A46" s="5"/>
      <c r="B46" s="6"/>
      <c r="C46" s="6"/>
      <c r="D46" s="6"/>
      <c r="E46" s="6"/>
      <c r="F46" s="6"/>
      <c r="G46" s="6"/>
      <c r="H46" s="6"/>
      <c r="I46" s="6"/>
      <c r="J46" s="6"/>
      <c r="U46" s="7"/>
    </row>
    <row r="47" spans="1:21" ht="13.9" x14ac:dyDescent="0.25">
      <c r="A47" s="5"/>
      <c r="B47" s="6"/>
      <c r="C47" s="6"/>
      <c r="D47" s="6"/>
      <c r="E47" s="6"/>
      <c r="F47" s="6"/>
      <c r="G47" s="6"/>
      <c r="H47" s="6"/>
      <c r="I47" s="6"/>
      <c r="J47" s="6"/>
      <c r="U47" s="7"/>
    </row>
    <row r="48" spans="1:21" ht="13.9" x14ac:dyDescent="0.25">
      <c r="A48" s="5"/>
      <c r="B48" s="6"/>
      <c r="C48" s="6"/>
      <c r="D48" s="6"/>
      <c r="E48" s="6"/>
      <c r="F48" s="6"/>
      <c r="G48" s="6"/>
      <c r="H48" s="6"/>
      <c r="I48" s="6"/>
      <c r="J48" s="6"/>
      <c r="U48" s="7"/>
    </row>
    <row r="49" spans="1:21" ht="13.9" x14ac:dyDescent="0.25">
      <c r="A49" s="5"/>
      <c r="B49" s="6"/>
      <c r="C49" s="6"/>
      <c r="D49" s="6"/>
      <c r="E49" s="6"/>
      <c r="F49" s="6"/>
      <c r="G49" s="6"/>
      <c r="H49" s="6"/>
      <c r="I49" s="6"/>
      <c r="J49" s="6"/>
      <c r="U49" s="7"/>
    </row>
    <row r="50" spans="1:21" ht="13.9" x14ac:dyDescent="0.25">
      <c r="A50" s="5"/>
      <c r="B50" s="6"/>
      <c r="C50" s="6"/>
      <c r="D50" s="6"/>
      <c r="E50" s="6"/>
      <c r="F50" s="6"/>
      <c r="G50" s="6"/>
      <c r="H50" s="6"/>
      <c r="I50" s="6"/>
      <c r="J50" s="6"/>
      <c r="U50" s="7"/>
    </row>
    <row r="51" spans="1:21" ht="13.9" x14ac:dyDescent="0.25">
      <c r="A51" s="5"/>
      <c r="B51" s="6"/>
      <c r="C51" s="6"/>
      <c r="D51" s="6"/>
      <c r="E51" s="6"/>
      <c r="F51" s="6"/>
      <c r="G51" s="6"/>
      <c r="H51" s="6"/>
      <c r="I51" s="6"/>
      <c r="J51" s="6"/>
      <c r="U51" s="7"/>
    </row>
    <row r="52" spans="1:21" ht="13.9" x14ac:dyDescent="0.25">
      <c r="A52" s="5"/>
      <c r="B52" s="6"/>
      <c r="C52" s="6"/>
      <c r="D52" s="6"/>
      <c r="E52" s="6"/>
      <c r="F52" s="6"/>
      <c r="G52" s="6"/>
      <c r="H52" s="6"/>
      <c r="I52" s="6"/>
      <c r="J52" s="6"/>
      <c r="U52" s="7"/>
    </row>
    <row r="53" spans="1:21" ht="13.9" x14ac:dyDescent="0.25">
      <c r="A53" s="5"/>
      <c r="B53" s="6"/>
      <c r="C53" s="6"/>
      <c r="D53" s="6"/>
      <c r="E53" s="6"/>
      <c r="F53" s="6"/>
      <c r="G53" s="6"/>
      <c r="H53" s="6"/>
      <c r="I53" s="6"/>
      <c r="J53" s="6"/>
      <c r="U53" s="7"/>
    </row>
    <row r="54" spans="1:21" ht="13.9" x14ac:dyDescent="0.25">
      <c r="A54" s="5"/>
      <c r="B54" s="6"/>
      <c r="C54" s="6"/>
      <c r="D54" s="6"/>
      <c r="E54" s="6"/>
      <c r="F54" s="6"/>
      <c r="G54" s="6"/>
      <c r="H54" s="6"/>
      <c r="I54" s="6"/>
      <c r="J54" s="6"/>
      <c r="U54" s="7"/>
    </row>
    <row r="55" spans="1:21" ht="13.9" x14ac:dyDescent="0.25">
      <c r="A55" s="5"/>
      <c r="B55" s="6"/>
      <c r="C55" s="6"/>
      <c r="D55" s="6"/>
      <c r="E55" s="6"/>
      <c r="F55" s="6"/>
      <c r="G55" s="6"/>
      <c r="H55" s="6"/>
      <c r="I55" s="6"/>
      <c r="J55" s="6"/>
      <c r="U55" s="7"/>
    </row>
    <row r="56" spans="1:21" ht="13.9" x14ac:dyDescent="0.25">
      <c r="A56" s="5"/>
      <c r="U56" s="7"/>
    </row>
    <row r="57" spans="1:21" ht="13.9" x14ac:dyDescent="0.25">
      <c r="A57" s="5"/>
      <c r="U57" s="7"/>
    </row>
    <row r="58" spans="1:21" ht="13.9" x14ac:dyDescent="0.25">
      <c r="A58" s="5"/>
      <c r="B58" s="6"/>
      <c r="H58" s="6"/>
      <c r="I58" s="6"/>
      <c r="J58" s="6"/>
      <c r="U58" s="7"/>
    </row>
    <row r="59" spans="1:21" ht="13.9" x14ac:dyDescent="0.25">
      <c r="A59" s="5"/>
      <c r="D59" s="100"/>
      <c r="U59" s="7"/>
    </row>
    <row r="60" spans="1:21" x14ac:dyDescent="0.25">
      <c r="A60" s="5"/>
      <c r="B60" s="226" t="s">
        <v>848</v>
      </c>
      <c r="C60" s="225"/>
      <c r="D60" s="225"/>
      <c r="E60" s="225"/>
      <c r="F60" s="225"/>
      <c r="G60" s="225"/>
      <c r="H60" s="225"/>
      <c r="I60" s="225"/>
      <c r="J60" s="225"/>
      <c r="K60" s="225"/>
      <c r="L60" s="225"/>
      <c r="M60" s="225"/>
      <c r="N60" s="225"/>
      <c r="O60" s="225"/>
      <c r="P60" s="225"/>
      <c r="Q60" s="225"/>
      <c r="R60" s="225"/>
      <c r="S60" s="225"/>
      <c r="T60" s="225"/>
      <c r="U60" s="7"/>
    </row>
    <row r="61" spans="1:21" x14ac:dyDescent="0.25">
      <c r="A61" s="5"/>
      <c r="B61" s="225"/>
      <c r="C61" s="225"/>
      <c r="D61" s="225"/>
      <c r="E61" s="225"/>
      <c r="F61" s="225"/>
      <c r="G61" s="225"/>
      <c r="H61" s="225"/>
      <c r="I61" s="225"/>
      <c r="J61" s="225"/>
      <c r="K61" s="225"/>
      <c r="L61" s="225"/>
      <c r="M61" s="225"/>
      <c r="N61" s="225"/>
      <c r="O61" s="225"/>
      <c r="P61" s="225"/>
      <c r="Q61" s="225"/>
      <c r="R61" s="225"/>
      <c r="S61" s="225"/>
      <c r="T61" s="225"/>
      <c r="U61" s="7"/>
    </row>
    <row r="62" spans="1:21" x14ac:dyDescent="0.25">
      <c r="A62" s="5"/>
      <c r="B62" s="226" t="s">
        <v>586</v>
      </c>
      <c r="C62" s="225"/>
      <c r="D62" s="225"/>
      <c r="E62" s="225"/>
      <c r="F62" s="225"/>
      <c r="G62" s="225"/>
      <c r="H62" s="225"/>
      <c r="I62" s="225"/>
      <c r="J62" s="225"/>
      <c r="K62" s="225"/>
      <c r="L62" s="225"/>
      <c r="M62" s="225"/>
      <c r="N62" s="225"/>
      <c r="O62" s="225"/>
      <c r="P62" s="225"/>
      <c r="Q62" s="225"/>
      <c r="R62" s="225"/>
      <c r="S62" s="225"/>
      <c r="T62" s="225"/>
      <c r="U62" s="7"/>
    </row>
    <row r="63" spans="1:21" x14ac:dyDescent="0.25">
      <c r="A63" s="5"/>
      <c r="B63" s="225"/>
      <c r="C63" s="225"/>
      <c r="D63" s="225"/>
      <c r="E63" s="225"/>
      <c r="F63" s="225"/>
      <c r="G63" s="225"/>
      <c r="H63" s="225"/>
      <c r="I63" s="225"/>
      <c r="J63" s="225"/>
      <c r="K63" s="225"/>
      <c r="L63" s="225"/>
      <c r="M63" s="225"/>
      <c r="N63" s="225"/>
      <c r="O63" s="225"/>
      <c r="P63" s="225"/>
      <c r="Q63" s="225"/>
      <c r="R63" s="225"/>
      <c r="S63" s="225"/>
      <c r="T63" s="225"/>
      <c r="U63" s="7"/>
    </row>
    <row r="64" spans="1:21" ht="13.9" x14ac:dyDescent="0.25">
      <c r="A64" s="5"/>
      <c r="U64" s="7"/>
    </row>
    <row r="65" spans="1:21" ht="13.9" x14ac:dyDescent="0.25">
      <c r="A65" s="9"/>
      <c r="B65" s="10"/>
      <c r="C65" s="10"/>
      <c r="D65" s="10"/>
      <c r="E65" s="10"/>
      <c r="F65" s="10"/>
      <c r="G65" s="10"/>
      <c r="H65" s="10"/>
      <c r="I65" s="10"/>
      <c r="J65" s="10"/>
      <c r="K65" s="10"/>
      <c r="L65" s="10"/>
      <c r="M65" s="10"/>
      <c r="N65" s="10"/>
      <c r="O65" s="10"/>
      <c r="P65" s="10"/>
      <c r="Q65" s="10"/>
      <c r="R65" s="10"/>
      <c r="S65" s="10"/>
      <c r="T65" s="10"/>
      <c r="U65" s="11"/>
    </row>
  </sheetData>
  <mergeCells count="5">
    <mergeCell ref="B2:T13"/>
    <mergeCell ref="B14:T15"/>
    <mergeCell ref="B60:T61"/>
    <mergeCell ref="B16:T17"/>
    <mergeCell ref="B62:T63"/>
  </mergeCells>
  <printOptions horizontalCentered="1" verticalCentered="1"/>
  <pageMargins left="0.47244094488188981" right="0.47244094488188981" top="0.74803149606299213" bottom="0.74803149606299213" header="0.31496062992125984" footer="0.31496062992125984"/>
  <pageSetup scale="71"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526C0-3D04-4CC1-AA92-B2B54D56E661}">
  <dimension ref="A1:AO65"/>
  <sheetViews>
    <sheetView view="pageBreakPreview" zoomScale="60" zoomScaleNormal="100" workbookViewId="0">
      <selection activeCell="Z41" sqref="Z41"/>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41" ht="15" customHeight="1" x14ac:dyDescent="0.25">
      <c r="A1" s="211" t="s">
        <v>549</v>
      </c>
      <c r="B1" s="212"/>
      <c r="C1" s="212"/>
      <c r="D1" s="212"/>
      <c r="E1" s="213"/>
      <c r="F1" s="217" t="s">
        <v>0</v>
      </c>
      <c r="G1" s="210"/>
      <c r="H1" s="211" t="str">
        <f>'0. PORTADA'!B2</f>
        <v>EDIFICACIÓN LOCALES COMERCIALES</v>
      </c>
      <c r="I1" s="212"/>
      <c r="J1" s="212"/>
      <c r="K1" s="212"/>
      <c r="L1" s="212"/>
      <c r="M1" s="212"/>
      <c r="N1" s="213"/>
      <c r="O1" s="221" t="s">
        <v>2</v>
      </c>
      <c r="P1" s="222"/>
      <c r="Q1" s="222" t="s">
        <v>859</v>
      </c>
      <c r="R1" s="222"/>
      <c r="S1" s="222"/>
      <c r="T1" s="222"/>
      <c r="U1" s="223"/>
    </row>
    <row r="2" spans="1:41" x14ac:dyDescent="0.25">
      <c r="A2" s="214"/>
      <c r="B2" s="215"/>
      <c r="C2" s="215"/>
      <c r="D2" s="215"/>
      <c r="E2" s="216"/>
      <c r="F2" s="218"/>
      <c r="G2" s="219"/>
      <c r="H2" s="229"/>
      <c r="I2" s="230"/>
      <c r="J2" s="230"/>
      <c r="K2" s="230"/>
      <c r="L2" s="230"/>
      <c r="M2" s="230"/>
      <c r="N2" s="231"/>
      <c r="O2" s="221" t="s">
        <v>3</v>
      </c>
      <c r="P2" s="222"/>
      <c r="Q2" s="232" t="s">
        <v>492</v>
      </c>
      <c r="R2" s="222"/>
      <c r="S2" s="222"/>
      <c r="T2" s="222"/>
      <c r="U2" s="223"/>
    </row>
    <row r="3" spans="1:41" x14ac:dyDescent="0.25">
      <c r="A3" s="214"/>
      <c r="B3" s="215"/>
      <c r="C3" s="215"/>
      <c r="D3" s="215"/>
      <c r="E3" s="216"/>
      <c r="F3" s="217" t="s">
        <v>1</v>
      </c>
      <c r="G3" s="210"/>
      <c r="H3" s="217" t="s">
        <v>587</v>
      </c>
      <c r="I3" s="209"/>
      <c r="J3" s="209"/>
      <c r="K3" s="209"/>
      <c r="L3" s="209"/>
      <c r="M3" s="209"/>
      <c r="N3" s="210"/>
      <c r="O3" s="217" t="s">
        <v>4</v>
      </c>
      <c r="P3" s="209"/>
      <c r="Q3" s="209" t="s">
        <v>585</v>
      </c>
      <c r="R3" s="209"/>
      <c r="S3" s="209"/>
      <c r="T3" s="209"/>
      <c r="U3" s="210"/>
    </row>
    <row r="4" spans="1:41" ht="13.9" x14ac:dyDescent="0.25">
      <c r="A4" s="2"/>
      <c r="B4" s="3"/>
      <c r="C4" s="3"/>
      <c r="D4" s="3"/>
      <c r="E4" s="3"/>
      <c r="F4" s="3"/>
      <c r="G4" s="3"/>
      <c r="H4" s="3"/>
      <c r="I4" s="3"/>
      <c r="J4" s="3"/>
      <c r="K4" s="3"/>
      <c r="L4" s="3"/>
      <c r="M4" s="3"/>
      <c r="N4" s="3"/>
      <c r="O4" s="3"/>
      <c r="P4" s="3"/>
      <c r="Q4" s="3"/>
      <c r="R4" s="3"/>
      <c r="S4" s="3"/>
      <c r="T4" s="3"/>
      <c r="U4" s="4"/>
    </row>
    <row r="5" spans="1:41" ht="13.9" x14ac:dyDescent="0.25">
      <c r="A5" s="5"/>
      <c r="B5" s="6"/>
      <c r="C5" s="6"/>
      <c r="D5" s="6"/>
      <c r="E5" s="6"/>
      <c r="F5" s="6"/>
      <c r="G5" s="6"/>
      <c r="H5" s="6"/>
      <c r="I5" s="6"/>
      <c r="J5" s="6"/>
      <c r="U5" s="7"/>
    </row>
    <row r="6" spans="1:41" ht="13.9" x14ac:dyDescent="0.25">
      <c r="A6" s="5"/>
      <c r="B6" s="41" t="s">
        <v>460</v>
      </c>
      <c r="C6" s="6"/>
      <c r="D6" s="6"/>
      <c r="E6" s="6"/>
      <c r="F6" s="6"/>
      <c r="G6" s="6"/>
      <c r="H6" s="6"/>
      <c r="I6" s="6"/>
      <c r="J6" s="6"/>
      <c r="U6" s="7"/>
    </row>
    <row r="7" spans="1:41" ht="13.9" x14ac:dyDescent="0.25">
      <c r="A7" s="5"/>
      <c r="B7" s="6"/>
      <c r="C7" s="6"/>
      <c r="D7" s="6"/>
      <c r="E7" s="6"/>
      <c r="F7" s="6"/>
      <c r="G7" s="6"/>
      <c r="H7" s="6"/>
      <c r="I7" s="6"/>
      <c r="J7" s="6"/>
      <c r="U7" s="7"/>
    </row>
    <row r="8" spans="1:41" ht="13.9" x14ac:dyDescent="0.25">
      <c r="A8" s="5"/>
      <c r="B8" s="6" t="s">
        <v>758</v>
      </c>
      <c r="C8" s="6"/>
      <c r="D8" s="6"/>
      <c r="E8" s="6"/>
      <c r="F8" s="6"/>
      <c r="G8" s="6"/>
      <c r="H8" s="6"/>
      <c r="I8" s="6"/>
      <c r="J8" s="6"/>
      <c r="U8" s="7"/>
      <c r="W8" s="6"/>
      <c r="X8" s="6"/>
      <c r="Y8" s="6"/>
      <c r="Z8" s="6"/>
      <c r="AA8" s="6"/>
      <c r="AB8" s="6"/>
      <c r="AC8" s="6"/>
      <c r="AD8" s="6"/>
      <c r="AE8" s="6"/>
      <c r="AF8" s="6"/>
      <c r="AG8" s="6"/>
      <c r="AH8" s="6"/>
      <c r="AI8" s="6"/>
      <c r="AJ8" s="6"/>
      <c r="AK8" s="6"/>
      <c r="AL8" s="6"/>
      <c r="AM8" s="6"/>
      <c r="AN8" s="6"/>
      <c r="AO8" s="6"/>
    </row>
    <row r="9" spans="1:41" ht="13.9" x14ac:dyDescent="0.25">
      <c r="A9" s="5"/>
      <c r="B9" s="6"/>
      <c r="C9" s="6"/>
      <c r="D9" s="6"/>
      <c r="E9" s="6"/>
      <c r="F9" s="6"/>
      <c r="G9" s="6"/>
      <c r="H9" s="6"/>
      <c r="I9" s="6"/>
      <c r="J9" s="6"/>
      <c r="U9" s="7"/>
      <c r="W9" s="6"/>
      <c r="X9" s="6"/>
      <c r="Y9" s="6"/>
      <c r="Z9" s="6"/>
      <c r="AA9" s="6"/>
      <c r="AB9" s="6"/>
      <c r="AC9" s="6"/>
      <c r="AD9" s="6"/>
      <c r="AE9" s="6"/>
      <c r="AF9" s="6"/>
      <c r="AG9" s="6"/>
      <c r="AH9" s="6"/>
      <c r="AI9" s="6"/>
      <c r="AJ9" s="6"/>
      <c r="AK9" s="6"/>
      <c r="AL9" s="6"/>
      <c r="AM9" s="6"/>
      <c r="AN9" s="6"/>
      <c r="AO9" s="6"/>
    </row>
    <row r="10" spans="1:41" x14ac:dyDescent="0.25">
      <c r="A10" s="5"/>
      <c r="B10" s="6" t="s">
        <v>602</v>
      </c>
      <c r="C10" s="6"/>
      <c r="D10" s="6"/>
      <c r="E10" s="6"/>
      <c r="F10" s="6"/>
      <c r="G10" s="6"/>
      <c r="H10" s="200"/>
      <c r="I10" s="6"/>
      <c r="J10" s="6"/>
      <c r="U10" s="7"/>
      <c r="W10" s="6"/>
      <c r="X10" s="6"/>
      <c r="Y10" s="6"/>
      <c r="Z10" s="6"/>
      <c r="AA10" s="6"/>
      <c r="AB10" s="6"/>
      <c r="AC10" s="6"/>
      <c r="AD10" s="6"/>
      <c r="AE10" s="6"/>
      <c r="AF10" s="6"/>
      <c r="AG10" s="6"/>
      <c r="AH10" s="6"/>
      <c r="AI10" s="6"/>
      <c r="AJ10" s="6"/>
      <c r="AK10" s="6"/>
      <c r="AL10" s="6"/>
      <c r="AM10" s="6"/>
      <c r="AN10" s="6"/>
      <c r="AO10" s="6"/>
    </row>
    <row r="11" spans="1:41" ht="13.9" x14ac:dyDescent="0.25">
      <c r="A11" s="5"/>
      <c r="B11" s="6" t="s">
        <v>831</v>
      </c>
      <c r="C11" s="6"/>
      <c r="D11" s="6"/>
      <c r="E11" s="6"/>
      <c r="F11" s="6"/>
      <c r="G11" s="6"/>
      <c r="H11" s="6"/>
      <c r="I11" s="6"/>
      <c r="J11" s="6"/>
      <c r="U11" s="7"/>
      <c r="W11" s="6"/>
      <c r="X11" s="6"/>
      <c r="Y11" s="6"/>
      <c r="Z11" s="6"/>
      <c r="AA11" s="6"/>
      <c r="AB11" s="6"/>
      <c r="AC11" s="6"/>
      <c r="AD11" s="6"/>
      <c r="AE11" s="6"/>
      <c r="AF11" s="6"/>
      <c r="AG11" s="6"/>
      <c r="AH11" s="6"/>
      <c r="AI11" s="6"/>
      <c r="AJ11" s="6"/>
      <c r="AK11" s="6"/>
      <c r="AL11" s="6"/>
      <c r="AM11" s="6"/>
      <c r="AN11" s="6"/>
      <c r="AO11" s="6"/>
    </row>
    <row r="12" spans="1:41" ht="13.9" x14ac:dyDescent="0.25">
      <c r="A12" s="5"/>
      <c r="B12" s="6" t="s">
        <v>584</v>
      </c>
      <c r="C12" s="6"/>
      <c r="D12" s="6"/>
      <c r="E12" s="6"/>
      <c r="F12" s="6"/>
      <c r="G12" s="6"/>
      <c r="H12" s="6"/>
      <c r="I12" s="6"/>
      <c r="J12" s="6"/>
      <c r="U12" s="7"/>
      <c r="W12" s="6"/>
      <c r="X12" s="6"/>
      <c r="Y12" s="6"/>
      <c r="Z12" s="6"/>
      <c r="AA12" s="6"/>
      <c r="AB12" s="6"/>
      <c r="AC12" s="6"/>
      <c r="AD12" s="6"/>
      <c r="AE12" s="6"/>
      <c r="AF12" s="6"/>
      <c r="AG12" s="6"/>
      <c r="AH12" s="6"/>
      <c r="AI12" s="6"/>
      <c r="AJ12" s="6"/>
      <c r="AK12" s="6"/>
      <c r="AL12" s="6"/>
      <c r="AM12" s="6"/>
      <c r="AN12" s="6"/>
      <c r="AO12" s="6"/>
    </row>
    <row r="13" spans="1:41" ht="13.9" x14ac:dyDescent="0.25">
      <c r="A13" s="5"/>
      <c r="B13" s="6"/>
      <c r="C13" s="6"/>
      <c r="D13" s="6"/>
      <c r="E13" s="6"/>
      <c r="F13" s="6"/>
      <c r="G13" s="6"/>
      <c r="H13" s="6"/>
      <c r="I13" s="6"/>
      <c r="J13" s="6"/>
      <c r="U13" s="7"/>
      <c r="W13" s="6"/>
      <c r="X13" s="6"/>
      <c r="Y13" s="6"/>
      <c r="Z13" s="6"/>
      <c r="AA13" s="6"/>
      <c r="AB13" s="6"/>
      <c r="AC13" s="6"/>
      <c r="AD13" s="6"/>
      <c r="AE13" s="6"/>
      <c r="AF13" s="6"/>
      <c r="AG13" s="6"/>
      <c r="AH13" s="6"/>
      <c r="AI13" s="6"/>
      <c r="AJ13" s="6"/>
      <c r="AK13" s="6"/>
      <c r="AL13" s="6"/>
      <c r="AM13" s="6"/>
      <c r="AN13" s="6"/>
      <c r="AO13" s="6"/>
    </row>
    <row r="14" spans="1:41" ht="13.9" x14ac:dyDescent="0.25">
      <c r="A14" s="5"/>
      <c r="B14" s="6" t="s">
        <v>461</v>
      </c>
      <c r="C14" s="6"/>
      <c r="D14" s="6"/>
      <c r="E14" s="6"/>
      <c r="F14" s="6"/>
      <c r="G14" s="6"/>
      <c r="H14" s="6"/>
      <c r="I14" s="6"/>
      <c r="J14" s="6"/>
      <c r="U14" s="7"/>
      <c r="W14" s="6"/>
      <c r="X14" s="6"/>
      <c r="Y14" s="6"/>
      <c r="Z14" s="6"/>
      <c r="AA14" s="6"/>
      <c r="AB14" s="6"/>
      <c r="AC14" s="6"/>
      <c r="AD14" s="6"/>
      <c r="AE14" s="6"/>
      <c r="AF14" s="6"/>
      <c r="AG14" s="6"/>
      <c r="AH14" s="6"/>
      <c r="AI14" s="6"/>
      <c r="AJ14" s="6"/>
      <c r="AK14" s="6"/>
      <c r="AL14" s="6"/>
      <c r="AM14" s="6"/>
      <c r="AN14" s="6"/>
      <c r="AO14" s="6"/>
    </row>
    <row r="15" spans="1:41" ht="13.9" x14ac:dyDescent="0.25">
      <c r="A15" s="5"/>
      <c r="B15" s="6"/>
      <c r="C15" s="6"/>
      <c r="D15" s="6"/>
      <c r="E15" s="6"/>
      <c r="F15" s="6"/>
      <c r="G15" s="6"/>
      <c r="H15" s="6"/>
      <c r="I15" s="6"/>
      <c r="J15" s="6"/>
      <c r="U15" s="7"/>
    </row>
    <row r="16" spans="1:41" x14ac:dyDescent="0.25">
      <c r="A16" s="5"/>
      <c r="B16" s="89" t="s">
        <v>597</v>
      </c>
      <c r="C16" s="89"/>
      <c r="D16" s="89"/>
      <c r="E16" s="89"/>
      <c r="F16" s="89"/>
      <c r="G16" s="89"/>
      <c r="H16" s="89"/>
      <c r="I16" s="89"/>
      <c r="J16" s="89"/>
      <c r="K16" s="89"/>
      <c r="L16" s="89"/>
      <c r="M16" s="89"/>
      <c r="N16" s="89"/>
      <c r="O16" s="89"/>
      <c r="P16" s="89"/>
      <c r="Q16" s="89"/>
      <c r="R16" s="89"/>
      <c r="S16" s="89"/>
      <c r="T16" s="89"/>
      <c r="U16" s="7"/>
    </row>
    <row r="17" spans="1:21" ht="13.9" x14ac:dyDescent="0.25">
      <c r="A17" s="5"/>
      <c r="B17" s="227" t="str">
        <f>'0. PORTADA'!B2</f>
        <v>EDIFICACIÓN LOCALES COMERCIALES</v>
      </c>
      <c r="C17" s="227"/>
      <c r="D17" s="227"/>
      <c r="E17" s="227"/>
      <c r="F17" s="227"/>
      <c r="G17" s="227"/>
      <c r="H17" s="227"/>
      <c r="I17" s="227"/>
      <c r="J17" s="227"/>
      <c r="K17" s="227"/>
      <c r="L17" s="227"/>
      <c r="M17" s="227"/>
      <c r="N17" s="227"/>
      <c r="O17" s="227"/>
      <c r="P17" s="227"/>
      <c r="Q17" s="227"/>
      <c r="R17" s="227"/>
      <c r="S17" s="227"/>
      <c r="T17" s="227"/>
      <c r="U17" s="7"/>
    </row>
    <row r="18" spans="1:21" x14ac:dyDescent="0.25">
      <c r="A18" s="5"/>
      <c r="B18" s="228" t="str">
        <f>"El proyecto se encuenta ubicado en el municipio de "&amp;'0. INICIO'!L9&amp;" y fue realizado de acuerdo con el Reglamento Colombiano de Diseño y Construcción Sismo Resistente: NSR-10, "&amp;"y demás disposiciones legales que rigen al respecto. Los estudios se ajustan en todo al mencionado reglamento, "&amp;"en especial a lo concerniente al diseño sísmico, el cual se realizó para la zona de amenaza sísmica "&amp;'0. INICIO'!L22&amp;" dentro del cual se encuentra el proyecto."</f>
        <v>El proyecto se encuenta ubicado en el municipio de Miranda, Cauca y fue realizado de acuerdo con el Reglamento Colombiano de Diseño y Construcción Sismo Resistente: NSR-10, y demás disposiciones legales que rigen al respecto. Los estudios se ajustan en todo al mencionado reglamento, en especial a lo concerniente al diseño sísmico, el cual se realizó para la zona de amenaza sísmica ALTA dentro del cual se encuentra el proyecto.</v>
      </c>
      <c r="C18" s="228"/>
      <c r="D18" s="228"/>
      <c r="E18" s="228"/>
      <c r="F18" s="228"/>
      <c r="G18" s="228"/>
      <c r="H18" s="228"/>
      <c r="I18" s="228"/>
      <c r="J18" s="228"/>
      <c r="K18" s="228"/>
      <c r="L18" s="228"/>
      <c r="M18" s="228"/>
      <c r="N18" s="228"/>
      <c r="O18" s="228"/>
      <c r="P18" s="228"/>
      <c r="Q18" s="228"/>
      <c r="R18" s="228"/>
      <c r="S18" s="228"/>
      <c r="T18" s="228"/>
      <c r="U18" s="7"/>
    </row>
    <row r="19" spans="1:21" x14ac:dyDescent="0.25">
      <c r="A19" s="5"/>
      <c r="B19" s="228"/>
      <c r="C19" s="228"/>
      <c r="D19" s="228"/>
      <c r="E19" s="228"/>
      <c r="F19" s="228"/>
      <c r="G19" s="228"/>
      <c r="H19" s="228"/>
      <c r="I19" s="228"/>
      <c r="J19" s="228"/>
      <c r="K19" s="228"/>
      <c r="L19" s="228"/>
      <c r="M19" s="228"/>
      <c r="N19" s="228"/>
      <c r="O19" s="228"/>
      <c r="P19" s="228"/>
      <c r="Q19" s="228"/>
      <c r="R19" s="228"/>
      <c r="S19" s="228"/>
      <c r="T19" s="228"/>
      <c r="U19" s="7"/>
    </row>
    <row r="20" spans="1:21" x14ac:dyDescent="0.25">
      <c r="A20" s="5"/>
      <c r="B20" s="228"/>
      <c r="C20" s="228"/>
      <c r="D20" s="228"/>
      <c r="E20" s="228"/>
      <c r="F20" s="228"/>
      <c r="G20" s="228"/>
      <c r="H20" s="228"/>
      <c r="I20" s="228"/>
      <c r="J20" s="228"/>
      <c r="K20" s="228"/>
      <c r="L20" s="228"/>
      <c r="M20" s="228"/>
      <c r="N20" s="228"/>
      <c r="O20" s="228"/>
      <c r="P20" s="228"/>
      <c r="Q20" s="228"/>
      <c r="R20" s="228"/>
      <c r="S20" s="228"/>
      <c r="T20" s="228"/>
      <c r="U20" s="7"/>
    </row>
    <row r="21" spans="1:21" x14ac:dyDescent="0.25">
      <c r="A21" s="5"/>
      <c r="B21" s="228"/>
      <c r="C21" s="228"/>
      <c r="D21" s="228"/>
      <c r="E21" s="228"/>
      <c r="F21" s="228"/>
      <c r="G21" s="228"/>
      <c r="H21" s="228"/>
      <c r="I21" s="228"/>
      <c r="J21" s="228"/>
      <c r="K21" s="228"/>
      <c r="L21" s="228"/>
      <c r="M21" s="228"/>
      <c r="N21" s="228"/>
      <c r="O21" s="228"/>
      <c r="P21" s="228"/>
      <c r="Q21" s="228"/>
      <c r="R21" s="228"/>
      <c r="S21" s="228"/>
      <c r="T21" s="228"/>
      <c r="U21" s="7"/>
    </row>
    <row r="22" spans="1:21" ht="13.9" x14ac:dyDescent="0.25">
      <c r="A22" s="5"/>
      <c r="U22" s="7"/>
    </row>
    <row r="23" spans="1:21" x14ac:dyDescent="0.25">
      <c r="A23" s="5"/>
      <c r="B23" s="228" t="s">
        <v>465</v>
      </c>
      <c r="C23" s="228"/>
      <c r="D23" s="228"/>
      <c r="E23" s="228"/>
      <c r="F23" s="228"/>
      <c r="G23" s="228"/>
      <c r="H23" s="228"/>
      <c r="I23" s="228"/>
      <c r="J23" s="228"/>
      <c r="K23" s="228"/>
      <c r="L23" s="228"/>
      <c r="M23" s="228"/>
      <c r="N23" s="228"/>
      <c r="O23" s="228"/>
      <c r="P23" s="228"/>
      <c r="Q23" s="228"/>
      <c r="R23" s="228"/>
      <c r="S23" s="228"/>
      <c r="T23" s="228"/>
      <c r="U23" s="7"/>
    </row>
    <row r="24" spans="1:21" x14ac:dyDescent="0.25">
      <c r="A24" s="5"/>
      <c r="B24" s="228"/>
      <c r="C24" s="228"/>
      <c r="D24" s="228"/>
      <c r="E24" s="228"/>
      <c r="F24" s="228"/>
      <c r="G24" s="228"/>
      <c r="H24" s="228"/>
      <c r="I24" s="228"/>
      <c r="J24" s="228"/>
      <c r="K24" s="228"/>
      <c r="L24" s="228"/>
      <c r="M24" s="228"/>
      <c r="N24" s="228"/>
      <c r="O24" s="228"/>
      <c r="P24" s="228"/>
      <c r="Q24" s="228"/>
      <c r="R24" s="228"/>
      <c r="S24" s="228"/>
      <c r="T24" s="228"/>
      <c r="U24" s="7"/>
    </row>
    <row r="25" spans="1:21" ht="13.9" x14ac:dyDescent="0.25">
      <c r="A25" s="5"/>
      <c r="U25" s="7"/>
    </row>
    <row r="26" spans="1:21" ht="13.9" customHeight="1" x14ac:dyDescent="0.25">
      <c r="A26" s="5"/>
      <c r="B26" s="228" t="s">
        <v>462</v>
      </c>
      <c r="C26" s="228"/>
      <c r="D26" s="228"/>
      <c r="E26" s="228"/>
      <c r="F26" s="228"/>
      <c r="G26" s="228"/>
      <c r="H26" s="228"/>
      <c r="I26" s="228"/>
      <c r="J26" s="228"/>
      <c r="K26" s="228"/>
      <c r="L26" s="228"/>
      <c r="M26" s="228"/>
      <c r="N26" s="228"/>
      <c r="O26" s="228"/>
      <c r="P26" s="228"/>
      <c r="Q26" s="228"/>
      <c r="R26" s="228"/>
      <c r="S26" s="228"/>
      <c r="T26" s="228"/>
      <c r="U26" s="7"/>
    </row>
    <row r="27" spans="1:21" x14ac:dyDescent="0.25">
      <c r="A27" s="5"/>
      <c r="B27" s="228"/>
      <c r="C27" s="228"/>
      <c r="D27" s="228"/>
      <c r="E27" s="228"/>
      <c r="F27" s="228"/>
      <c r="G27" s="228"/>
      <c r="H27" s="228"/>
      <c r="I27" s="228"/>
      <c r="J27" s="228"/>
      <c r="K27" s="228"/>
      <c r="L27" s="228"/>
      <c r="M27" s="228"/>
      <c r="N27" s="228"/>
      <c r="O27" s="228"/>
      <c r="P27" s="228"/>
      <c r="Q27" s="228"/>
      <c r="R27" s="228"/>
      <c r="S27" s="228"/>
      <c r="T27" s="228"/>
      <c r="U27" s="7"/>
    </row>
    <row r="28" spans="1:21" ht="13.9" x14ac:dyDescent="0.25">
      <c r="A28" s="5"/>
      <c r="U28" s="7"/>
    </row>
    <row r="29" spans="1:21" ht="13.9" x14ac:dyDescent="0.25">
      <c r="A29" s="5"/>
      <c r="B29" s="6" t="s">
        <v>463</v>
      </c>
      <c r="U29" s="7"/>
    </row>
    <row r="30" spans="1:21" ht="13.9" x14ac:dyDescent="0.25">
      <c r="A30" s="5"/>
      <c r="U30" s="7"/>
    </row>
    <row r="31" spans="1:21" ht="13.9" x14ac:dyDescent="0.25">
      <c r="A31" s="5"/>
      <c r="U31" s="7"/>
    </row>
    <row r="32" spans="1:21" ht="13.9" x14ac:dyDescent="0.25">
      <c r="A32" s="5"/>
      <c r="U32" s="7"/>
    </row>
    <row r="33" spans="1:21" ht="13.9" x14ac:dyDescent="0.25">
      <c r="A33" s="5"/>
      <c r="U33" s="7"/>
    </row>
    <row r="34" spans="1:21" ht="13.9" x14ac:dyDescent="0.25">
      <c r="A34" s="5"/>
      <c r="U34" s="7"/>
    </row>
    <row r="35" spans="1:21" ht="13.9" x14ac:dyDescent="0.25">
      <c r="A35" s="5"/>
      <c r="U35" s="7"/>
    </row>
    <row r="36" spans="1:21" ht="13.9" x14ac:dyDescent="0.25">
      <c r="A36" s="5"/>
      <c r="U36" s="7"/>
    </row>
    <row r="37" spans="1:21" ht="13.9" x14ac:dyDescent="0.25">
      <c r="A37" s="5"/>
      <c r="B37" s="6"/>
      <c r="C37" s="6"/>
      <c r="D37" s="6"/>
      <c r="E37" s="6"/>
      <c r="F37" s="6"/>
      <c r="G37" s="6"/>
      <c r="H37" s="6"/>
      <c r="I37" s="6"/>
      <c r="J37" s="6"/>
      <c r="U37" s="7"/>
    </row>
    <row r="38" spans="1:21" ht="13.9" x14ac:dyDescent="0.25">
      <c r="A38" s="5"/>
      <c r="C38" s="6"/>
      <c r="D38" s="6"/>
      <c r="E38" s="6"/>
      <c r="F38" s="6"/>
      <c r="G38" s="6"/>
      <c r="H38" s="6"/>
      <c r="I38" s="6"/>
      <c r="J38" s="6"/>
      <c r="U38" s="7"/>
    </row>
    <row r="39" spans="1:21" ht="13.9" x14ac:dyDescent="0.25">
      <c r="A39" s="5"/>
      <c r="C39" s="6"/>
      <c r="D39" s="6"/>
      <c r="E39" s="6"/>
      <c r="F39" s="6"/>
      <c r="G39" s="6"/>
      <c r="H39" s="6"/>
      <c r="I39" s="6"/>
      <c r="J39" s="6"/>
      <c r="U39" s="7"/>
    </row>
    <row r="40" spans="1:21" ht="13.9" x14ac:dyDescent="0.25">
      <c r="A40" s="5"/>
      <c r="B40" s="6"/>
      <c r="C40" s="6"/>
      <c r="D40" s="6"/>
      <c r="E40" s="6"/>
      <c r="F40" s="6"/>
      <c r="G40" s="6"/>
      <c r="H40" s="6"/>
      <c r="I40" s="6"/>
      <c r="J40" s="6"/>
      <c r="U40" s="7"/>
    </row>
    <row r="41" spans="1:21" ht="13.9" x14ac:dyDescent="0.25">
      <c r="A41" s="5"/>
      <c r="B41" s="6"/>
      <c r="C41" s="6"/>
      <c r="D41" s="6"/>
      <c r="E41" s="6"/>
      <c r="F41" s="6"/>
      <c r="G41" s="6"/>
      <c r="H41" s="6"/>
      <c r="I41" s="6"/>
      <c r="J41" s="6"/>
      <c r="U41" s="7"/>
    </row>
    <row r="42" spans="1:21" ht="13.9" x14ac:dyDescent="0.25">
      <c r="A42" s="5"/>
      <c r="B42" s="6"/>
      <c r="C42" s="6"/>
      <c r="D42" s="6"/>
      <c r="E42" s="6"/>
      <c r="F42" s="6"/>
      <c r="G42" s="6"/>
      <c r="H42" s="6"/>
      <c r="I42" s="6"/>
      <c r="J42" s="6"/>
      <c r="U42" s="8"/>
    </row>
    <row r="43" spans="1:21" ht="13.9" x14ac:dyDescent="0.25">
      <c r="A43" s="5"/>
      <c r="B43" s="6"/>
      <c r="C43" s="6"/>
      <c r="D43" s="6"/>
      <c r="E43" s="6"/>
      <c r="F43" s="6"/>
      <c r="G43" s="6"/>
      <c r="H43" s="6"/>
      <c r="I43" s="6"/>
      <c r="J43" s="6"/>
      <c r="U43" s="7"/>
    </row>
    <row r="44" spans="1:21" ht="13.9" x14ac:dyDescent="0.25">
      <c r="A44" s="5"/>
      <c r="B44" s="6"/>
      <c r="C44" s="6"/>
      <c r="D44" s="6"/>
      <c r="E44" s="6"/>
      <c r="F44" s="6"/>
      <c r="G44" s="6"/>
      <c r="H44" s="6"/>
      <c r="I44" s="6"/>
      <c r="J44" s="6"/>
      <c r="U44" s="7"/>
    </row>
    <row r="45" spans="1:21" ht="13.9" x14ac:dyDescent="0.25">
      <c r="A45" s="5"/>
      <c r="B45" s="6"/>
      <c r="C45" s="6"/>
      <c r="D45" s="6"/>
      <c r="E45" s="6"/>
      <c r="F45" s="6"/>
      <c r="G45" s="6"/>
      <c r="H45" s="6"/>
      <c r="I45" s="6"/>
      <c r="J45" s="6"/>
      <c r="U45" s="7"/>
    </row>
    <row r="46" spans="1:21" x14ac:dyDescent="0.25">
      <c r="A46" s="5"/>
      <c r="B46" s="1" t="s">
        <v>595</v>
      </c>
      <c r="C46" s="6"/>
      <c r="D46" s="6"/>
      <c r="E46" s="6"/>
      <c r="F46" s="6"/>
      <c r="G46" s="6"/>
      <c r="H46" s="6"/>
      <c r="I46" s="6"/>
      <c r="J46" s="6"/>
      <c r="U46" s="7"/>
    </row>
    <row r="47" spans="1:21" ht="13.9" x14ac:dyDescent="0.25">
      <c r="A47" s="5"/>
      <c r="B47" s="1" t="s">
        <v>599</v>
      </c>
      <c r="C47" s="6"/>
      <c r="D47" s="6"/>
      <c r="E47" s="6"/>
      <c r="F47" s="6"/>
      <c r="G47" s="6"/>
      <c r="H47" s="6"/>
      <c r="I47" s="6"/>
      <c r="J47" s="6"/>
      <c r="U47" s="7"/>
    </row>
    <row r="48" spans="1:21" ht="13.9" x14ac:dyDescent="0.25">
      <c r="A48" s="5"/>
      <c r="B48" s="1" t="s">
        <v>593</v>
      </c>
      <c r="C48" s="6"/>
      <c r="D48" s="6"/>
      <c r="E48" s="6"/>
      <c r="F48" s="6"/>
      <c r="G48" s="6"/>
      <c r="H48" s="6"/>
      <c r="I48" s="6"/>
      <c r="J48" s="6"/>
      <c r="U48" s="7"/>
    </row>
    <row r="49" spans="1:21" ht="13.9" x14ac:dyDescent="0.25">
      <c r="A49" s="5"/>
      <c r="B49" s="6"/>
      <c r="C49" s="6"/>
      <c r="D49" s="6"/>
      <c r="E49" s="6"/>
      <c r="F49" s="6"/>
      <c r="G49" s="6"/>
      <c r="H49" s="6"/>
      <c r="I49" s="6"/>
      <c r="J49" s="6"/>
      <c r="U49" s="7"/>
    </row>
    <row r="50" spans="1:21" ht="13.9" x14ac:dyDescent="0.25">
      <c r="A50" s="5"/>
      <c r="C50" s="6"/>
      <c r="D50" s="6"/>
      <c r="E50" s="6"/>
      <c r="F50" s="6"/>
      <c r="G50" s="6"/>
      <c r="H50" s="6"/>
      <c r="I50" s="6"/>
      <c r="J50" s="6"/>
      <c r="U50" s="7"/>
    </row>
    <row r="51" spans="1:21" ht="13.9" x14ac:dyDescent="0.25">
      <c r="A51" s="5"/>
      <c r="C51" s="6"/>
      <c r="D51" s="6"/>
      <c r="E51" s="6"/>
      <c r="F51" s="6"/>
      <c r="G51" s="6"/>
      <c r="H51" s="6"/>
      <c r="I51" s="6"/>
      <c r="J51" s="6"/>
      <c r="U51" s="7"/>
    </row>
    <row r="52" spans="1:21" ht="13.9" x14ac:dyDescent="0.25">
      <c r="A52" s="5"/>
      <c r="C52" s="6"/>
      <c r="D52" s="6"/>
      <c r="E52" s="6"/>
      <c r="F52" s="6"/>
      <c r="G52" s="6"/>
      <c r="H52" s="6"/>
      <c r="I52" s="6"/>
      <c r="J52" s="6"/>
      <c r="U52" s="7"/>
    </row>
    <row r="53" spans="1:21" ht="13.9" x14ac:dyDescent="0.25">
      <c r="A53" s="5"/>
      <c r="B53" s="6"/>
      <c r="C53" s="6"/>
      <c r="D53" s="6"/>
      <c r="E53" s="6"/>
      <c r="F53" s="6"/>
      <c r="G53" s="6"/>
      <c r="H53" s="6"/>
      <c r="I53" s="6"/>
      <c r="J53" s="6"/>
      <c r="U53" s="7"/>
    </row>
    <row r="54" spans="1:21" ht="13.9" x14ac:dyDescent="0.25">
      <c r="A54" s="5"/>
      <c r="B54" s="6"/>
      <c r="C54" s="6"/>
      <c r="D54" s="6"/>
      <c r="E54" s="6"/>
      <c r="F54" s="6"/>
      <c r="G54" s="6"/>
      <c r="H54" s="6"/>
      <c r="I54" s="6"/>
      <c r="J54" s="6"/>
      <c r="U54" s="7"/>
    </row>
    <row r="55" spans="1:21" ht="13.9" x14ac:dyDescent="0.25">
      <c r="A55" s="5"/>
      <c r="B55" s="6"/>
      <c r="C55" s="6"/>
      <c r="D55" s="6"/>
      <c r="E55" s="6"/>
      <c r="F55" s="6"/>
      <c r="G55" s="6"/>
      <c r="H55" s="6"/>
      <c r="I55" s="6"/>
      <c r="J55" s="6"/>
      <c r="U55" s="7"/>
    </row>
    <row r="56" spans="1:21" ht="13.9" x14ac:dyDescent="0.25">
      <c r="A56" s="5"/>
      <c r="B56" s="6"/>
      <c r="C56" s="6"/>
      <c r="D56" s="6"/>
      <c r="E56" s="6"/>
      <c r="F56" s="6"/>
      <c r="G56" s="6"/>
      <c r="H56" s="6"/>
      <c r="I56" s="6"/>
      <c r="J56" s="6"/>
      <c r="U56" s="7"/>
    </row>
    <row r="57" spans="1:21" ht="13.9" x14ac:dyDescent="0.25">
      <c r="A57" s="5"/>
      <c r="C57" s="6"/>
      <c r="D57" s="6"/>
      <c r="E57" s="6"/>
      <c r="F57" s="6"/>
      <c r="G57" s="6"/>
      <c r="H57" s="6"/>
      <c r="I57" s="6"/>
      <c r="J57" s="6"/>
      <c r="U57" s="7"/>
    </row>
    <row r="58" spans="1:21" ht="13.9" x14ac:dyDescent="0.25">
      <c r="A58" s="5"/>
      <c r="C58" s="6"/>
      <c r="D58" s="6"/>
      <c r="E58" s="6"/>
      <c r="F58" s="6"/>
      <c r="G58" s="6"/>
      <c r="H58" s="6"/>
      <c r="I58" s="6"/>
      <c r="J58" s="6"/>
      <c r="U58" s="7"/>
    </row>
    <row r="59" spans="1:21" ht="13.9" x14ac:dyDescent="0.25">
      <c r="A59" s="5"/>
      <c r="U59" s="7"/>
    </row>
    <row r="60" spans="1:21" ht="13.9" x14ac:dyDescent="0.25">
      <c r="A60" s="5"/>
      <c r="U60" s="7"/>
    </row>
    <row r="61" spans="1:21" ht="13.9" x14ac:dyDescent="0.25">
      <c r="A61" s="5"/>
      <c r="U61" s="7"/>
    </row>
    <row r="62" spans="1:21" ht="13.9" x14ac:dyDescent="0.25">
      <c r="A62" s="5"/>
      <c r="C62" s="6"/>
      <c r="D62" s="6"/>
      <c r="E62" s="6"/>
      <c r="F62" s="6"/>
      <c r="H62" s="6"/>
      <c r="I62" s="6"/>
      <c r="J62" s="6"/>
      <c r="U62" s="7"/>
    </row>
    <row r="63" spans="1:21" ht="13.9" x14ac:dyDescent="0.25">
      <c r="A63" s="5"/>
      <c r="C63" s="6"/>
      <c r="D63" s="6"/>
      <c r="E63" s="6"/>
      <c r="F63" s="6"/>
      <c r="H63" s="6"/>
      <c r="I63" s="6"/>
      <c r="J63" s="6"/>
      <c r="U63" s="7"/>
    </row>
    <row r="64" spans="1:21" ht="13.9" x14ac:dyDescent="0.25">
      <c r="A64" s="5"/>
      <c r="C64" s="6"/>
      <c r="D64" s="6"/>
      <c r="E64" s="6"/>
      <c r="F64" s="6"/>
      <c r="G64" s="6"/>
      <c r="H64" s="6"/>
      <c r="I64" s="6"/>
      <c r="J64" s="6"/>
      <c r="U64" s="7"/>
    </row>
    <row r="65" spans="1:21" ht="13.9" x14ac:dyDescent="0.25">
      <c r="A65" s="9"/>
      <c r="B65" s="10"/>
      <c r="C65" s="10"/>
      <c r="D65" s="10"/>
      <c r="E65" s="10"/>
      <c r="F65" s="10"/>
      <c r="G65" s="10"/>
      <c r="H65" s="10"/>
      <c r="I65" s="10"/>
      <c r="J65" s="10"/>
      <c r="K65" s="10"/>
      <c r="L65" s="10"/>
      <c r="M65" s="10"/>
      <c r="N65" s="10"/>
      <c r="O65" s="10"/>
      <c r="P65" s="10"/>
      <c r="Q65" s="10"/>
      <c r="R65" s="10"/>
      <c r="S65" s="10"/>
      <c r="T65" s="10"/>
      <c r="U65" s="11"/>
    </row>
  </sheetData>
  <mergeCells count="15">
    <mergeCell ref="Q3:U3"/>
    <mergeCell ref="B17:T17"/>
    <mergeCell ref="B18:T21"/>
    <mergeCell ref="B23:T24"/>
    <mergeCell ref="B26:T27"/>
    <mergeCell ref="A1:E3"/>
    <mergeCell ref="F1:G2"/>
    <mergeCell ref="H1:N2"/>
    <mergeCell ref="O1:P1"/>
    <mergeCell ref="Q1:U1"/>
    <mergeCell ref="O2:P2"/>
    <mergeCell ref="Q2:U2"/>
    <mergeCell ref="F3:G3"/>
    <mergeCell ref="H3:N3"/>
    <mergeCell ref="O3:P3"/>
  </mergeCells>
  <printOptions horizontalCentered="1" verticalCentered="1"/>
  <pageMargins left="0.47244094488188981" right="0.47244094488188981" top="0.74803149606299213" bottom="0.74803149606299213" header="0.31496062992125984" footer="0.31496062992125984"/>
  <pageSetup scale="71" fitToWidth="0"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04B2B-3082-4639-9531-8E0DD000D7DC}">
  <dimension ref="A1:AO251"/>
  <sheetViews>
    <sheetView view="pageBreakPreview" topLeftCell="A28" zoomScaleNormal="100" zoomScaleSheetLayoutView="100" workbookViewId="0">
      <selection activeCell="L20" sqref="L20"/>
    </sheetView>
  </sheetViews>
  <sheetFormatPr baseColWidth="10" defaultColWidth="5.7109375" defaultRowHeight="15" x14ac:dyDescent="0.25"/>
  <cols>
    <col min="1" max="16" width="5.7109375" style="1" customWidth="1"/>
    <col min="17" max="17" width="5.7109375" style="1"/>
    <col min="18" max="24" width="5.7109375" style="1" customWidth="1"/>
    <col min="25" max="36" width="5.7109375" style="1"/>
    <col min="37" max="37" width="7" style="1" bestFit="1" customWidth="1"/>
    <col min="38" max="16384" width="5.7109375" style="1"/>
  </cols>
  <sheetData>
    <row r="1" spans="1:24"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4"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c r="W2" s="1" t="s">
        <v>40</v>
      </c>
    </row>
    <row r="3" spans="1:24" x14ac:dyDescent="0.25">
      <c r="A3" s="214"/>
      <c r="B3" s="215"/>
      <c r="C3" s="215"/>
      <c r="D3" s="215"/>
      <c r="E3" s="216"/>
      <c r="F3" s="217" t="s">
        <v>1</v>
      </c>
      <c r="G3" s="210"/>
      <c r="H3" s="217" t="s">
        <v>146</v>
      </c>
      <c r="I3" s="209"/>
      <c r="J3" s="209"/>
      <c r="K3" s="209"/>
      <c r="L3" s="209"/>
      <c r="M3" s="209"/>
      <c r="N3" s="210"/>
      <c r="O3" s="217" t="s">
        <v>4</v>
      </c>
      <c r="P3" s="209"/>
      <c r="Q3" s="246" t="str">
        <f>'0. CARTA RESPONSABILIDAD'!Q3</f>
        <v>R0</v>
      </c>
      <c r="R3" s="209"/>
      <c r="S3" s="209"/>
      <c r="T3" s="209"/>
      <c r="U3" s="210"/>
      <c r="W3" s="1" t="s">
        <v>41</v>
      </c>
      <c r="X3" s="1" t="s">
        <v>42</v>
      </c>
    </row>
    <row r="4" spans="1:24" ht="13.9" x14ac:dyDescent="0.25">
      <c r="A4" s="2"/>
      <c r="B4" s="3"/>
      <c r="C4" s="3"/>
      <c r="D4" s="3"/>
      <c r="E4" s="3"/>
      <c r="F4" s="3"/>
      <c r="G4" s="3"/>
      <c r="H4" s="3"/>
      <c r="I4" s="3"/>
      <c r="J4" s="3"/>
      <c r="K4" s="3"/>
      <c r="L4" s="3"/>
      <c r="M4" s="3"/>
      <c r="N4" s="3"/>
      <c r="O4" s="3"/>
      <c r="P4" s="3"/>
      <c r="Q4" s="3"/>
      <c r="R4" s="3"/>
      <c r="S4" s="3"/>
      <c r="T4" s="3"/>
      <c r="U4" s="4"/>
      <c r="W4" s="1" t="s">
        <v>42</v>
      </c>
      <c r="X4" s="20">
        <v>1</v>
      </c>
    </row>
    <row r="5" spans="1:24" ht="13.9" customHeight="1" x14ac:dyDescent="0.25">
      <c r="A5" s="5"/>
      <c r="B5" s="234" t="s">
        <v>6</v>
      </c>
      <c r="C5" s="234"/>
      <c r="D5" s="234"/>
      <c r="E5" s="234"/>
      <c r="F5" s="234"/>
      <c r="G5" s="234"/>
      <c r="H5" s="234"/>
      <c r="I5" s="234"/>
      <c r="J5" s="234"/>
      <c r="K5" s="234"/>
      <c r="L5" s="233" t="s">
        <v>834</v>
      </c>
      <c r="M5" s="233"/>
      <c r="N5" s="233"/>
      <c r="O5" s="233"/>
      <c r="P5" s="233"/>
      <c r="Q5" s="233"/>
      <c r="R5" s="233"/>
      <c r="S5" s="233"/>
      <c r="T5" s="233"/>
      <c r="U5" s="7"/>
      <c r="W5" s="1" t="s">
        <v>43</v>
      </c>
      <c r="X5" s="20">
        <v>1.1000000000000001</v>
      </c>
    </row>
    <row r="6" spans="1:24" x14ac:dyDescent="0.25">
      <c r="A6" s="5"/>
      <c r="B6" s="234"/>
      <c r="C6" s="234"/>
      <c r="D6" s="234"/>
      <c r="E6" s="234"/>
      <c r="F6" s="234"/>
      <c r="G6" s="234"/>
      <c r="H6" s="234"/>
      <c r="I6" s="234"/>
      <c r="J6" s="234"/>
      <c r="K6" s="234"/>
      <c r="L6" s="233"/>
      <c r="M6" s="233"/>
      <c r="N6" s="233"/>
      <c r="O6" s="233"/>
      <c r="P6" s="233"/>
      <c r="Q6" s="233"/>
      <c r="R6" s="233"/>
      <c r="S6" s="233"/>
      <c r="T6" s="233"/>
      <c r="U6" s="7"/>
      <c r="W6" s="1" t="s">
        <v>44</v>
      </c>
      <c r="X6" s="20">
        <v>1.25</v>
      </c>
    </row>
    <row r="7" spans="1:24" x14ac:dyDescent="0.25">
      <c r="A7" s="5"/>
      <c r="B7" s="234"/>
      <c r="C7" s="234"/>
      <c r="D7" s="234"/>
      <c r="E7" s="234"/>
      <c r="F7" s="234"/>
      <c r="G7" s="234"/>
      <c r="H7" s="234"/>
      <c r="I7" s="234"/>
      <c r="J7" s="234"/>
      <c r="K7" s="234"/>
      <c r="L7" s="233"/>
      <c r="M7" s="233"/>
      <c r="N7" s="233"/>
      <c r="O7" s="233"/>
      <c r="P7" s="233"/>
      <c r="Q7" s="233"/>
      <c r="R7" s="233"/>
      <c r="S7" s="233"/>
      <c r="T7" s="233"/>
      <c r="U7" s="7"/>
      <c r="W7" s="1" t="s">
        <v>45</v>
      </c>
      <c r="X7" s="20">
        <v>1.5</v>
      </c>
    </row>
    <row r="8" spans="1:24" ht="13.9" x14ac:dyDescent="0.25">
      <c r="A8" s="5"/>
      <c r="U8" s="7"/>
    </row>
    <row r="9" spans="1:24" x14ac:dyDescent="0.25">
      <c r="A9" s="5"/>
      <c r="B9" s="237" t="s">
        <v>531</v>
      </c>
      <c r="C9" s="237"/>
      <c r="D9" s="237"/>
      <c r="E9" s="237"/>
      <c r="F9" s="237"/>
      <c r="G9" s="237"/>
      <c r="H9" s="237"/>
      <c r="I9" s="237"/>
      <c r="J9" s="237"/>
      <c r="K9" s="237"/>
      <c r="L9" s="237" t="s">
        <v>598</v>
      </c>
      <c r="M9" s="237"/>
      <c r="N9" s="237"/>
      <c r="O9" s="237"/>
      <c r="P9" s="237"/>
      <c r="Q9" s="237"/>
      <c r="R9" s="237"/>
      <c r="S9" s="237"/>
      <c r="T9" s="237"/>
      <c r="U9" s="7"/>
      <c r="W9" s="13"/>
      <c r="X9" s="13"/>
    </row>
    <row r="10" spans="1:24" x14ac:dyDescent="0.25">
      <c r="A10" s="5"/>
      <c r="B10" s="237" t="s">
        <v>7</v>
      </c>
      <c r="C10" s="237"/>
      <c r="D10" s="237"/>
      <c r="E10" s="237"/>
      <c r="F10" s="237"/>
      <c r="G10" s="237"/>
      <c r="H10" s="237"/>
      <c r="I10" s="237"/>
      <c r="J10" s="237"/>
      <c r="K10" s="237"/>
      <c r="L10" s="237"/>
      <c r="M10" s="237"/>
      <c r="N10" s="237"/>
      <c r="O10" s="237"/>
      <c r="P10" s="237"/>
      <c r="Q10" s="237"/>
      <c r="R10" s="237"/>
      <c r="S10" s="237"/>
      <c r="T10" s="237"/>
      <c r="U10" s="7"/>
      <c r="W10" s="13"/>
    </row>
    <row r="11" spans="1:24" ht="13.9" x14ac:dyDescent="0.25">
      <c r="A11" s="5"/>
      <c r="B11" s="237" t="s">
        <v>8</v>
      </c>
      <c r="C11" s="237"/>
      <c r="D11" s="237"/>
      <c r="E11" s="237"/>
      <c r="F11" s="237"/>
      <c r="G11" s="237"/>
      <c r="H11" s="237"/>
      <c r="I11" s="237"/>
      <c r="J11" s="237"/>
      <c r="K11" s="237"/>
      <c r="L11" s="237"/>
      <c r="M11" s="237"/>
      <c r="N11" s="237"/>
      <c r="O11" s="237"/>
      <c r="P11" s="237"/>
      <c r="Q11" s="237"/>
      <c r="R11" s="237"/>
      <c r="S11" s="237"/>
      <c r="T11" s="237"/>
      <c r="U11" s="7"/>
      <c r="W11" s="13"/>
    </row>
    <row r="12" spans="1:24" ht="13.9" customHeight="1" x14ac:dyDescent="0.25">
      <c r="A12" s="5"/>
      <c r="B12" s="237" t="s">
        <v>47</v>
      </c>
      <c r="C12" s="237"/>
      <c r="D12" s="237"/>
      <c r="E12" s="237"/>
      <c r="F12" s="237"/>
      <c r="G12" s="237"/>
      <c r="H12" s="237"/>
      <c r="I12" s="237"/>
      <c r="J12" s="237"/>
      <c r="K12" s="237"/>
      <c r="L12" s="255" t="s">
        <v>832</v>
      </c>
      <c r="M12" s="255"/>
      <c r="N12" s="255"/>
      <c r="O12" s="255"/>
      <c r="P12" s="255"/>
      <c r="Q12" s="255"/>
      <c r="R12" s="255"/>
      <c r="S12" s="255"/>
      <c r="T12" s="255"/>
      <c r="U12" s="7"/>
      <c r="W12" s="13"/>
    </row>
    <row r="13" spans="1:24" ht="13.9" x14ac:dyDescent="0.25">
      <c r="A13" s="5"/>
      <c r="B13" s="237" t="s">
        <v>38</v>
      </c>
      <c r="C13" s="237"/>
      <c r="D13" s="237"/>
      <c r="E13" s="237"/>
      <c r="F13" s="237"/>
      <c r="G13" s="237"/>
      <c r="H13" s="237"/>
      <c r="I13" s="237"/>
      <c r="J13" s="237"/>
      <c r="K13" s="239"/>
      <c r="L13" s="58" t="s">
        <v>42</v>
      </c>
      <c r="M13" s="59"/>
      <c r="N13" s="59"/>
      <c r="O13" s="59"/>
      <c r="P13" s="59"/>
      <c r="Q13" s="59"/>
      <c r="R13" s="59"/>
      <c r="S13" s="59"/>
      <c r="T13" s="60"/>
      <c r="U13" s="7"/>
      <c r="W13" s="13"/>
    </row>
    <row r="14" spans="1:24" ht="13.9" x14ac:dyDescent="0.25">
      <c r="A14" s="5"/>
      <c r="B14" s="237" t="s">
        <v>39</v>
      </c>
      <c r="C14" s="237"/>
      <c r="D14" s="237"/>
      <c r="E14" s="237"/>
      <c r="F14" s="237"/>
      <c r="G14" s="237"/>
      <c r="H14" s="237"/>
      <c r="I14" s="237"/>
      <c r="J14" s="237"/>
      <c r="K14" s="239"/>
      <c r="L14" s="58">
        <f>VLOOKUP(L13,$W$4:$X$7,2,)</f>
        <v>1</v>
      </c>
      <c r="M14" s="59"/>
      <c r="N14" s="59"/>
      <c r="O14" s="59"/>
      <c r="P14" s="59"/>
      <c r="Q14" s="59"/>
      <c r="R14" s="59"/>
      <c r="S14" s="59"/>
      <c r="T14" s="60"/>
      <c r="U14" s="7"/>
      <c r="W14" s="13"/>
    </row>
    <row r="15" spans="1:24" ht="13.9" x14ac:dyDescent="0.25">
      <c r="A15" s="5"/>
      <c r="B15" s="237" t="s">
        <v>50</v>
      </c>
      <c r="C15" s="237"/>
      <c r="D15" s="237"/>
      <c r="E15" s="237"/>
      <c r="F15" s="237"/>
      <c r="G15" s="237"/>
      <c r="H15" s="237"/>
      <c r="I15" s="237"/>
      <c r="J15" s="237"/>
      <c r="K15" s="239"/>
      <c r="L15" s="61">
        <v>8.1</v>
      </c>
      <c r="M15" s="62" t="s">
        <v>101</v>
      </c>
      <c r="N15" s="62"/>
      <c r="O15" s="62"/>
      <c r="P15" s="62"/>
      <c r="Q15" s="62"/>
      <c r="R15" s="62"/>
      <c r="S15" s="62"/>
      <c r="T15" s="63"/>
      <c r="U15" s="7"/>
      <c r="W15" s="13"/>
    </row>
    <row r="16" spans="1:24" x14ac:dyDescent="0.25">
      <c r="A16" s="5"/>
      <c r="B16" s="237" t="s">
        <v>471</v>
      </c>
      <c r="C16" s="237"/>
      <c r="D16" s="237"/>
      <c r="E16" s="237"/>
      <c r="F16" s="237"/>
      <c r="G16" s="237"/>
      <c r="H16" s="237"/>
      <c r="I16" s="237"/>
      <c r="J16" s="237"/>
      <c r="K16" s="237"/>
      <c r="L16" s="256" t="s">
        <v>566</v>
      </c>
      <c r="M16" s="256"/>
      <c r="N16" s="256"/>
      <c r="O16" s="256"/>
      <c r="P16" s="256"/>
      <c r="Q16" s="256"/>
      <c r="R16" s="256"/>
      <c r="S16" s="256"/>
      <c r="T16" s="256"/>
      <c r="U16" s="7"/>
      <c r="W16" s="13"/>
    </row>
    <row r="17" spans="1:25" x14ac:dyDescent="0.25">
      <c r="A17" s="5"/>
      <c r="B17" s="237" t="s">
        <v>472</v>
      </c>
      <c r="C17" s="237"/>
      <c r="D17" s="237"/>
      <c r="E17" s="237"/>
      <c r="F17" s="237"/>
      <c r="G17" s="237"/>
      <c r="H17" s="237"/>
      <c r="I17" s="237"/>
      <c r="J17" s="237"/>
      <c r="K17" s="237"/>
      <c r="L17" s="256" t="s">
        <v>566</v>
      </c>
      <c r="M17" s="256"/>
      <c r="N17" s="256"/>
      <c r="O17" s="256"/>
      <c r="P17" s="256"/>
      <c r="Q17" s="256"/>
      <c r="R17" s="256"/>
      <c r="S17" s="256"/>
      <c r="T17" s="256"/>
      <c r="U17" s="7"/>
      <c r="W17" s="13"/>
    </row>
    <row r="18" spans="1:25" x14ac:dyDescent="0.25">
      <c r="A18" s="5"/>
      <c r="B18" s="239" t="s">
        <v>48</v>
      </c>
      <c r="C18" s="250"/>
      <c r="D18" s="250"/>
      <c r="E18" s="250"/>
      <c r="F18" s="250"/>
      <c r="G18" s="250"/>
      <c r="H18" s="250"/>
      <c r="I18" s="250"/>
      <c r="J18" s="250"/>
      <c r="K18" s="251"/>
      <c r="L18" s="58" t="s">
        <v>46</v>
      </c>
      <c r="M18" s="59"/>
      <c r="N18" s="59"/>
      <c r="O18" s="59"/>
      <c r="P18" s="59"/>
      <c r="Q18" s="59"/>
      <c r="R18" s="59"/>
      <c r="S18" s="59"/>
      <c r="T18" s="60"/>
      <c r="U18" s="7"/>
      <c r="W18" s="13"/>
    </row>
    <row r="19" spans="1:25" ht="13.9" x14ac:dyDescent="0.25">
      <c r="A19" s="5"/>
      <c r="B19" s="237" t="s">
        <v>49</v>
      </c>
      <c r="C19" s="237"/>
      <c r="D19" s="237"/>
      <c r="E19" s="237"/>
      <c r="F19" s="237"/>
      <c r="G19" s="237"/>
      <c r="H19" s="237"/>
      <c r="I19" s="237"/>
      <c r="J19" s="237"/>
      <c r="K19" s="239"/>
      <c r="L19" s="58" t="s">
        <v>27</v>
      </c>
      <c r="M19" s="59"/>
      <c r="N19" s="59"/>
      <c r="O19" s="59"/>
      <c r="P19" s="59"/>
      <c r="Q19" s="59"/>
      <c r="R19" s="59"/>
      <c r="S19" s="59"/>
      <c r="T19" s="60"/>
      <c r="U19" s="7"/>
      <c r="W19" s="13"/>
      <c r="X19" s="1">
        <v>50</v>
      </c>
      <c r="Y19" s="1">
        <f t="shared" ref="Y19:Y21" si="0">X19+Y20</f>
        <v>810</v>
      </c>
    </row>
    <row r="20" spans="1:25" ht="13.9" x14ac:dyDescent="0.25">
      <c r="A20" s="5"/>
      <c r="U20" s="7"/>
      <c r="W20" s="13"/>
      <c r="X20" s="1">
        <v>260</v>
      </c>
      <c r="Y20" s="1">
        <f t="shared" si="0"/>
        <v>760</v>
      </c>
    </row>
    <row r="21" spans="1:25" x14ac:dyDescent="0.25">
      <c r="A21" s="5"/>
      <c r="B21" s="235" t="s">
        <v>70</v>
      </c>
      <c r="C21" s="235"/>
      <c r="D21" s="235"/>
      <c r="E21" s="235"/>
      <c r="F21" s="235"/>
      <c r="G21" s="235"/>
      <c r="H21" s="235"/>
      <c r="I21" s="235"/>
      <c r="J21" s="235"/>
      <c r="K21" s="235"/>
      <c r="L21" s="236" t="s">
        <v>84</v>
      </c>
      <c r="M21" s="236"/>
      <c r="U21" s="7"/>
      <c r="W21" s="13"/>
      <c r="X21" s="1">
        <v>50</v>
      </c>
      <c r="Y21" s="1">
        <f t="shared" si="0"/>
        <v>500</v>
      </c>
    </row>
    <row r="22" spans="1:25" x14ac:dyDescent="0.25">
      <c r="A22" s="5"/>
      <c r="B22" s="235" t="s">
        <v>530</v>
      </c>
      <c r="C22" s="235"/>
      <c r="D22" s="235"/>
      <c r="E22" s="235"/>
      <c r="F22" s="235"/>
      <c r="G22" s="235"/>
      <c r="H22" s="235"/>
      <c r="I22" s="235"/>
      <c r="J22" s="235"/>
      <c r="K22" s="235"/>
      <c r="L22" s="240" t="s">
        <v>464</v>
      </c>
      <c r="M22" s="240"/>
      <c r="U22" s="7"/>
      <c r="X22" s="1">
        <v>450</v>
      </c>
      <c r="Y22" s="1">
        <f>X22+Y23</f>
        <v>450</v>
      </c>
    </row>
    <row r="23" spans="1:25" x14ac:dyDescent="0.25">
      <c r="A23" s="5"/>
      <c r="B23" s="235" t="s">
        <v>74</v>
      </c>
      <c r="C23" s="235"/>
      <c r="D23" s="235"/>
      <c r="E23" s="235"/>
      <c r="F23" s="235"/>
      <c r="G23" s="235"/>
      <c r="H23" s="235"/>
      <c r="I23" s="235"/>
      <c r="J23" s="235"/>
      <c r="K23" s="235"/>
      <c r="L23" s="236" t="str" cm="1">
        <f t="array" ref="L23">_xlfn.IFS(L22="Baja","DMI",L22="Media","DMO",L22="Alta","DES")</f>
        <v>DES</v>
      </c>
      <c r="M23" s="236"/>
      <c r="U23" s="7"/>
    </row>
    <row r="24" spans="1:25" x14ac:dyDescent="0.25">
      <c r="A24" s="5"/>
      <c r="B24" s="235" t="s">
        <v>475</v>
      </c>
      <c r="C24" s="235"/>
      <c r="D24" s="235"/>
      <c r="E24" s="235"/>
      <c r="F24" s="235"/>
      <c r="G24" s="235"/>
      <c r="H24" s="235"/>
      <c r="I24" s="235"/>
      <c r="J24" s="235"/>
      <c r="K24" s="235"/>
      <c r="L24" s="53" t="s">
        <v>473</v>
      </c>
      <c r="M24" s="68">
        <v>7</v>
      </c>
      <c r="U24" s="7"/>
    </row>
    <row r="25" spans="1:25" x14ac:dyDescent="0.25">
      <c r="A25" s="5"/>
      <c r="B25" s="244" t="s">
        <v>476</v>
      </c>
      <c r="C25" s="252"/>
      <c r="D25" s="252"/>
      <c r="E25" s="252"/>
      <c r="F25" s="252"/>
      <c r="G25" s="252"/>
      <c r="H25" s="252"/>
      <c r="I25" s="252"/>
      <c r="J25" s="252"/>
      <c r="K25" s="245"/>
      <c r="L25" s="53" t="s">
        <v>474</v>
      </c>
      <c r="M25" s="68">
        <v>7</v>
      </c>
      <c r="U25" s="7"/>
    </row>
    <row r="26" spans="1:25" x14ac:dyDescent="0.25">
      <c r="A26" s="5"/>
      <c r="B26" s="235" t="s">
        <v>77</v>
      </c>
      <c r="C26" s="235"/>
      <c r="D26" s="235"/>
      <c r="E26" s="235"/>
      <c r="F26" s="235"/>
      <c r="G26" s="235"/>
      <c r="H26" s="235"/>
      <c r="I26" s="235"/>
      <c r="J26" s="235"/>
      <c r="K26" s="235"/>
      <c r="L26" s="53" t="s">
        <v>56</v>
      </c>
      <c r="M26" s="68">
        <v>0.25</v>
      </c>
      <c r="U26" s="7"/>
    </row>
    <row r="27" spans="1:25" ht="13.9" x14ac:dyDescent="0.25">
      <c r="A27" s="5"/>
      <c r="B27" s="235" t="s">
        <v>78</v>
      </c>
      <c r="C27" s="235"/>
      <c r="D27" s="235"/>
      <c r="E27" s="235"/>
      <c r="F27" s="235"/>
      <c r="G27" s="235"/>
      <c r="H27" s="235"/>
      <c r="I27" s="235"/>
      <c r="J27" s="235"/>
      <c r="K27" s="235"/>
      <c r="L27" s="53" t="s">
        <v>57</v>
      </c>
      <c r="M27" s="68">
        <v>0.2</v>
      </c>
      <c r="U27" s="7"/>
    </row>
    <row r="28" spans="1:25" ht="13.9" x14ac:dyDescent="0.25">
      <c r="A28" s="5"/>
      <c r="B28" s="235" t="s">
        <v>79</v>
      </c>
      <c r="C28" s="235"/>
      <c r="D28" s="235"/>
      <c r="E28" s="235"/>
      <c r="F28" s="235"/>
      <c r="G28" s="235"/>
      <c r="H28" s="235"/>
      <c r="I28" s="235"/>
      <c r="J28" s="235"/>
      <c r="K28" s="235"/>
      <c r="L28" s="53" t="s">
        <v>42</v>
      </c>
      <c r="M28" s="12">
        <f>L14</f>
        <v>1</v>
      </c>
      <c r="U28" s="7"/>
    </row>
    <row r="29" spans="1:25" x14ac:dyDescent="0.25">
      <c r="A29" s="5"/>
      <c r="B29" s="235" t="s">
        <v>181</v>
      </c>
      <c r="C29" s="235"/>
      <c r="D29" s="235"/>
      <c r="E29" s="235"/>
      <c r="F29" s="235"/>
      <c r="G29" s="235"/>
      <c r="H29" s="235"/>
      <c r="I29" s="235"/>
      <c r="J29" s="235"/>
      <c r="K29" s="235"/>
      <c r="L29" s="53" t="s">
        <v>66</v>
      </c>
      <c r="M29" s="12">
        <f>'3. ESPECTRO'!M23</f>
        <v>1.45</v>
      </c>
      <c r="U29" s="7"/>
    </row>
    <row r="30" spans="1:25" x14ac:dyDescent="0.25">
      <c r="A30" s="5"/>
      <c r="B30" s="235" t="s">
        <v>182</v>
      </c>
      <c r="C30" s="235"/>
      <c r="D30" s="235"/>
      <c r="E30" s="235"/>
      <c r="F30" s="235"/>
      <c r="G30" s="235"/>
      <c r="H30" s="235"/>
      <c r="I30" s="235"/>
      <c r="J30" s="235"/>
      <c r="K30" s="235"/>
      <c r="L30" s="53" t="s">
        <v>68</v>
      </c>
      <c r="M30" s="12">
        <f>'3. ESPECTRO'!M24</f>
        <v>3.2</v>
      </c>
      <c r="N30" s="20" t="str">
        <f>'3. ESPECTRO'!AH76</f>
        <v/>
      </c>
      <c r="U30" s="7"/>
    </row>
    <row r="31" spans="1:25" x14ac:dyDescent="0.25">
      <c r="A31" s="5"/>
      <c r="B31" s="235" t="s">
        <v>80</v>
      </c>
      <c r="C31" s="235"/>
      <c r="D31" s="235"/>
      <c r="E31" s="235"/>
      <c r="F31" s="235"/>
      <c r="G31" s="235"/>
      <c r="H31" s="235"/>
      <c r="I31" s="235"/>
      <c r="J31" s="235"/>
      <c r="K31" s="235"/>
      <c r="L31" s="53" t="s">
        <v>85</v>
      </c>
      <c r="M31" s="12">
        <f>'5. IRREGULARIDADES'!M147</f>
        <v>1</v>
      </c>
      <c r="N31" s="20" t="str">
        <f>'3. ESPECTRO'!AH77</f>
        <v/>
      </c>
      <c r="U31" s="7"/>
    </row>
    <row r="32" spans="1:25" x14ac:dyDescent="0.25">
      <c r="A32" s="5"/>
      <c r="B32" s="235" t="s">
        <v>81</v>
      </c>
      <c r="C32" s="235"/>
      <c r="D32" s="235"/>
      <c r="E32" s="235"/>
      <c r="F32" s="235"/>
      <c r="G32" s="235"/>
      <c r="H32" s="235"/>
      <c r="I32" s="235"/>
      <c r="J32" s="235"/>
      <c r="K32" s="235"/>
      <c r="L32" s="53" t="s">
        <v>86</v>
      </c>
      <c r="M32" s="12">
        <f>'5. IRREGULARIDADES'!M146</f>
        <v>1</v>
      </c>
      <c r="U32" s="7"/>
    </row>
    <row r="33" spans="1:21" x14ac:dyDescent="0.25">
      <c r="A33" s="5"/>
      <c r="B33" s="235" t="s">
        <v>82</v>
      </c>
      <c r="C33" s="235"/>
      <c r="D33" s="235"/>
      <c r="E33" s="235"/>
      <c r="F33" s="235"/>
      <c r="G33" s="235"/>
      <c r="H33" s="235"/>
      <c r="I33" s="235"/>
      <c r="J33" s="235"/>
      <c r="K33" s="235"/>
      <c r="L33" s="53" t="s">
        <v>477</v>
      </c>
      <c r="M33" s="12">
        <f>'5. IRREGULARIDADES'!M148</f>
        <v>0.75</v>
      </c>
      <c r="U33" s="7"/>
    </row>
    <row r="34" spans="1:21" x14ac:dyDescent="0.25">
      <c r="A34" s="5"/>
      <c r="B34" s="235" t="s">
        <v>82</v>
      </c>
      <c r="C34" s="235"/>
      <c r="D34" s="235"/>
      <c r="E34" s="235"/>
      <c r="F34" s="235"/>
      <c r="G34" s="235"/>
      <c r="H34" s="235"/>
      <c r="I34" s="235"/>
      <c r="J34" s="235"/>
      <c r="K34" s="235"/>
      <c r="L34" s="53" t="s">
        <v>581</v>
      </c>
      <c r="M34" s="12">
        <f>'5. IRREGULARIDADES'!I140</f>
        <v>1</v>
      </c>
      <c r="U34" s="7"/>
    </row>
    <row r="35" spans="1:21" x14ac:dyDescent="0.25">
      <c r="A35" s="5"/>
      <c r="B35" s="235" t="s">
        <v>576</v>
      </c>
      <c r="C35" s="235"/>
      <c r="D35" s="235"/>
      <c r="E35" s="235"/>
      <c r="F35" s="235"/>
      <c r="G35" s="235"/>
      <c r="H35" s="235"/>
      <c r="I35" s="235"/>
      <c r="J35" s="235"/>
      <c r="K35" s="235"/>
      <c r="L35" s="53" t="s">
        <v>478</v>
      </c>
      <c r="M35" s="12">
        <f>'5. IRREGULARIDADES'!M150</f>
        <v>5.25</v>
      </c>
      <c r="U35" s="7"/>
    </row>
    <row r="36" spans="1:21" x14ac:dyDescent="0.25">
      <c r="A36" s="5"/>
      <c r="B36" s="235" t="s">
        <v>577</v>
      </c>
      <c r="C36" s="235"/>
      <c r="D36" s="235"/>
      <c r="E36" s="235"/>
      <c r="F36" s="235"/>
      <c r="G36" s="235"/>
      <c r="H36" s="235"/>
      <c r="I36" s="235"/>
      <c r="J36" s="235"/>
      <c r="K36" s="235"/>
      <c r="L36" s="53" t="s">
        <v>578</v>
      </c>
      <c r="M36" s="12">
        <f>'5. IRREGULARIDADES'!P150</f>
        <v>7</v>
      </c>
      <c r="U36" s="7"/>
    </row>
    <row r="37" spans="1:21" x14ac:dyDescent="0.25">
      <c r="A37" s="5"/>
      <c r="B37" s="235" t="s">
        <v>83</v>
      </c>
      <c r="C37" s="235"/>
      <c r="D37" s="235"/>
      <c r="E37" s="235"/>
      <c r="F37" s="235"/>
      <c r="G37" s="235"/>
      <c r="H37" s="235"/>
      <c r="I37" s="235"/>
      <c r="J37" s="235"/>
      <c r="K37" s="235"/>
      <c r="L37" s="53" t="s">
        <v>88</v>
      </c>
      <c r="M37" s="71">
        <f>'7. FHE Y AJUSTE DE SISMO'!P12</f>
        <v>0.30884059105237999</v>
      </c>
      <c r="U37" s="7"/>
    </row>
    <row r="38" spans="1:21" x14ac:dyDescent="0.25">
      <c r="A38" s="5"/>
      <c r="B38" s="235" t="s">
        <v>266</v>
      </c>
      <c r="C38" s="235"/>
      <c r="D38" s="235"/>
      <c r="E38" s="235"/>
      <c r="F38" s="235"/>
      <c r="G38" s="235"/>
      <c r="H38" s="235"/>
      <c r="I38" s="235"/>
      <c r="J38" s="235"/>
      <c r="K38" s="235"/>
      <c r="L38" s="53" t="s">
        <v>243</v>
      </c>
      <c r="M38" s="71">
        <f>'7. FHE Y AJUSTE DE SISMO'!H16</f>
        <v>0.375</v>
      </c>
      <c r="U38" s="7"/>
    </row>
    <row r="39" spans="1:21" x14ac:dyDescent="0.25">
      <c r="A39" s="5"/>
      <c r="B39" s="235" t="s">
        <v>479</v>
      </c>
      <c r="C39" s="235"/>
      <c r="D39" s="235"/>
      <c r="E39" s="235"/>
      <c r="F39" s="235"/>
      <c r="G39" s="235"/>
      <c r="H39" s="235"/>
      <c r="I39" s="235"/>
      <c r="J39" s="235"/>
      <c r="K39" s="235"/>
      <c r="L39" s="53" t="s">
        <v>244</v>
      </c>
      <c r="M39" s="71">
        <f>'7. FHE Y AJUSTE DE SISMO'!H17</f>
        <v>0.42899999999999999</v>
      </c>
      <c r="U39" s="7"/>
    </row>
    <row r="40" spans="1:21" x14ac:dyDescent="0.25">
      <c r="A40" s="5"/>
      <c r="B40" s="235" t="s">
        <v>267</v>
      </c>
      <c r="C40" s="235"/>
      <c r="D40" s="235"/>
      <c r="E40" s="235"/>
      <c r="F40" s="235"/>
      <c r="G40" s="235"/>
      <c r="H40" s="235"/>
      <c r="I40" s="235"/>
      <c r="J40" s="235"/>
      <c r="K40" s="235"/>
      <c r="L40" s="53" t="s">
        <v>89</v>
      </c>
      <c r="M40" s="12">
        <f>'7. FHE Y AJUSTE DE SISMO'!P51</f>
        <v>1</v>
      </c>
      <c r="U40" s="7"/>
    </row>
    <row r="41" spans="1:21" x14ac:dyDescent="0.25">
      <c r="A41" s="5"/>
      <c r="B41" s="235" t="s">
        <v>268</v>
      </c>
      <c r="C41" s="235"/>
      <c r="D41" s="235"/>
      <c r="E41" s="235"/>
      <c r="F41" s="235"/>
      <c r="G41" s="235"/>
      <c r="H41" s="235"/>
      <c r="I41" s="235"/>
      <c r="J41" s="235"/>
      <c r="K41" s="235"/>
      <c r="L41" s="53" t="s">
        <v>90</v>
      </c>
      <c r="M41" s="12">
        <f>'7. FHE Y AJUSTE DE SISMO'!P52</f>
        <v>1</v>
      </c>
      <c r="U41" s="7"/>
    </row>
    <row r="42" spans="1:21" x14ac:dyDescent="0.25">
      <c r="A42" s="5"/>
      <c r="B42" s="235" t="s">
        <v>269</v>
      </c>
      <c r="C42" s="235"/>
      <c r="D42" s="235"/>
      <c r="E42" s="235"/>
      <c r="F42" s="235"/>
      <c r="G42" s="235"/>
      <c r="H42" s="235"/>
      <c r="I42" s="235"/>
      <c r="J42" s="235"/>
      <c r="K42" s="235"/>
      <c r="L42" s="241">
        <f>'8. CHEQUEO DE DERIVAS'!J8</f>
        <v>6.3420177388588258E-3</v>
      </c>
      <c r="M42" s="241"/>
      <c r="U42" s="8"/>
    </row>
    <row r="43" spans="1:21" x14ac:dyDescent="0.25">
      <c r="A43" s="5"/>
      <c r="B43" s="235" t="s">
        <v>270</v>
      </c>
      <c r="C43" s="235"/>
      <c r="D43" s="235"/>
      <c r="E43" s="235"/>
      <c r="F43" s="235"/>
      <c r="G43" s="235"/>
      <c r="H43" s="235"/>
      <c r="I43" s="235"/>
      <c r="J43" s="235"/>
      <c r="K43" s="235"/>
      <c r="L43" s="241">
        <v>0.01</v>
      </c>
      <c r="M43" s="241"/>
      <c r="P43" s="17"/>
      <c r="Q43" s="17"/>
      <c r="U43" s="7"/>
    </row>
    <row r="44" spans="1:21" x14ac:dyDescent="0.25">
      <c r="A44" s="5"/>
      <c r="B44" s="235" t="s">
        <v>71</v>
      </c>
      <c r="C44" s="235"/>
      <c r="D44" s="235"/>
      <c r="E44" s="235"/>
      <c r="F44" s="235"/>
      <c r="G44" s="235"/>
      <c r="H44" s="235"/>
      <c r="I44" s="235"/>
      <c r="J44" s="235"/>
      <c r="K44" s="235"/>
      <c r="L44" s="240" t="s">
        <v>271</v>
      </c>
      <c r="M44" s="240"/>
      <c r="R44" s="17"/>
      <c r="S44" s="17"/>
      <c r="T44" s="17"/>
      <c r="U44" s="7"/>
    </row>
    <row r="45" spans="1:21" x14ac:dyDescent="0.25">
      <c r="A45" s="5"/>
      <c r="B45" s="235" t="s">
        <v>72</v>
      </c>
      <c r="C45" s="235"/>
      <c r="D45" s="235"/>
      <c r="E45" s="235"/>
      <c r="F45" s="235"/>
      <c r="G45" s="235"/>
      <c r="H45" s="235"/>
      <c r="I45" s="235"/>
      <c r="J45" s="235"/>
      <c r="K45" s="235"/>
      <c r="L45" s="240">
        <v>20.75</v>
      </c>
      <c r="M45" s="240"/>
      <c r="U45" s="7"/>
    </row>
    <row r="46" spans="1:21" x14ac:dyDescent="0.25">
      <c r="A46" s="5"/>
      <c r="B46" s="235" t="s">
        <v>73</v>
      </c>
      <c r="C46" s="235"/>
      <c r="D46" s="235"/>
      <c r="E46" s="235"/>
      <c r="F46" s="235"/>
      <c r="G46" s="235"/>
      <c r="H46" s="235"/>
      <c r="I46" s="235"/>
      <c r="J46" s="235"/>
      <c r="K46" s="235"/>
      <c r="L46" s="240">
        <v>20.75</v>
      </c>
      <c r="M46" s="240"/>
      <c r="U46" s="7"/>
    </row>
    <row r="47" spans="1:21" ht="13.9" x14ac:dyDescent="0.25">
      <c r="A47" s="5"/>
      <c r="U47" s="7"/>
    </row>
    <row r="48" spans="1:21" ht="13.9" x14ac:dyDescent="0.25">
      <c r="A48" s="5"/>
      <c r="U48" s="7"/>
    </row>
    <row r="49" spans="1:21" ht="13.9" x14ac:dyDescent="0.25">
      <c r="A49" s="5"/>
      <c r="U49" s="7"/>
    </row>
    <row r="50" spans="1:21" ht="13.9" x14ac:dyDescent="0.25">
      <c r="A50" s="5"/>
      <c r="U50" s="7"/>
    </row>
    <row r="51" spans="1:21" ht="13.9" x14ac:dyDescent="0.25">
      <c r="A51" s="5"/>
      <c r="U51" s="7"/>
    </row>
    <row r="52" spans="1:21" x14ac:dyDescent="0.25">
      <c r="A52" s="5"/>
      <c r="U52" s="7"/>
    </row>
    <row r="53" spans="1:21" x14ac:dyDescent="0.25">
      <c r="A53" s="5"/>
      <c r="U53" s="7"/>
    </row>
    <row r="54" spans="1:21" x14ac:dyDescent="0.25">
      <c r="A54" s="5"/>
      <c r="U54" s="7"/>
    </row>
    <row r="55" spans="1:21" x14ac:dyDescent="0.25">
      <c r="A55" s="5"/>
      <c r="U55" s="7"/>
    </row>
    <row r="56" spans="1:21" x14ac:dyDescent="0.25">
      <c r="A56" s="5"/>
      <c r="U56" s="7"/>
    </row>
    <row r="57" spans="1:21" x14ac:dyDescent="0.25">
      <c r="A57" s="5"/>
      <c r="U57" s="7"/>
    </row>
    <row r="58" spans="1:21" x14ac:dyDescent="0.25">
      <c r="A58" s="5"/>
      <c r="U58" s="7"/>
    </row>
    <row r="59" spans="1:21" x14ac:dyDescent="0.25">
      <c r="A59" s="5"/>
      <c r="U59" s="7"/>
    </row>
    <row r="60" spans="1:21" x14ac:dyDescent="0.25">
      <c r="A60" s="5"/>
      <c r="U60" s="7"/>
    </row>
    <row r="61" spans="1:21" x14ac:dyDescent="0.25">
      <c r="A61" s="5"/>
      <c r="U61" s="7"/>
    </row>
    <row r="62" spans="1:21" x14ac:dyDescent="0.25">
      <c r="A62" s="5"/>
      <c r="U62" s="7"/>
    </row>
    <row r="63" spans="1:21" x14ac:dyDescent="0.25">
      <c r="A63" s="5"/>
      <c r="U63" s="7"/>
    </row>
    <row r="64" spans="1:21" x14ac:dyDescent="0.25">
      <c r="A64" s="5"/>
      <c r="U64" s="7"/>
    </row>
    <row r="65" spans="1:23" x14ac:dyDescent="0.25">
      <c r="A65" s="9"/>
      <c r="B65" s="10"/>
      <c r="C65" s="10"/>
      <c r="D65" s="10"/>
      <c r="E65" s="10"/>
      <c r="F65" s="10"/>
      <c r="G65" s="10"/>
      <c r="H65" s="10"/>
      <c r="I65" s="10"/>
      <c r="J65" s="10"/>
      <c r="K65" s="10"/>
      <c r="L65" s="10"/>
      <c r="M65" s="10"/>
      <c r="N65" s="10"/>
      <c r="O65" s="10"/>
      <c r="P65" s="10"/>
      <c r="Q65" s="10"/>
      <c r="R65" s="10"/>
      <c r="S65" s="10"/>
      <c r="T65" s="10"/>
      <c r="U65" s="11"/>
    </row>
    <row r="66" spans="1:23" x14ac:dyDescent="0.25">
      <c r="A66" s="2"/>
      <c r="B66" s="3"/>
      <c r="C66" s="3"/>
      <c r="D66" s="3"/>
      <c r="E66" s="3"/>
      <c r="F66" s="3"/>
      <c r="G66" s="3"/>
      <c r="H66" s="3"/>
      <c r="I66" s="3"/>
      <c r="J66" s="3"/>
      <c r="K66" s="3"/>
      <c r="L66" s="3"/>
      <c r="M66" s="3"/>
      <c r="N66" s="3"/>
      <c r="O66" s="3"/>
      <c r="P66" s="3"/>
      <c r="Q66" s="3"/>
      <c r="R66" s="3"/>
      <c r="S66" s="3"/>
      <c r="T66" s="3"/>
      <c r="U66" s="4"/>
    </row>
    <row r="67" spans="1:23" x14ac:dyDescent="0.25">
      <c r="A67" s="5"/>
      <c r="B67" s="253" t="s">
        <v>28</v>
      </c>
      <c r="C67" s="253"/>
      <c r="D67" s="253"/>
      <c r="E67" s="253"/>
      <c r="F67" s="253"/>
      <c r="G67" s="253"/>
      <c r="H67" s="253"/>
      <c r="I67" s="253"/>
      <c r="J67" s="253"/>
      <c r="K67" s="253"/>
      <c r="L67" s="253"/>
      <c r="M67" s="253"/>
      <c r="N67" s="253"/>
      <c r="O67" s="253"/>
      <c r="P67" s="253"/>
      <c r="Q67" s="253"/>
      <c r="R67" s="253"/>
      <c r="S67" s="253"/>
      <c r="T67" s="253"/>
      <c r="U67" s="7"/>
    </row>
    <row r="68" spans="1:23" x14ac:dyDescent="0.25">
      <c r="A68" s="5"/>
      <c r="B68" s="254" t="s">
        <v>91</v>
      </c>
      <c r="C68" s="254"/>
      <c r="D68" s="254"/>
      <c r="E68" s="254"/>
      <c r="F68" s="254"/>
      <c r="G68" s="254"/>
      <c r="H68" s="254"/>
      <c r="I68" s="254"/>
      <c r="J68" s="254"/>
      <c r="K68" s="254"/>
      <c r="L68" s="254" t="s">
        <v>92</v>
      </c>
      <c r="M68" s="254"/>
      <c r="N68" s="254"/>
      <c r="O68" s="254"/>
      <c r="P68" s="254"/>
      <c r="Q68" s="254"/>
      <c r="R68" s="254"/>
      <c r="S68" s="254"/>
      <c r="T68" s="254"/>
      <c r="U68" s="7"/>
    </row>
    <row r="69" spans="1:23" x14ac:dyDescent="0.25">
      <c r="A69" s="5"/>
      <c r="B69" s="236" t="s">
        <v>183</v>
      </c>
      <c r="C69" s="236"/>
      <c r="D69" s="236"/>
      <c r="E69" s="236"/>
      <c r="F69" s="236"/>
      <c r="G69" s="236"/>
      <c r="H69" s="236" t="s">
        <v>9</v>
      </c>
      <c r="I69" s="236"/>
      <c r="J69" s="236" t="s">
        <v>11</v>
      </c>
      <c r="K69" s="236"/>
      <c r="L69" s="236" t="s">
        <v>183</v>
      </c>
      <c r="M69" s="236"/>
      <c r="N69" s="236"/>
      <c r="O69" s="236"/>
      <c r="P69" s="236"/>
      <c r="Q69" s="236" t="s">
        <v>557</v>
      </c>
      <c r="R69" s="236"/>
      <c r="S69" s="236" t="s">
        <v>558</v>
      </c>
      <c r="T69" s="236"/>
      <c r="U69" s="7"/>
    </row>
    <row r="70" spans="1:23" x14ac:dyDescent="0.25">
      <c r="A70" s="5"/>
      <c r="B70" s="238" t="s">
        <v>12</v>
      </c>
      <c r="C70" s="238"/>
      <c r="D70" s="238"/>
      <c r="E70" s="238"/>
      <c r="F70" s="238"/>
      <c r="G70" s="238"/>
      <c r="H70" s="64">
        <v>21</v>
      </c>
      <c r="I70" s="49" t="s">
        <v>10</v>
      </c>
      <c r="J70" s="199">
        <f>IF(H70=0,"",4700*SQRT(H70))</f>
        <v>21538.105766292447</v>
      </c>
      <c r="K70" s="49" t="s">
        <v>10</v>
      </c>
      <c r="L70" s="238" t="s">
        <v>19</v>
      </c>
      <c r="M70" s="238"/>
      <c r="N70" s="238"/>
      <c r="O70" s="238"/>
      <c r="P70" s="238"/>
      <c r="Q70" s="64"/>
      <c r="R70" s="49" t="s">
        <v>10</v>
      </c>
      <c r="S70" s="64" t="str">
        <f>IF(Q70=0,"",4700*SQRT(Q70))</f>
        <v/>
      </c>
      <c r="T70" s="49" t="s">
        <v>10</v>
      </c>
      <c r="U70" s="7"/>
      <c r="W70" s="1" t="s">
        <v>559</v>
      </c>
    </row>
    <row r="71" spans="1:23" ht="13.9" customHeight="1" x14ac:dyDescent="0.25">
      <c r="A71" s="5"/>
      <c r="B71" s="238" t="s">
        <v>13</v>
      </c>
      <c r="C71" s="238"/>
      <c r="D71" s="238"/>
      <c r="E71" s="238"/>
      <c r="F71" s="238"/>
      <c r="G71" s="238"/>
      <c r="H71" s="64">
        <v>28</v>
      </c>
      <c r="I71" s="49" t="s">
        <v>10</v>
      </c>
      <c r="J71" s="199">
        <f t="shared" ref="J71:J76" si="1">IF(H71=0,"",4700*SQRT(H71))</f>
        <v>24870.062324007155</v>
      </c>
      <c r="K71" s="49" t="s">
        <v>10</v>
      </c>
      <c r="L71" s="238" t="s">
        <v>20</v>
      </c>
      <c r="M71" s="238"/>
      <c r="N71" s="238"/>
      <c r="O71" s="238"/>
      <c r="P71" s="238"/>
      <c r="Q71" s="64"/>
      <c r="R71" s="49" t="s">
        <v>10</v>
      </c>
      <c r="S71" s="64"/>
      <c r="T71" s="49" t="s">
        <v>10</v>
      </c>
      <c r="U71" s="7"/>
      <c r="W71" s="1" t="s">
        <v>560</v>
      </c>
    </row>
    <row r="72" spans="1:23" x14ac:dyDescent="0.25">
      <c r="A72" s="5"/>
      <c r="B72" s="238" t="s">
        <v>14</v>
      </c>
      <c r="C72" s="238"/>
      <c r="D72" s="238"/>
      <c r="E72" s="238"/>
      <c r="F72" s="238"/>
      <c r="G72" s="238"/>
      <c r="H72" s="64">
        <v>21</v>
      </c>
      <c r="I72" s="49" t="s">
        <v>10</v>
      </c>
      <c r="J72" s="199">
        <f t="shared" si="1"/>
        <v>21538.105766292447</v>
      </c>
      <c r="K72" s="49" t="s">
        <v>10</v>
      </c>
      <c r="L72" s="238" t="s">
        <v>21</v>
      </c>
      <c r="M72" s="238"/>
      <c r="N72" s="238"/>
      <c r="O72" s="238"/>
      <c r="P72" s="238"/>
      <c r="Q72" s="64"/>
      <c r="R72" s="49" t="s">
        <v>10</v>
      </c>
      <c r="S72" s="64"/>
      <c r="T72" s="49" t="s">
        <v>10</v>
      </c>
      <c r="U72" s="7"/>
      <c r="W72" s="1" t="s">
        <v>561</v>
      </c>
    </row>
    <row r="73" spans="1:23" x14ac:dyDescent="0.25">
      <c r="A73" s="5"/>
      <c r="B73" s="238" t="s">
        <v>15</v>
      </c>
      <c r="C73" s="238"/>
      <c r="D73" s="238"/>
      <c r="E73" s="238"/>
      <c r="F73" s="238"/>
      <c r="G73" s="238"/>
      <c r="H73" s="64">
        <v>21</v>
      </c>
      <c r="I73" s="49" t="s">
        <v>10</v>
      </c>
      <c r="J73" s="199">
        <f t="shared" si="1"/>
        <v>21538.105766292447</v>
      </c>
      <c r="K73" s="49" t="s">
        <v>10</v>
      </c>
      <c r="L73" s="238" t="s">
        <v>22</v>
      </c>
      <c r="M73" s="238"/>
      <c r="N73" s="238"/>
      <c r="O73" s="238"/>
      <c r="P73" s="238"/>
      <c r="Q73" s="64"/>
      <c r="R73" s="49" t="s">
        <v>10</v>
      </c>
      <c r="S73" s="64"/>
      <c r="T73" s="49" t="s">
        <v>10</v>
      </c>
      <c r="U73" s="7"/>
    </row>
    <row r="74" spans="1:23" x14ac:dyDescent="0.25">
      <c r="A74" s="5"/>
      <c r="B74" s="238" t="s">
        <v>16</v>
      </c>
      <c r="C74" s="238"/>
      <c r="D74" s="238"/>
      <c r="E74" s="238"/>
      <c r="F74" s="238"/>
      <c r="G74" s="238"/>
      <c r="H74" s="64">
        <v>21</v>
      </c>
      <c r="I74" s="49" t="s">
        <v>10</v>
      </c>
      <c r="J74" s="199">
        <f t="shared" si="1"/>
        <v>21538.105766292447</v>
      </c>
      <c r="K74" s="49" t="s">
        <v>10</v>
      </c>
      <c r="L74" s="238" t="s">
        <v>23</v>
      </c>
      <c r="M74" s="238"/>
      <c r="N74" s="238"/>
      <c r="O74" s="238"/>
      <c r="P74" s="238"/>
      <c r="Q74" s="64"/>
      <c r="R74" s="49" t="s">
        <v>10</v>
      </c>
      <c r="S74" s="64"/>
      <c r="T74" s="49" t="s">
        <v>10</v>
      </c>
      <c r="U74" s="7"/>
    </row>
    <row r="75" spans="1:23" x14ac:dyDescent="0.25">
      <c r="A75" s="5"/>
      <c r="B75" s="238" t="s">
        <v>17</v>
      </c>
      <c r="C75" s="238"/>
      <c r="D75" s="238"/>
      <c r="E75" s="238"/>
      <c r="F75" s="238"/>
      <c r="G75" s="238"/>
      <c r="H75" s="64">
        <v>21</v>
      </c>
      <c r="I75" s="49" t="s">
        <v>10</v>
      </c>
      <c r="J75" s="199">
        <f t="shared" si="1"/>
        <v>21538.105766292447</v>
      </c>
      <c r="K75" s="49" t="s">
        <v>10</v>
      </c>
      <c r="L75" s="238" t="s">
        <v>24</v>
      </c>
      <c r="M75" s="238"/>
      <c r="N75" s="238"/>
      <c r="O75" s="238"/>
      <c r="P75" s="238"/>
      <c r="Q75" s="64"/>
      <c r="R75" s="49" t="s">
        <v>10</v>
      </c>
      <c r="S75" s="64"/>
      <c r="T75" s="49" t="s">
        <v>10</v>
      </c>
      <c r="U75" s="7"/>
    </row>
    <row r="76" spans="1:23" x14ac:dyDescent="0.25">
      <c r="A76" s="5"/>
      <c r="B76" s="238" t="s">
        <v>18</v>
      </c>
      <c r="C76" s="238"/>
      <c r="D76" s="238"/>
      <c r="E76" s="238"/>
      <c r="F76" s="238"/>
      <c r="G76" s="238"/>
      <c r="H76" s="64">
        <v>21</v>
      </c>
      <c r="I76" s="49" t="s">
        <v>10</v>
      </c>
      <c r="J76" s="199">
        <f t="shared" si="1"/>
        <v>21538.105766292447</v>
      </c>
      <c r="K76" s="49" t="s">
        <v>10</v>
      </c>
      <c r="L76" s="238" t="s">
        <v>25</v>
      </c>
      <c r="M76" s="238"/>
      <c r="N76" s="238"/>
      <c r="O76" s="238"/>
      <c r="P76" s="238"/>
      <c r="Q76" s="64"/>
      <c r="R76" s="49" t="s">
        <v>10</v>
      </c>
      <c r="S76" s="64"/>
      <c r="T76" s="49" t="s">
        <v>10</v>
      </c>
      <c r="U76" s="7"/>
    </row>
    <row r="77" spans="1:23" x14ac:dyDescent="0.25">
      <c r="A77" s="5"/>
      <c r="U77" s="7"/>
    </row>
    <row r="78" spans="1:23" x14ac:dyDescent="0.25">
      <c r="A78" s="5"/>
      <c r="B78" s="254" t="s">
        <v>93</v>
      </c>
      <c r="C78" s="254"/>
      <c r="D78" s="254"/>
      <c r="E78" s="254"/>
      <c r="F78" s="254"/>
      <c r="G78" s="254"/>
      <c r="H78" s="254"/>
      <c r="I78" s="254"/>
      <c r="J78" s="254"/>
      <c r="K78" s="254"/>
      <c r="U78" s="7"/>
    </row>
    <row r="79" spans="1:23" x14ac:dyDescent="0.25">
      <c r="A79" s="5"/>
      <c r="B79" s="238" t="s">
        <v>365</v>
      </c>
      <c r="C79" s="238"/>
      <c r="D79" s="238"/>
      <c r="E79" s="238"/>
      <c r="F79" s="238"/>
      <c r="G79" s="238"/>
      <c r="H79" s="221"/>
      <c r="I79" s="222"/>
      <c r="J79" s="222"/>
      <c r="K79" s="223"/>
      <c r="U79" s="7"/>
    </row>
    <row r="80" spans="1:23" x14ac:dyDescent="0.25">
      <c r="A80" s="5"/>
      <c r="B80" s="238" t="s">
        <v>366</v>
      </c>
      <c r="C80" s="238"/>
      <c r="D80" s="238"/>
      <c r="E80" s="238"/>
      <c r="F80" s="238"/>
      <c r="G80" s="238"/>
      <c r="H80" s="221" t="s">
        <v>453</v>
      </c>
      <c r="I80" s="222"/>
      <c r="J80" s="222"/>
      <c r="K80" s="223"/>
      <c r="U80" s="7"/>
    </row>
    <row r="81" spans="1:41" x14ac:dyDescent="0.25">
      <c r="A81" s="5"/>
      <c r="B81" s="238" t="s">
        <v>369</v>
      </c>
      <c r="C81" s="238"/>
      <c r="D81" s="238"/>
      <c r="E81" s="238"/>
      <c r="F81" s="238"/>
      <c r="G81" s="238"/>
      <c r="H81" s="244" t="s">
        <v>367</v>
      </c>
      <c r="I81" s="245"/>
      <c r="J81" s="52">
        <f>IF(H80="Concreto",1.4,0.8)</f>
        <v>0.8</v>
      </c>
      <c r="K81" s="49"/>
      <c r="U81" s="7"/>
    </row>
    <row r="82" spans="1:41" x14ac:dyDescent="0.25">
      <c r="A82" s="5"/>
      <c r="B82" s="238" t="s">
        <v>370</v>
      </c>
      <c r="C82" s="238"/>
      <c r="D82" s="238"/>
      <c r="E82" s="238"/>
      <c r="F82" s="238"/>
      <c r="G82" s="238"/>
      <c r="H82" s="244" t="s">
        <v>368</v>
      </c>
      <c r="I82" s="245"/>
      <c r="J82" s="52">
        <f>IF(H80="Concreto",0.9,0.75)</f>
        <v>0.75</v>
      </c>
      <c r="K82" s="49"/>
      <c r="U82" s="7"/>
    </row>
    <row r="83" spans="1:41" x14ac:dyDescent="0.25">
      <c r="A83" s="5"/>
      <c r="B83" s="238" t="s">
        <v>371</v>
      </c>
      <c r="C83" s="238"/>
      <c r="D83" s="238"/>
      <c r="E83" s="238"/>
      <c r="F83" s="238"/>
      <c r="G83" s="238"/>
      <c r="H83" s="244" t="s">
        <v>375</v>
      </c>
      <c r="I83" s="245"/>
      <c r="J83" s="105">
        <v>120</v>
      </c>
      <c r="K83" s="49" t="s">
        <v>374</v>
      </c>
      <c r="U83" s="7"/>
    </row>
    <row r="84" spans="1:41" x14ac:dyDescent="0.25">
      <c r="A84" s="5"/>
      <c r="B84" s="238" t="s">
        <v>372</v>
      </c>
      <c r="C84" s="238"/>
      <c r="D84" s="238"/>
      <c r="E84" s="238"/>
      <c r="F84" s="238"/>
      <c r="G84" s="238"/>
      <c r="H84" s="244" t="s">
        <v>376</v>
      </c>
      <c r="I84" s="245"/>
      <c r="J84" s="105">
        <v>300</v>
      </c>
      <c r="K84" s="49" t="s">
        <v>374</v>
      </c>
      <c r="U84" s="7"/>
    </row>
    <row r="85" spans="1:41" x14ac:dyDescent="0.25">
      <c r="A85" s="5"/>
      <c r="B85" s="238" t="s">
        <v>373</v>
      </c>
      <c r="C85" s="238"/>
      <c r="D85" s="238"/>
      <c r="E85" s="238"/>
      <c r="F85" s="238"/>
      <c r="G85" s="238"/>
      <c r="H85" s="244" t="s">
        <v>312</v>
      </c>
      <c r="I85" s="245"/>
      <c r="J85" s="105">
        <v>150</v>
      </c>
      <c r="K85" s="49" t="s">
        <v>374</v>
      </c>
      <c r="U85" s="7"/>
    </row>
    <row r="86" spans="1:41" x14ac:dyDescent="0.25">
      <c r="A86" s="5"/>
      <c r="B86" s="238" t="s">
        <v>377</v>
      </c>
      <c r="C86" s="238"/>
      <c r="D86" s="238"/>
      <c r="E86" s="238"/>
      <c r="F86" s="238"/>
      <c r="G86" s="238"/>
      <c r="H86" s="244" t="s">
        <v>379</v>
      </c>
      <c r="I86" s="245"/>
      <c r="J86" s="52">
        <f>J84*J83/10/10</f>
        <v>360</v>
      </c>
      <c r="K86" s="49" t="s">
        <v>309</v>
      </c>
      <c r="U86" s="7"/>
    </row>
    <row r="87" spans="1:41" x14ac:dyDescent="0.25">
      <c r="A87" s="5"/>
      <c r="B87" s="238" t="s">
        <v>384</v>
      </c>
      <c r="C87" s="238"/>
      <c r="D87" s="238"/>
      <c r="E87" s="238"/>
      <c r="F87" s="238"/>
      <c r="G87" s="238"/>
      <c r="H87" s="244" t="s">
        <v>57</v>
      </c>
      <c r="I87" s="245"/>
      <c r="J87" s="52">
        <f>80*2+16</f>
        <v>176</v>
      </c>
      <c r="K87" s="49" t="s">
        <v>309</v>
      </c>
      <c r="U87" s="7"/>
    </row>
    <row r="88" spans="1:41" x14ac:dyDescent="0.25">
      <c r="A88" s="5"/>
      <c r="B88" s="238" t="s">
        <v>378</v>
      </c>
      <c r="C88" s="238"/>
      <c r="D88" s="238"/>
      <c r="E88" s="238"/>
      <c r="F88" s="238"/>
      <c r="G88" s="238"/>
      <c r="H88" s="244" t="s">
        <v>380</v>
      </c>
      <c r="I88" s="245"/>
      <c r="J88" s="52">
        <f>J86-J87</f>
        <v>184</v>
      </c>
      <c r="K88" s="49" t="s">
        <v>383</v>
      </c>
      <c r="U88" s="7"/>
    </row>
    <row r="89" spans="1:41" x14ac:dyDescent="0.25">
      <c r="A89" s="5"/>
      <c r="B89" s="238" t="s">
        <v>387</v>
      </c>
      <c r="C89" s="238"/>
      <c r="D89" s="238"/>
      <c r="E89" s="238"/>
      <c r="F89" s="238"/>
      <c r="G89" s="238"/>
      <c r="H89" s="244"/>
      <c r="I89" s="245"/>
      <c r="J89" s="105">
        <v>1200</v>
      </c>
      <c r="K89" s="49" t="s">
        <v>374</v>
      </c>
      <c r="U89" s="7"/>
      <c r="W89" s="243" t="s">
        <v>362</v>
      </c>
      <c r="X89" s="243"/>
      <c r="Y89" s="243"/>
      <c r="Z89" s="243"/>
      <c r="AA89" s="243"/>
      <c r="AB89" s="243"/>
      <c r="AC89" s="243"/>
      <c r="AD89" s="243"/>
      <c r="AE89" s="243"/>
      <c r="AF89" s="243"/>
      <c r="AG89" s="243"/>
      <c r="AH89" s="243"/>
      <c r="AI89" s="243"/>
      <c r="AJ89" s="243"/>
      <c r="AK89" s="243"/>
      <c r="AL89" s="243"/>
      <c r="AM89" s="243"/>
      <c r="AN89" s="243"/>
      <c r="AO89" s="243"/>
    </row>
    <row r="90" spans="1:41" x14ac:dyDescent="0.25">
      <c r="A90" s="5"/>
      <c r="B90" s="238" t="s">
        <v>381</v>
      </c>
      <c r="C90" s="238"/>
      <c r="D90" s="238"/>
      <c r="E90" s="238"/>
      <c r="F90" s="238"/>
      <c r="G90" s="238"/>
      <c r="H90" s="244" t="s">
        <v>388</v>
      </c>
      <c r="I90" s="245"/>
      <c r="J90" s="52">
        <f>J88/J86</f>
        <v>0.51111111111111107</v>
      </c>
      <c r="K90" s="49"/>
      <c r="U90" s="7"/>
    </row>
    <row r="91" spans="1:41" x14ac:dyDescent="0.25">
      <c r="A91" s="5"/>
      <c r="B91" s="238" t="s">
        <v>381</v>
      </c>
      <c r="C91" s="238"/>
      <c r="D91" s="238"/>
      <c r="E91" s="238"/>
      <c r="F91" s="238"/>
      <c r="G91" s="238"/>
      <c r="H91" s="244" t="s">
        <v>382</v>
      </c>
      <c r="I91" s="245"/>
      <c r="J91" s="52">
        <f>J90+(1-J90)*J84/(2*J89)</f>
        <v>0.57222222222222219</v>
      </c>
      <c r="K91" s="49"/>
      <c r="U91" s="7"/>
    </row>
    <row r="92" spans="1:41" x14ac:dyDescent="0.25">
      <c r="A92" s="5"/>
      <c r="B92" s="238" t="s">
        <v>30</v>
      </c>
      <c r="C92" s="238"/>
      <c r="D92" s="238"/>
      <c r="E92" s="238"/>
      <c r="F92" s="238"/>
      <c r="G92" s="238"/>
      <c r="H92" s="244" t="s">
        <v>35</v>
      </c>
      <c r="I92" s="245"/>
      <c r="J92" s="105">
        <v>18</v>
      </c>
      <c r="K92" s="49" t="s">
        <v>10</v>
      </c>
      <c r="U92" s="7"/>
    </row>
    <row r="93" spans="1:41" x14ac:dyDescent="0.25">
      <c r="A93" s="5"/>
      <c r="B93" s="238" t="s">
        <v>31</v>
      </c>
      <c r="C93" s="238"/>
      <c r="D93" s="238"/>
      <c r="E93" s="238"/>
      <c r="F93" s="238"/>
      <c r="G93" s="238"/>
      <c r="H93" s="247" t="s">
        <v>386</v>
      </c>
      <c r="I93" s="248"/>
      <c r="J93" s="248"/>
      <c r="K93" s="249"/>
      <c r="U93" s="7"/>
    </row>
    <row r="94" spans="1:41" x14ac:dyDescent="0.25">
      <c r="A94" s="5"/>
      <c r="B94" s="238" t="s">
        <v>32</v>
      </c>
      <c r="C94" s="238"/>
      <c r="D94" s="238"/>
      <c r="E94" s="238"/>
      <c r="F94" s="238"/>
      <c r="G94" s="238"/>
      <c r="H94" s="244" t="s">
        <v>36</v>
      </c>
      <c r="I94" s="245"/>
      <c r="J94" s="52">
        <f>IF(H93="H",22.5,IF(H93="M",17.5,12.5))</f>
        <v>17.5</v>
      </c>
      <c r="K94" s="49" t="s">
        <v>10</v>
      </c>
      <c r="U94" s="7"/>
    </row>
    <row r="95" spans="1:41" x14ac:dyDescent="0.25">
      <c r="A95" s="5"/>
      <c r="B95" s="238" t="s">
        <v>33</v>
      </c>
      <c r="C95" s="238"/>
      <c r="D95" s="238"/>
      <c r="E95" s="238"/>
      <c r="F95" s="238"/>
      <c r="G95" s="238"/>
      <c r="H95" s="244" t="s">
        <v>37</v>
      </c>
      <c r="I95" s="245"/>
      <c r="J95" s="105">
        <v>12.5</v>
      </c>
      <c r="K95" s="49" t="s">
        <v>10</v>
      </c>
      <c r="U95" s="7"/>
    </row>
    <row r="96" spans="1:41" x14ac:dyDescent="0.25">
      <c r="A96" s="5"/>
      <c r="B96" s="238" t="s">
        <v>19</v>
      </c>
      <c r="C96" s="238"/>
      <c r="D96" s="238"/>
      <c r="E96" s="238"/>
      <c r="F96" s="238"/>
      <c r="G96" s="238"/>
      <c r="H96" s="244" t="s">
        <v>26</v>
      </c>
      <c r="I96" s="245"/>
      <c r="J96" s="105">
        <v>420</v>
      </c>
      <c r="K96" s="49" t="s">
        <v>10</v>
      </c>
      <c r="U96" s="7"/>
    </row>
    <row r="97" spans="1:41" x14ac:dyDescent="0.25">
      <c r="A97" s="5"/>
      <c r="B97" s="238"/>
      <c r="C97" s="238"/>
      <c r="D97" s="238"/>
      <c r="E97" s="238"/>
      <c r="F97" s="238"/>
      <c r="G97" s="238"/>
      <c r="H97" s="244" t="s">
        <v>385</v>
      </c>
      <c r="I97" s="245"/>
      <c r="J97" s="52">
        <f>MAX((2*J85)/(75+3*J85)*J92+50*J81/(75+3*J85)*J94,0.8*J92)</f>
        <v>14.4</v>
      </c>
      <c r="K97" s="49" t="s">
        <v>10</v>
      </c>
      <c r="U97" s="7"/>
    </row>
    <row r="98" spans="1:41" x14ac:dyDescent="0.25">
      <c r="A98" s="5"/>
      <c r="B98" s="238" t="s">
        <v>29</v>
      </c>
      <c r="C98" s="238"/>
      <c r="D98" s="238"/>
      <c r="E98" s="238"/>
      <c r="F98" s="238"/>
      <c r="G98" s="238"/>
      <c r="H98" s="244" t="s">
        <v>34</v>
      </c>
      <c r="I98" s="245"/>
      <c r="J98" s="52">
        <f>MAX(0.75*(J91*J97+0.9*J82*(1-J91)*J95),0.94*J97)</f>
        <v>13.536</v>
      </c>
      <c r="K98" s="49" t="s">
        <v>10</v>
      </c>
      <c r="U98" s="7"/>
    </row>
    <row r="99" spans="1:41" x14ac:dyDescent="0.25">
      <c r="A99" s="5"/>
      <c r="U99" s="7"/>
    </row>
    <row r="100" spans="1:41" x14ac:dyDescent="0.25">
      <c r="A100" s="5"/>
      <c r="U100" s="7"/>
      <c r="W100" s="1" t="s">
        <v>361</v>
      </c>
    </row>
    <row r="101" spans="1:41" x14ac:dyDescent="0.25">
      <c r="A101" s="5"/>
      <c r="B101" s="101" t="s">
        <v>588</v>
      </c>
      <c r="U101" s="7"/>
    </row>
    <row r="102" spans="1:41" x14ac:dyDescent="0.25">
      <c r="A102" s="5"/>
      <c r="U102" s="7"/>
      <c r="W102" s="1" t="s">
        <v>360</v>
      </c>
    </row>
    <row r="103" spans="1:41" x14ac:dyDescent="0.25">
      <c r="A103" s="5"/>
      <c r="B103" s="107" t="s">
        <v>466</v>
      </c>
      <c r="C103" s="6"/>
      <c r="U103" s="7"/>
    </row>
    <row r="104" spans="1:41" x14ac:dyDescent="0.25">
      <c r="A104" s="5"/>
      <c r="B104" s="6"/>
      <c r="C104" s="6"/>
      <c r="U104" s="7"/>
      <c r="W104" s="242" t="s">
        <v>359</v>
      </c>
      <c r="X104" s="242"/>
      <c r="Y104" s="242"/>
      <c r="Z104" s="242"/>
      <c r="AA104" s="242"/>
      <c r="AB104" s="242"/>
      <c r="AC104" s="242"/>
      <c r="AD104" s="242"/>
      <c r="AE104" s="242"/>
      <c r="AF104" s="242"/>
      <c r="AG104" s="242"/>
      <c r="AH104" s="242"/>
      <c r="AI104" s="242"/>
      <c r="AJ104" s="242"/>
      <c r="AK104" s="242"/>
      <c r="AL104" s="242"/>
      <c r="AM104" s="242"/>
      <c r="AN104" s="242"/>
      <c r="AO104" s="242"/>
    </row>
    <row r="105" spans="1:41" x14ac:dyDescent="0.25">
      <c r="A105" s="5"/>
      <c r="B105" s="6"/>
      <c r="C105" s="6" t="s">
        <v>467</v>
      </c>
      <c r="D105" s="6"/>
      <c r="U105" s="7"/>
      <c r="W105" s="242"/>
      <c r="X105" s="242"/>
      <c r="Y105" s="242"/>
      <c r="Z105" s="242"/>
      <c r="AA105" s="242"/>
      <c r="AB105" s="242"/>
      <c r="AC105" s="242"/>
      <c r="AD105" s="242"/>
      <c r="AE105" s="242"/>
      <c r="AF105" s="242"/>
      <c r="AG105" s="242"/>
      <c r="AH105" s="242"/>
      <c r="AI105" s="242"/>
      <c r="AJ105" s="242"/>
      <c r="AK105" s="242"/>
      <c r="AL105" s="242"/>
      <c r="AM105" s="242"/>
      <c r="AN105" s="242"/>
      <c r="AO105" s="242"/>
    </row>
    <row r="106" spans="1:41" x14ac:dyDescent="0.25">
      <c r="A106" s="5"/>
      <c r="B106" s="6"/>
      <c r="C106" s="6" t="s">
        <v>858</v>
      </c>
      <c r="D106" s="6"/>
      <c r="U106" s="7"/>
      <c r="W106" s="242"/>
      <c r="X106" s="242"/>
      <c r="Y106" s="242"/>
      <c r="Z106" s="242"/>
      <c r="AA106" s="242"/>
      <c r="AB106" s="242"/>
      <c r="AC106" s="242"/>
      <c r="AD106" s="242"/>
      <c r="AE106" s="242"/>
      <c r="AF106" s="242"/>
      <c r="AG106" s="242"/>
      <c r="AH106" s="242"/>
      <c r="AI106" s="242"/>
      <c r="AJ106" s="242"/>
      <c r="AK106" s="242"/>
      <c r="AL106" s="242"/>
      <c r="AM106" s="242"/>
      <c r="AN106" s="242"/>
      <c r="AO106" s="242"/>
    </row>
    <row r="107" spans="1:41" x14ac:dyDescent="0.25">
      <c r="A107" s="5"/>
      <c r="B107" s="6"/>
      <c r="C107" s="200"/>
      <c r="D107" s="6"/>
      <c r="U107" s="7"/>
      <c r="W107" s="242"/>
      <c r="X107" s="242"/>
      <c r="Y107" s="242"/>
      <c r="Z107" s="242"/>
      <c r="AA107" s="242"/>
      <c r="AB107" s="242"/>
      <c r="AC107" s="242"/>
      <c r="AD107" s="242"/>
      <c r="AE107" s="242"/>
      <c r="AF107" s="242"/>
      <c r="AG107" s="242"/>
      <c r="AH107" s="242"/>
      <c r="AI107" s="242"/>
      <c r="AJ107" s="242"/>
      <c r="AK107" s="242"/>
      <c r="AL107" s="242"/>
      <c r="AM107" s="242"/>
      <c r="AN107" s="242"/>
      <c r="AO107" s="242"/>
    </row>
    <row r="108" spans="1:41" x14ac:dyDescent="0.25">
      <c r="A108" s="5"/>
      <c r="B108" s="6"/>
      <c r="C108" s="6" t="s">
        <v>468</v>
      </c>
      <c r="D108" s="6"/>
      <c r="U108" s="7"/>
      <c r="W108" s="242"/>
      <c r="X108" s="242"/>
      <c r="Y108" s="242"/>
      <c r="Z108" s="242"/>
      <c r="AA108" s="242"/>
      <c r="AB108" s="242"/>
      <c r="AC108" s="242"/>
      <c r="AD108" s="242"/>
      <c r="AE108" s="242"/>
      <c r="AF108" s="242"/>
      <c r="AG108" s="242"/>
      <c r="AH108" s="242"/>
      <c r="AI108" s="242"/>
      <c r="AJ108" s="242"/>
      <c r="AK108" s="242"/>
      <c r="AL108" s="242"/>
      <c r="AM108" s="242"/>
      <c r="AN108" s="242"/>
      <c r="AO108" s="242"/>
    </row>
    <row r="109" spans="1:41" x14ac:dyDescent="0.25">
      <c r="A109" s="5"/>
      <c r="B109" s="6"/>
      <c r="C109" s="6" t="s">
        <v>600</v>
      </c>
      <c r="D109" s="6"/>
      <c r="U109" s="7"/>
      <c r="W109" s="242"/>
      <c r="X109" s="242"/>
      <c r="Y109" s="242"/>
      <c r="Z109" s="242"/>
      <c r="AA109" s="242"/>
      <c r="AB109" s="242"/>
      <c r="AC109" s="242"/>
      <c r="AD109" s="242"/>
      <c r="AE109" s="242"/>
      <c r="AF109" s="242"/>
      <c r="AG109" s="242"/>
      <c r="AH109" s="242"/>
      <c r="AI109" s="242"/>
      <c r="AJ109" s="242"/>
      <c r="AK109" s="242"/>
      <c r="AL109" s="242"/>
      <c r="AM109" s="242"/>
      <c r="AN109" s="242"/>
      <c r="AO109" s="242"/>
    </row>
    <row r="110" spans="1:41" x14ac:dyDescent="0.25">
      <c r="A110" s="5"/>
      <c r="B110" s="6"/>
      <c r="C110" s="6"/>
      <c r="D110" s="6"/>
      <c r="U110" s="7"/>
      <c r="W110" s="242"/>
      <c r="X110" s="242"/>
      <c r="Y110" s="242"/>
      <c r="Z110" s="242"/>
      <c r="AA110" s="242"/>
      <c r="AB110" s="242"/>
      <c r="AC110" s="242"/>
      <c r="AD110" s="242"/>
      <c r="AE110" s="242"/>
      <c r="AF110" s="242"/>
      <c r="AG110" s="242"/>
      <c r="AH110" s="242"/>
      <c r="AI110" s="242"/>
      <c r="AJ110" s="242"/>
      <c r="AK110" s="242"/>
      <c r="AL110" s="242"/>
      <c r="AM110" s="242"/>
      <c r="AN110" s="242"/>
      <c r="AO110" s="242"/>
    </row>
    <row r="111" spans="1:41" x14ac:dyDescent="0.25">
      <c r="A111" s="5"/>
      <c r="B111" s="6"/>
      <c r="C111" s="6" t="s">
        <v>469</v>
      </c>
      <c r="D111" s="6"/>
      <c r="U111" s="7"/>
      <c r="W111" s="242"/>
      <c r="X111" s="242"/>
      <c r="Y111" s="242"/>
      <c r="Z111" s="242"/>
      <c r="AA111" s="242"/>
      <c r="AB111" s="242"/>
      <c r="AC111" s="242"/>
      <c r="AD111" s="242"/>
      <c r="AE111" s="242"/>
      <c r="AF111" s="242"/>
      <c r="AG111" s="242"/>
      <c r="AH111" s="242"/>
      <c r="AI111" s="242"/>
      <c r="AJ111" s="242"/>
      <c r="AK111" s="242"/>
      <c r="AL111" s="242"/>
      <c r="AM111" s="242"/>
      <c r="AN111" s="242"/>
      <c r="AO111" s="242"/>
    </row>
    <row r="112" spans="1:41" x14ac:dyDescent="0.25">
      <c r="A112" s="5"/>
      <c r="B112" s="6"/>
      <c r="C112" s="6" t="s">
        <v>600</v>
      </c>
      <c r="D112" s="6"/>
      <c r="U112" s="7"/>
      <c r="W112" s="242"/>
      <c r="X112" s="242"/>
      <c r="Y112" s="242"/>
      <c r="Z112" s="242"/>
      <c r="AA112" s="242"/>
      <c r="AB112" s="242"/>
      <c r="AC112" s="242"/>
      <c r="AD112" s="242"/>
      <c r="AE112" s="242"/>
      <c r="AF112" s="242"/>
      <c r="AG112" s="242"/>
      <c r="AH112" s="242"/>
      <c r="AI112" s="242"/>
      <c r="AJ112" s="242"/>
      <c r="AK112" s="242"/>
      <c r="AL112" s="242"/>
      <c r="AM112" s="242"/>
      <c r="AN112" s="242"/>
      <c r="AO112" s="242"/>
    </row>
    <row r="113" spans="1:41" x14ac:dyDescent="0.25">
      <c r="A113" s="5"/>
      <c r="B113" s="6"/>
      <c r="C113" s="6"/>
      <c r="D113" s="6"/>
      <c r="U113" s="7"/>
      <c r="W113" s="242"/>
      <c r="X113" s="242"/>
      <c r="Y113" s="242"/>
      <c r="Z113" s="242"/>
      <c r="AA113" s="242"/>
      <c r="AB113" s="242"/>
      <c r="AC113" s="242"/>
      <c r="AD113" s="242"/>
      <c r="AE113" s="242"/>
      <c r="AF113" s="242"/>
      <c r="AG113" s="242"/>
      <c r="AH113" s="242"/>
      <c r="AI113" s="242"/>
      <c r="AJ113" s="242"/>
      <c r="AK113" s="242"/>
      <c r="AL113" s="242"/>
      <c r="AM113" s="242"/>
      <c r="AN113" s="242"/>
      <c r="AO113" s="242"/>
    </row>
    <row r="114" spans="1:41" x14ac:dyDescent="0.25">
      <c r="A114" s="5"/>
      <c r="B114" s="6"/>
      <c r="C114" s="6" t="s">
        <v>470</v>
      </c>
      <c r="D114" s="6"/>
      <c r="U114" s="7"/>
    </row>
    <row r="115" spans="1:41" x14ac:dyDescent="0.25">
      <c r="A115" s="5"/>
      <c r="B115" s="6"/>
      <c r="C115" s="6" t="s">
        <v>601</v>
      </c>
      <c r="D115" s="6"/>
      <c r="U115" s="7"/>
    </row>
    <row r="116" spans="1:41" x14ac:dyDescent="0.25">
      <c r="A116" s="5"/>
      <c r="D116" s="6"/>
      <c r="U116" s="7"/>
    </row>
    <row r="117" spans="1:41" x14ac:dyDescent="0.25">
      <c r="A117" s="5"/>
      <c r="U117" s="7"/>
      <c r="W117" s="107" t="s">
        <v>548</v>
      </c>
      <c r="X117" s="6"/>
      <c r="Y117" s="6"/>
      <c r="Z117" s="6"/>
      <c r="AA117" s="6"/>
      <c r="AB117" s="6"/>
      <c r="AC117" s="6"/>
      <c r="AD117" s="6"/>
      <c r="AE117" s="6"/>
    </row>
    <row r="118" spans="1:41" x14ac:dyDescent="0.25">
      <c r="A118" s="5"/>
      <c r="U118" s="7"/>
      <c r="W118" s="6"/>
      <c r="X118" s="6"/>
      <c r="Y118" s="6"/>
      <c r="Z118" s="6"/>
      <c r="AA118" s="6"/>
      <c r="AB118" s="6"/>
      <c r="AC118" s="6"/>
      <c r="AD118" s="6"/>
      <c r="AE118" s="6"/>
    </row>
    <row r="119" spans="1:41" ht="13.9" customHeight="1" x14ac:dyDescent="0.25">
      <c r="A119" s="5"/>
      <c r="U119" s="7"/>
      <c r="W119" s="228" t="s">
        <v>764</v>
      </c>
      <c r="X119" s="228"/>
      <c r="Y119" s="228"/>
      <c r="Z119" s="228"/>
      <c r="AA119" s="228"/>
      <c r="AB119" s="228"/>
      <c r="AC119" s="228"/>
      <c r="AD119" s="228"/>
      <c r="AE119" s="228"/>
      <c r="AF119" s="228"/>
      <c r="AG119" s="228"/>
      <c r="AH119" s="228"/>
      <c r="AI119" s="228"/>
      <c r="AJ119" s="228"/>
      <c r="AK119" s="228"/>
      <c r="AL119" s="228"/>
      <c r="AM119" s="228"/>
      <c r="AN119" s="228"/>
      <c r="AO119" s="228"/>
    </row>
    <row r="120" spans="1:41" x14ac:dyDescent="0.25">
      <c r="A120" s="5"/>
      <c r="U120" s="7"/>
      <c r="W120" s="228"/>
      <c r="X120" s="228"/>
      <c r="Y120" s="228"/>
      <c r="Z120" s="228"/>
      <c r="AA120" s="228"/>
      <c r="AB120" s="228"/>
      <c r="AC120" s="228"/>
      <c r="AD120" s="228"/>
      <c r="AE120" s="228"/>
      <c r="AF120" s="228"/>
      <c r="AG120" s="228"/>
      <c r="AH120" s="228"/>
      <c r="AI120" s="228"/>
      <c r="AJ120" s="228"/>
      <c r="AK120" s="228"/>
      <c r="AL120" s="228"/>
      <c r="AM120" s="228"/>
      <c r="AN120" s="228"/>
      <c r="AO120" s="228"/>
    </row>
    <row r="121" spans="1:41" x14ac:dyDescent="0.25">
      <c r="A121" s="5"/>
      <c r="U121" s="7"/>
      <c r="W121" s="228"/>
      <c r="X121" s="228"/>
      <c r="Y121" s="228"/>
      <c r="Z121" s="228"/>
      <c r="AA121" s="228"/>
      <c r="AB121" s="228"/>
      <c r="AC121" s="228"/>
      <c r="AD121" s="228"/>
      <c r="AE121" s="228"/>
      <c r="AF121" s="228"/>
      <c r="AG121" s="228"/>
      <c r="AH121" s="228"/>
      <c r="AI121" s="228"/>
      <c r="AJ121" s="228"/>
      <c r="AK121" s="228"/>
      <c r="AL121" s="228"/>
      <c r="AM121" s="228"/>
      <c r="AN121" s="228"/>
      <c r="AO121" s="228"/>
    </row>
    <row r="122" spans="1:41" x14ac:dyDescent="0.25">
      <c r="A122" s="5"/>
      <c r="U122" s="7"/>
      <c r="W122" s="228"/>
      <c r="X122" s="228"/>
      <c r="Y122" s="228"/>
      <c r="Z122" s="228"/>
      <c r="AA122" s="228"/>
      <c r="AB122" s="228"/>
      <c r="AC122" s="228"/>
      <c r="AD122" s="228"/>
      <c r="AE122" s="228"/>
      <c r="AF122" s="228"/>
      <c r="AG122" s="228"/>
      <c r="AH122" s="228"/>
      <c r="AI122" s="228"/>
      <c r="AJ122" s="228"/>
      <c r="AK122" s="228"/>
      <c r="AL122" s="228"/>
      <c r="AM122" s="228"/>
      <c r="AN122" s="228"/>
      <c r="AO122" s="228"/>
    </row>
    <row r="123" spans="1:41" x14ac:dyDescent="0.25">
      <c r="A123" s="5"/>
      <c r="U123" s="7"/>
    </row>
    <row r="124" spans="1:41" x14ac:dyDescent="0.25">
      <c r="A124" s="5"/>
      <c r="U124" s="7"/>
    </row>
    <row r="125" spans="1:41" x14ac:dyDescent="0.25">
      <c r="A125" s="5"/>
      <c r="U125" s="7"/>
    </row>
    <row r="126" spans="1:41" x14ac:dyDescent="0.25">
      <c r="A126" s="5"/>
      <c r="U126" s="7"/>
    </row>
    <row r="127" spans="1:41" x14ac:dyDescent="0.25">
      <c r="A127" s="9"/>
      <c r="B127" s="10"/>
      <c r="C127" s="10"/>
      <c r="D127" s="10"/>
      <c r="E127" s="10"/>
      <c r="F127" s="10"/>
      <c r="G127" s="10"/>
      <c r="H127" s="10"/>
      <c r="I127" s="10"/>
      <c r="J127" s="10"/>
      <c r="K127" s="10"/>
      <c r="L127" s="10"/>
      <c r="M127" s="10"/>
      <c r="N127" s="10"/>
      <c r="O127" s="10"/>
      <c r="P127" s="10"/>
      <c r="Q127" s="10"/>
      <c r="R127" s="10"/>
      <c r="S127" s="10"/>
      <c r="T127" s="10"/>
      <c r="U127" s="11"/>
    </row>
    <row r="128" spans="1:41" x14ac:dyDescent="0.25">
      <c r="A128" s="2"/>
      <c r="B128" s="3"/>
      <c r="C128" s="3"/>
      <c r="D128" s="3"/>
      <c r="E128" s="3"/>
      <c r="F128" s="3"/>
      <c r="G128" s="3"/>
      <c r="H128" s="3"/>
      <c r="I128" s="3"/>
      <c r="J128" s="3"/>
      <c r="K128" s="3"/>
      <c r="L128" s="3"/>
      <c r="M128" s="3"/>
      <c r="N128" s="3"/>
      <c r="O128" s="3"/>
      <c r="P128" s="3"/>
      <c r="Q128" s="3"/>
      <c r="R128" s="3"/>
      <c r="S128" s="3"/>
      <c r="T128" s="3"/>
      <c r="U128" s="4"/>
    </row>
    <row r="129" spans="1:21" x14ac:dyDescent="0.25">
      <c r="A129" s="5"/>
      <c r="B129" s="107" t="s">
        <v>589</v>
      </c>
      <c r="C129" s="6"/>
      <c r="D129" s="6"/>
      <c r="E129" s="6"/>
      <c r="F129" s="6"/>
      <c r="G129" s="6"/>
      <c r="H129" s="6"/>
      <c r="I129" s="6"/>
      <c r="J129" s="6"/>
      <c r="U129" s="7"/>
    </row>
    <row r="130" spans="1:21" x14ac:dyDescent="0.25">
      <c r="A130" s="5"/>
      <c r="B130" s="6"/>
      <c r="C130" s="6"/>
      <c r="D130" s="6"/>
      <c r="E130" s="6"/>
      <c r="F130" s="6"/>
      <c r="G130" s="6"/>
      <c r="H130" s="6"/>
      <c r="I130" s="6"/>
      <c r="J130" s="6"/>
      <c r="U130" s="7"/>
    </row>
    <row r="131" spans="1:21" x14ac:dyDescent="0.25">
      <c r="A131" s="5"/>
      <c r="B131" s="257" t="s">
        <v>480</v>
      </c>
      <c r="C131" s="257"/>
      <c r="D131" s="257"/>
      <c r="E131" s="257"/>
      <c r="F131" s="257"/>
      <c r="G131" s="257"/>
      <c r="H131" s="257"/>
      <c r="I131" s="257"/>
      <c r="J131" s="257"/>
      <c r="K131" s="257"/>
      <c r="L131" s="257"/>
      <c r="M131" s="257"/>
      <c r="N131" s="257"/>
      <c r="O131" s="257"/>
      <c r="P131" s="257"/>
      <c r="Q131" s="257"/>
      <c r="R131" s="257"/>
      <c r="S131" s="257"/>
      <c r="T131" s="257"/>
      <c r="U131" s="7"/>
    </row>
    <row r="132" spans="1:21" x14ac:dyDescent="0.25">
      <c r="A132" s="5"/>
      <c r="B132" s="257"/>
      <c r="C132" s="257"/>
      <c r="D132" s="257"/>
      <c r="E132" s="257"/>
      <c r="F132" s="257"/>
      <c r="G132" s="257"/>
      <c r="H132" s="257"/>
      <c r="I132" s="257"/>
      <c r="J132" s="257"/>
      <c r="K132" s="257"/>
      <c r="L132" s="257"/>
      <c r="M132" s="257"/>
      <c r="N132" s="257"/>
      <c r="O132" s="257"/>
      <c r="P132" s="257"/>
      <c r="Q132" s="257"/>
      <c r="R132" s="257"/>
      <c r="S132" s="257"/>
      <c r="T132" s="257"/>
      <c r="U132" s="7"/>
    </row>
    <row r="133" spans="1:21" x14ac:dyDescent="0.25">
      <c r="A133" s="5"/>
      <c r="F133" s="6"/>
      <c r="G133" s="6"/>
      <c r="H133" s="6"/>
      <c r="I133" s="6"/>
      <c r="J133" s="6"/>
      <c r="U133" s="7"/>
    </row>
    <row r="134" spans="1:21" x14ac:dyDescent="0.25">
      <c r="A134" s="5"/>
      <c r="B134" s="6" t="s">
        <v>481</v>
      </c>
      <c r="D134" s="6" t="s">
        <v>482</v>
      </c>
      <c r="E134" s="6"/>
      <c r="F134" s="6"/>
      <c r="G134" s="6"/>
      <c r="H134" s="6"/>
      <c r="I134" s="6"/>
      <c r="J134" s="6"/>
      <c r="U134" s="7"/>
    </row>
    <row r="135" spans="1:21" x14ac:dyDescent="0.25">
      <c r="A135" s="5"/>
      <c r="B135" s="6" t="s">
        <v>481</v>
      </c>
      <c r="D135" s="6" t="s">
        <v>483</v>
      </c>
      <c r="E135" s="6"/>
      <c r="F135" s="6"/>
      <c r="G135" s="6"/>
      <c r="H135" s="6"/>
      <c r="I135" s="6"/>
      <c r="J135" s="6"/>
      <c r="U135" s="7"/>
    </row>
    <row r="136" spans="1:21" x14ac:dyDescent="0.25">
      <c r="A136" s="5"/>
      <c r="B136" s="6" t="s">
        <v>481</v>
      </c>
      <c r="D136" s="6" t="s">
        <v>484</v>
      </c>
      <c r="E136" s="6"/>
      <c r="F136" s="6"/>
      <c r="G136" s="6"/>
      <c r="H136" s="6"/>
      <c r="I136" s="6"/>
      <c r="J136" s="6"/>
      <c r="U136" s="7"/>
    </row>
    <row r="137" spans="1:21" x14ac:dyDescent="0.25">
      <c r="A137" s="5"/>
      <c r="B137" s="6" t="s">
        <v>481</v>
      </c>
      <c r="D137" s="6" t="s">
        <v>485</v>
      </c>
      <c r="E137" s="6"/>
      <c r="F137" s="6"/>
      <c r="G137" s="6"/>
      <c r="H137" s="6"/>
      <c r="I137" s="6"/>
      <c r="J137" s="6"/>
      <c r="U137" s="7"/>
    </row>
    <row r="138" spans="1:21" x14ac:dyDescent="0.25">
      <c r="A138" s="5"/>
      <c r="B138" s="6" t="s">
        <v>481</v>
      </c>
      <c r="D138" s="6" t="s">
        <v>486</v>
      </c>
      <c r="E138" s="6"/>
      <c r="F138" s="6"/>
      <c r="G138" s="6"/>
      <c r="H138" s="6"/>
      <c r="I138" s="6"/>
      <c r="J138" s="6"/>
      <c r="U138" s="7"/>
    </row>
    <row r="139" spans="1:21" x14ac:dyDescent="0.25">
      <c r="A139" s="5"/>
      <c r="B139" s="6" t="s">
        <v>481</v>
      </c>
      <c r="D139" s="6" t="s">
        <v>487</v>
      </c>
      <c r="E139" s="6"/>
      <c r="F139" s="6"/>
      <c r="G139" s="6"/>
      <c r="H139" s="6"/>
      <c r="I139" s="6"/>
      <c r="J139" s="6"/>
      <c r="U139" s="7"/>
    </row>
    <row r="140" spans="1:21" x14ac:dyDescent="0.25">
      <c r="A140" s="5"/>
      <c r="B140" s="6" t="s">
        <v>481</v>
      </c>
      <c r="D140" s="6" t="s">
        <v>488</v>
      </c>
      <c r="E140" s="6"/>
      <c r="F140" s="6"/>
      <c r="G140" s="6"/>
      <c r="H140" s="6"/>
      <c r="I140" s="6"/>
      <c r="J140" s="6"/>
      <c r="U140" s="7"/>
    </row>
    <row r="141" spans="1:21" x14ac:dyDescent="0.25">
      <c r="A141" s="5"/>
      <c r="B141" s="6" t="s">
        <v>481</v>
      </c>
      <c r="D141" s="6" t="s">
        <v>489</v>
      </c>
      <c r="E141" s="6"/>
      <c r="F141" s="6"/>
      <c r="G141" s="6"/>
      <c r="H141" s="6"/>
      <c r="I141" s="6"/>
      <c r="J141" s="6"/>
      <c r="U141" s="7"/>
    </row>
    <row r="142" spans="1:21" x14ac:dyDescent="0.25">
      <c r="A142" s="5"/>
      <c r="B142" s="6" t="s">
        <v>481</v>
      </c>
      <c r="D142" s="6" t="s">
        <v>490</v>
      </c>
      <c r="E142" s="6"/>
      <c r="F142" s="6"/>
      <c r="G142" s="6"/>
      <c r="H142" s="6"/>
      <c r="I142" s="6"/>
      <c r="J142" s="6"/>
      <c r="U142" s="7"/>
    </row>
    <row r="143" spans="1:21" x14ac:dyDescent="0.25">
      <c r="A143" s="5"/>
      <c r="B143" s="6" t="s">
        <v>481</v>
      </c>
      <c r="D143" s="6" t="s">
        <v>491</v>
      </c>
      <c r="E143" s="6"/>
      <c r="F143" s="6"/>
      <c r="G143" s="6"/>
      <c r="H143" s="6"/>
      <c r="I143" s="6"/>
      <c r="J143" s="6"/>
      <c r="U143" s="7"/>
    </row>
    <row r="144" spans="1:21" x14ac:dyDescent="0.25">
      <c r="A144" s="5"/>
      <c r="B144" s="6" t="s">
        <v>492</v>
      </c>
      <c r="C144" s="6"/>
      <c r="D144" s="6"/>
      <c r="E144" s="6"/>
      <c r="F144" s="6"/>
      <c r="G144" s="6"/>
      <c r="H144" s="6"/>
      <c r="I144" s="6"/>
      <c r="J144" s="6"/>
      <c r="U144" s="7"/>
    </row>
    <row r="145" spans="1:21" x14ac:dyDescent="0.25">
      <c r="A145" s="5"/>
      <c r="B145" s="257" t="s">
        <v>493</v>
      </c>
      <c r="C145" s="257"/>
      <c r="D145" s="257"/>
      <c r="E145" s="257"/>
      <c r="F145" s="257"/>
      <c r="G145" s="257"/>
      <c r="H145" s="257"/>
      <c r="I145" s="257"/>
      <c r="J145" s="257"/>
      <c r="K145" s="257"/>
      <c r="L145" s="257"/>
      <c r="M145" s="257"/>
      <c r="N145" s="257"/>
      <c r="O145" s="257"/>
      <c r="P145" s="257"/>
      <c r="Q145" s="257"/>
      <c r="R145" s="257"/>
      <c r="S145" s="257"/>
      <c r="T145" s="257"/>
      <c r="U145" s="7"/>
    </row>
    <row r="146" spans="1:21" x14ac:dyDescent="0.25">
      <c r="A146" s="5"/>
      <c r="B146" s="257"/>
      <c r="C146" s="257"/>
      <c r="D146" s="257"/>
      <c r="E146" s="257"/>
      <c r="F146" s="257"/>
      <c r="G146" s="257"/>
      <c r="H146" s="257"/>
      <c r="I146" s="257"/>
      <c r="J146" s="257"/>
      <c r="K146" s="257"/>
      <c r="L146" s="257"/>
      <c r="M146" s="257"/>
      <c r="N146" s="257"/>
      <c r="O146" s="257"/>
      <c r="P146" s="257"/>
      <c r="Q146" s="257"/>
      <c r="R146" s="257"/>
      <c r="S146" s="257"/>
      <c r="T146" s="257"/>
      <c r="U146" s="7"/>
    </row>
    <row r="147" spans="1:21" x14ac:dyDescent="0.25">
      <c r="A147" s="5"/>
      <c r="F147" s="6"/>
      <c r="G147" s="6"/>
      <c r="H147" s="6"/>
      <c r="I147" s="6"/>
      <c r="J147" s="6"/>
      <c r="U147" s="7"/>
    </row>
    <row r="148" spans="1:21" x14ac:dyDescent="0.25">
      <c r="A148" s="5"/>
      <c r="B148" s="6" t="s">
        <v>494</v>
      </c>
      <c r="D148" s="6" t="s">
        <v>495</v>
      </c>
      <c r="E148" s="6"/>
      <c r="F148" s="6"/>
      <c r="G148" s="6"/>
      <c r="H148" s="6"/>
      <c r="I148" s="6"/>
      <c r="J148" s="6"/>
      <c r="U148" s="7"/>
    </row>
    <row r="149" spans="1:21" x14ac:dyDescent="0.25">
      <c r="A149" s="5"/>
      <c r="B149" s="6" t="s">
        <v>496</v>
      </c>
      <c r="D149" s="6" t="s">
        <v>497</v>
      </c>
      <c r="E149" s="6"/>
      <c r="F149" s="6"/>
      <c r="G149" s="6"/>
      <c r="H149" s="6"/>
      <c r="I149" s="6"/>
      <c r="J149" s="6"/>
      <c r="U149" s="7"/>
    </row>
    <row r="150" spans="1:21" x14ac:dyDescent="0.25">
      <c r="A150" s="5"/>
      <c r="B150" s="6" t="s">
        <v>496</v>
      </c>
      <c r="D150" s="6" t="s">
        <v>498</v>
      </c>
      <c r="E150" s="6"/>
      <c r="F150" s="6"/>
      <c r="G150" s="6"/>
      <c r="H150" s="6"/>
      <c r="I150" s="6"/>
      <c r="J150" s="6"/>
      <c r="U150" s="7"/>
    </row>
    <row r="151" spans="1:21" x14ac:dyDescent="0.25">
      <c r="A151" s="5"/>
      <c r="B151" s="6" t="s">
        <v>499</v>
      </c>
      <c r="D151" s="6" t="s">
        <v>500</v>
      </c>
      <c r="E151" s="6"/>
      <c r="F151" s="6"/>
      <c r="G151" s="6"/>
      <c r="H151" s="6"/>
      <c r="I151" s="6"/>
      <c r="J151" s="6"/>
      <c r="U151" s="7"/>
    </row>
    <row r="152" spans="1:21" x14ac:dyDescent="0.25">
      <c r="A152" s="5"/>
      <c r="B152" s="6" t="s">
        <v>499</v>
      </c>
      <c r="D152" s="6" t="s">
        <v>501</v>
      </c>
      <c r="E152" s="6"/>
      <c r="F152" s="6"/>
      <c r="G152" s="6"/>
      <c r="H152" s="6"/>
      <c r="I152" s="6"/>
      <c r="J152" s="6"/>
      <c r="U152" s="7"/>
    </row>
    <row r="153" spans="1:21" x14ac:dyDescent="0.25">
      <c r="A153" s="5"/>
      <c r="B153" s="6" t="s">
        <v>499</v>
      </c>
      <c r="D153" s="6" t="s">
        <v>502</v>
      </c>
      <c r="E153" s="6"/>
      <c r="F153" s="6"/>
      <c r="G153" s="6"/>
      <c r="H153" s="6"/>
      <c r="I153" s="6"/>
      <c r="J153" s="6"/>
      <c r="U153" s="7"/>
    </row>
    <row r="154" spans="1:21" x14ac:dyDescent="0.25">
      <c r="A154" s="5"/>
      <c r="B154" s="6" t="s">
        <v>499</v>
      </c>
      <c r="D154" s="6" t="s">
        <v>503</v>
      </c>
      <c r="E154" s="6"/>
      <c r="F154" s="6"/>
      <c r="G154" s="6"/>
      <c r="H154" s="6"/>
      <c r="I154" s="6"/>
      <c r="J154" s="6"/>
      <c r="U154" s="7"/>
    </row>
    <row r="155" spans="1:21" x14ac:dyDescent="0.25">
      <c r="A155" s="5"/>
      <c r="B155" s="6" t="s">
        <v>499</v>
      </c>
      <c r="D155" s="6" t="s">
        <v>504</v>
      </c>
      <c r="E155" s="6"/>
      <c r="F155" s="6"/>
      <c r="G155" s="6"/>
      <c r="H155" s="6"/>
      <c r="I155" s="6"/>
      <c r="J155" s="6"/>
      <c r="U155" s="7"/>
    </row>
    <row r="156" spans="1:21" x14ac:dyDescent="0.25">
      <c r="A156" s="5"/>
      <c r="B156" s="6" t="s">
        <v>499</v>
      </c>
      <c r="D156" s="6" t="s">
        <v>505</v>
      </c>
      <c r="E156" s="6"/>
      <c r="F156" s="6"/>
      <c r="G156" s="6"/>
      <c r="H156" s="6"/>
      <c r="I156" s="6"/>
      <c r="J156" s="6"/>
      <c r="U156" s="7"/>
    </row>
    <row r="157" spans="1:21" x14ac:dyDescent="0.25">
      <c r="A157" s="5"/>
      <c r="B157" s="6" t="s">
        <v>506</v>
      </c>
      <c r="D157" s="6" t="s">
        <v>507</v>
      </c>
      <c r="E157" s="6"/>
      <c r="F157" s="6"/>
      <c r="G157" s="6"/>
      <c r="H157" s="6"/>
      <c r="I157" s="6"/>
      <c r="J157" s="6"/>
      <c r="U157" s="7"/>
    </row>
    <row r="158" spans="1:21" x14ac:dyDescent="0.25">
      <c r="A158" s="5"/>
      <c r="B158" s="6" t="s">
        <v>506</v>
      </c>
      <c r="D158" s="6" t="s">
        <v>508</v>
      </c>
      <c r="E158" s="6"/>
      <c r="F158" s="6"/>
      <c r="G158" s="6"/>
      <c r="H158" s="6"/>
      <c r="I158" s="6"/>
      <c r="J158" s="6"/>
      <c r="U158" s="7"/>
    </row>
    <row r="159" spans="1:21" x14ac:dyDescent="0.25">
      <c r="A159" s="5"/>
      <c r="B159" s="6" t="s">
        <v>506</v>
      </c>
      <c r="D159" s="6" t="s">
        <v>509</v>
      </c>
      <c r="E159" s="6"/>
      <c r="F159" s="6"/>
      <c r="G159" s="6"/>
      <c r="H159" s="6"/>
      <c r="I159" s="6"/>
      <c r="J159" s="6"/>
      <c r="U159" s="7"/>
    </row>
    <row r="160" spans="1:21" x14ac:dyDescent="0.25">
      <c r="A160" s="5"/>
      <c r="B160" s="6" t="s">
        <v>506</v>
      </c>
      <c r="D160" s="6" t="s">
        <v>510</v>
      </c>
      <c r="E160" s="6"/>
      <c r="F160" s="6"/>
      <c r="G160" s="6"/>
      <c r="H160" s="6"/>
      <c r="I160" s="6"/>
      <c r="J160" s="6"/>
      <c r="U160" s="7"/>
    </row>
    <row r="161" spans="1:21" x14ac:dyDescent="0.25">
      <c r="A161" s="5"/>
      <c r="B161" s="6" t="s">
        <v>511</v>
      </c>
      <c r="D161" s="6" t="s">
        <v>512</v>
      </c>
      <c r="E161" s="6"/>
      <c r="F161" s="6"/>
      <c r="G161" s="6"/>
      <c r="H161" s="6"/>
      <c r="I161" s="6"/>
      <c r="J161" s="6"/>
      <c r="U161" s="7"/>
    </row>
    <row r="162" spans="1:21" x14ac:dyDescent="0.25">
      <c r="A162" s="5"/>
      <c r="B162" s="6" t="s">
        <v>511</v>
      </c>
      <c r="D162" s="6" t="s">
        <v>513</v>
      </c>
      <c r="E162" s="6"/>
      <c r="F162" s="6"/>
      <c r="G162" s="6"/>
      <c r="H162" s="6"/>
      <c r="I162" s="6"/>
      <c r="J162" s="6"/>
      <c r="U162" s="7"/>
    </row>
    <row r="163" spans="1:21" x14ac:dyDescent="0.25">
      <c r="A163" s="5"/>
      <c r="B163" s="6" t="s">
        <v>511</v>
      </c>
      <c r="D163" s="6" t="s">
        <v>514</v>
      </c>
      <c r="E163" s="6"/>
      <c r="F163" s="6"/>
      <c r="G163" s="6"/>
      <c r="H163" s="6"/>
      <c r="I163" s="6"/>
      <c r="J163" s="6"/>
      <c r="U163" s="7"/>
    </row>
    <row r="164" spans="1:21" x14ac:dyDescent="0.25">
      <c r="A164" s="5"/>
      <c r="B164" s="6" t="s">
        <v>511</v>
      </c>
      <c r="D164" s="6" t="s">
        <v>515</v>
      </c>
      <c r="E164" s="6"/>
      <c r="F164" s="6"/>
      <c r="G164" s="6"/>
      <c r="H164" s="6"/>
      <c r="I164" s="6"/>
      <c r="J164" s="6"/>
      <c r="U164" s="7"/>
    </row>
    <row r="165" spans="1:21" x14ac:dyDescent="0.25">
      <c r="A165" s="5"/>
      <c r="B165" s="6" t="s">
        <v>516</v>
      </c>
      <c r="D165" s="6" t="s">
        <v>517</v>
      </c>
      <c r="E165" s="6"/>
      <c r="F165" s="6"/>
      <c r="G165" s="6"/>
      <c r="H165" s="6"/>
      <c r="I165" s="6"/>
      <c r="J165" s="6"/>
      <c r="U165" s="7"/>
    </row>
    <row r="166" spans="1:21" x14ac:dyDescent="0.25">
      <c r="A166" s="5"/>
      <c r="B166" s="6" t="s">
        <v>516</v>
      </c>
      <c r="D166" s="6" t="s">
        <v>518</v>
      </c>
      <c r="E166" s="6"/>
      <c r="F166" s="6"/>
      <c r="G166" s="6"/>
      <c r="H166" s="6"/>
      <c r="I166" s="6"/>
      <c r="J166" s="6"/>
      <c r="U166" s="8"/>
    </row>
    <row r="167" spans="1:21" x14ac:dyDescent="0.25">
      <c r="A167" s="5"/>
      <c r="B167" s="6" t="s">
        <v>519</v>
      </c>
      <c r="D167" s="6" t="s">
        <v>520</v>
      </c>
      <c r="E167" s="6"/>
      <c r="F167" s="6"/>
      <c r="G167" s="6"/>
      <c r="H167" s="6"/>
      <c r="I167" s="6"/>
      <c r="J167" s="6"/>
      <c r="U167" s="7"/>
    </row>
    <row r="168" spans="1:21" x14ac:dyDescent="0.25">
      <c r="A168" s="5"/>
      <c r="B168" s="6" t="s">
        <v>519</v>
      </c>
      <c r="D168" s="6" t="s">
        <v>521</v>
      </c>
      <c r="E168" s="6"/>
      <c r="F168" s="6"/>
      <c r="G168" s="6"/>
      <c r="H168" s="6"/>
      <c r="I168" s="6"/>
      <c r="J168" s="6"/>
      <c r="U168" s="7"/>
    </row>
    <row r="169" spans="1:21" x14ac:dyDescent="0.25">
      <c r="A169" s="5"/>
      <c r="B169" s="6" t="s">
        <v>519</v>
      </c>
      <c r="D169" s="6" t="s">
        <v>522</v>
      </c>
      <c r="E169" s="6"/>
      <c r="F169" s="6"/>
      <c r="G169" s="6"/>
      <c r="H169" s="6"/>
      <c r="I169" s="6"/>
      <c r="J169" s="6"/>
      <c r="U169" s="7"/>
    </row>
    <row r="170" spans="1:21" x14ac:dyDescent="0.25">
      <c r="A170" s="5"/>
      <c r="B170" s="6" t="s">
        <v>519</v>
      </c>
      <c r="D170" s="6" t="s">
        <v>523</v>
      </c>
      <c r="E170" s="6"/>
      <c r="F170" s="6"/>
      <c r="G170" s="6"/>
      <c r="H170" s="6"/>
      <c r="I170" s="6"/>
      <c r="J170" s="6"/>
      <c r="U170" s="7"/>
    </row>
    <row r="171" spans="1:21" x14ac:dyDescent="0.25">
      <c r="A171" s="5"/>
      <c r="U171" s="7"/>
    </row>
    <row r="172" spans="1:21" x14ac:dyDescent="0.25">
      <c r="A172" s="5"/>
      <c r="B172" s="6"/>
      <c r="C172" s="6"/>
      <c r="D172" s="6"/>
      <c r="E172" s="6"/>
      <c r="F172" s="6"/>
      <c r="G172" s="6"/>
      <c r="H172" s="6"/>
      <c r="I172" s="6"/>
      <c r="J172" s="6"/>
      <c r="U172" s="7"/>
    </row>
    <row r="173" spans="1:21" x14ac:dyDescent="0.25">
      <c r="A173" s="5"/>
      <c r="B173" s="6"/>
      <c r="C173" s="6"/>
      <c r="D173" s="6"/>
      <c r="E173" s="6"/>
      <c r="F173" s="6"/>
      <c r="G173" s="6"/>
      <c r="H173" s="6"/>
      <c r="I173" s="6"/>
      <c r="J173" s="6"/>
      <c r="U173" s="7"/>
    </row>
    <row r="174" spans="1:21" x14ac:dyDescent="0.25">
      <c r="A174" s="5"/>
      <c r="B174" s="6"/>
      <c r="C174" s="6"/>
      <c r="D174" s="6"/>
      <c r="E174" s="6"/>
      <c r="F174" s="6"/>
      <c r="G174" s="6"/>
      <c r="H174" s="6"/>
      <c r="I174" s="6"/>
      <c r="J174" s="6"/>
      <c r="U174" s="7"/>
    </row>
    <row r="175" spans="1:21" x14ac:dyDescent="0.25">
      <c r="A175" s="5"/>
      <c r="B175" s="6"/>
      <c r="C175" s="6"/>
      <c r="D175" s="6"/>
      <c r="E175" s="6"/>
      <c r="F175" s="6"/>
      <c r="G175" s="6"/>
      <c r="H175" s="6"/>
      <c r="I175" s="6"/>
      <c r="J175" s="6"/>
      <c r="U175" s="7"/>
    </row>
    <row r="176" spans="1:21" x14ac:dyDescent="0.25">
      <c r="A176" s="5"/>
      <c r="B176" s="6"/>
      <c r="C176" s="6"/>
      <c r="D176" s="6"/>
      <c r="E176" s="6"/>
      <c r="F176" s="6"/>
      <c r="G176" s="6"/>
      <c r="H176" s="6"/>
      <c r="I176" s="6"/>
      <c r="J176" s="6"/>
      <c r="U176" s="7"/>
    </row>
    <row r="177" spans="1:21" x14ac:dyDescent="0.25">
      <c r="A177" s="5"/>
      <c r="B177" s="6"/>
      <c r="C177" s="6"/>
      <c r="D177" s="6"/>
      <c r="E177" s="6"/>
      <c r="F177" s="6"/>
      <c r="G177" s="6"/>
      <c r="H177" s="6"/>
      <c r="I177" s="6"/>
      <c r="J177" s="6"/>
      <c r="U177" s="7"/>
    </row>
    <row r="178" spans="1:21" x14ac:dyDescent="0.25">
      <c r="A178" s="5"/>
      <c r="B178" s="6"/>
      <c r="C178" s="6"/>
      <c r="D178" s="6"/>
      <c r="E178" s="6"/>
      <c r="F178" s="6"/>
      <c r="G178" s="6"/>
      <c r="H178" s="6"/>
      <c r="I178" s="6"/>
      <c r="J178" s="6"/>
      <c r="U178" s="7"/>
    </row>
    <row r="179" spans="1:21" x14ac:dyDescent="0.25">
      <c r="A179" s="5"/>
      <c r="B179" s="6"/>
      <c r="C179" s="6"/>
      <c r="D179" s="6"/>
      <c r="E179" s="6"/>
      <c r="F179" s="6"/>
      <c r="G179" s="6"/>
      <c r="H179" s="6"/>
      <c r="I179" s="6"/>
      <c r="J179" s="6"/>
      <c r="U179" s="7"/>
    </row>
    <row r="180" spans="1:21" x14ac:dyDescent="0.25">
      <c r="A180" s="5"/>
      <c r="B180" s="6"/>
      <c r="C180" s="6"/>
      <c r="D180" s="6"/>
      <c r="E180" s="6"/>
      <c r="F180" s="6"/>
      <c r="G180" s="6"/>
      <c r="H180" s="6"/>
      <c r="I180" s="6"/>
      <c r="J180" s="6"/>
      <c r="U180" s="7"/>
    </row>
    <row r="181" spans="1:21" x14ac:dyDescent="0.25">
      <c r="A181" s="5"/>
      <c r="B181" s="6"/>
      <c r="C181" s="6"/>
      <c r="D181" s="6"/>
      <c r="E181" s="6"/>
      <c r="F181" s="6"/>
      <c r="G181" s="6"/>
      <c r="H181" s="6"/>
      <c r="I181" s="6"/>
      <c r="J181" s="6"/>
      <c r="U181" s="7"/>
    </row>
    <row r="182" spans="1:21" x14ac:dyDescent="0.25">
      <c r="A182" s="5"/>
      <c r="B182" s="6"/>
      <c r="C182" s="6"/>
      <c r="D182" s="6"/>
      <c r="E182" s="6"/>
      <c r="F182" s="6"/>
      <c r="G182" s="6"/>
      <c r="H182" s="6"/>
      <c r="I182" s="6"/>
      <c r="J182" s="6"/>
      <c r="U182" s="7"/>
    </row>
    <row r="183" spans="1:21" x14ac:dyDescent="0.25">
      <c r="A183" s="5"/>
      <c r="U183" s="7"/>
    </row>
    <row r="184" spans="1:21" x14ac:dyDescent="0.25">
      <c r="A184" s="5"/>
      <c r="U184" s="7"/>
    </row>
    <row r="185" spans="1:21" x14ac:dyDescent="0.25">
      <c r="A185" s="5"/>
      <c r="U185" s="7"/>
    </row>
    <row r="186" spans="1:21" x14ac:dyDescent="0.25">
      <c r="A186" s="5"/>
      <c r="B186" s="6"/>
      <c r="C186" s="6"/>
      <c r="D186" s="6"/>
      <c r="E186" s="6"/>
      <c r="F186" s="6"/>
      <c r="G186" s="6"/>
      <c r="H186" s="6"/>
      <c r="I186" s="6"/>
      <c r="J186" s="6"/>
      <c r="U186" s="7"/>
    </row>
    <row r="187" spans="1:21" x14ac:dyDescent="0.25">
      <c r="A187" s="5"/>
      <c r="B187" s="6"/>
      <c r="C187" s="6"/>
      <c r="D187" s="6"/>
      <c r="E187" s="6"/>
      <c r="F187" s="6"/>
      <c r="G187" s="6"/>
      <c r="H187" s="6"/>
      <c r="I187" s="6"/>
      <c r="J187" s="6"/>
      <c r="U187" s="7"/>
    </row>
    <row r="188" spans="1:21" x14ac:dyDescent="0.25">
      <c r="A188" s="5"/>
      <c r="B188" s="6"/>
      <c r="C188" s="6"/>
      <c r="D188" s="6"/>
      <c r="E188" s="6"/>
      <c r="F188" s="6"/>
      <c r="G188" s="6"/>
      <c r="H188" s="6"/>
      <c r="I188" s="6"/>
      <c r="J188" s="6"/>
      <c r="U188" s="7"/>
    </row>
    <row r="189" spans="1:21" x14ac:dyDescent="0.25">
      <c r="A189" s="9"/>
      <c r="B189" s="10"/>
      <c r="C189" s="10"/>
      <c r="D189" s="10"/>
      <c r="E189" s="10"/>
      <c r="F189" s="10"/>
      <c r="G189" s="10"/>
      <c r="H189" s="10"/>
      <c r="I189" s="10"/>
      <c r="J189" s="10"/>
      <c r="K189" s="10"/>
      <c r="L189" s="10"/>
      <c r="M189" s="10"/>
      <c r="N189" s="10"/>
      <c r="O189" s="10"/>
      <c r="P189" s="10"/>
      <c r="Q189" s="10"/>
      <c r="R189" s="10"/>
      <c r="S189" s="10"/>
      <c r="T189" s="10"/>
      <c r="U189" s="11"/>
    </row>
    <row r="190" spans="1:21" x14ac:dyDescent="0.25">
      <c r="A190" s="2"/>
      <c r="B190" s="3"/>
      <c r="C190" s="3"/>
      <c r="D190" s="3"/>
      <c r="E190" s="3"/>
      <c r="F190" s="3"/>
      <c r="G190" s="3"/>
      <c r="H190" s="3"/>
      <c r="I190" s="3"/>
      <c r="J190" s="3"/>
      <c r="K190" s="3"/>
      <c r="L190" s="3"/>
      <c r="M190" s="3"/>
      <c r="N190" s="3"/>
      <c r="O190" s="3"/>
      <c r="P190" s="3"/>
      <c r="Q190" s="3"/>
      <c r="R190" s="3"/>
      <c r="S190" s="3"/>
      <c r="T190" s="3"/>
      <c r="U190" s="4"/>
    </row>
    <row r="191" spans="1:21" x14ac:dyDescent="0.25">
      <c r="A191" s="5"/>
      <c r="U191" s="7"/>
    </row>
    <row r="192" spans="1:21" x14ac:dyDescent="0.25">
      <c r="A192" s="5"/>
      <c r="U192" s="7"/>
    </row>
    <row r="193" spans="1:21" x14ac:dyDescent="0.25">
      <c r="A193" s="5"/>
      <c r="U193" s="7"/>
    </row>
    <row r="194" spans="1:21" x14ac:dyDescent="0.25">
      <c r="A194" s="5"/>
      <c r="U194" s="7"/>
    </row>
    <row r="195" spans="1:21" x14ac:dyDescent="0.25">
      <c r="A195" s="5"/>
      <c r="U195" s="7"/>
    </row>
    <row r="196" spans="1:21" x14ac:dyDescent="0.25">
      <c r="A196" s="5"/>
      <c r="U196" s="7"/>
    </row>
    <row r="197" spans="1:21" x14ac:dyDescent="0.25">
      <c r="A197" s="5"/>
      <c r="U197" s="7"/>
    </row>
    <row r="198" spans="1:21" x14ac:dyDescent="0.25">
      <c r="A198" s="5"/>
      <c r="U198" s="7"/>
    </row>
    <row r="199" spans="1:21" x14ac:dyDescent="0.25">
      <c r="A199" s="5"/>
      <c r="U199" s="7"/>
    </row>
    <row r="200" spans="1:21" x14ac:dyDescent="0.25">
      <c r="A200" s="5"/>
      <c r="U200" s="7"/>
    </row>
    <row r="201" spans="1:21" x14ac:dyDescent="0.25">
      <c r="A201" s="5"/>
      <c r="U201" s="7"/>
    </row>
    <row r="202" spans="1:21" x14ac:dyDescent="0.25">
      <c r="A202" s="5"/>
      <c r="U202" s="7"/>
    </row>
    <row r="203" spans="1:21" x14ac:dyDescent="0.25">
      <c r="A203" s="5"/>
      <c r="U203" s="7"/>
    </row>
    <row r="204" spans="1:21" x14ac:dyDescent="0.25">
      <c r="A204" s="5"/>
      <c r="U204" s="7"/>
    </row>
    <row r="205" spans="1:21" x14ac:dyDescent="0.25">
      <c r="A205" s="5"/>
      <c r="U205" s="7"/>
    </row>
    <row r="206" spans="1:21" x14ac:dyDescent="0.25">
      <c r="A206" s="5"/>
      <c r="U206" s="7"/>
    </row>
    <row r="207" spans="1:21" x14ac:dyDescent="0.25">
      <c r="A207" s="5"/>
      <c r="U207" s="7"/>
    </row>
    <row r="208" spans="1:21" x14ac:dyDescent="0.25">
      <c r="A208" s="5"/>
      <c r="U208" s="7"/>
    </row>
    <row r="209" spans="1:21" x14ac:dyDescent="0.25">
      <c r="A209" s="5"/>
      <c r="U209" s="7"/>
    </row>
    <row r="210" spans="1:21" x14ac:dyDescent="0.25">
      <c r="A210" s="5"/>
      <c r="U210" s="7"/>
    </row>
    <row r="211" spans="1:21" x14ac:dyDescent="0.25">
      <c r="A211" s="5"/>
      <c r="U211" s="7"/>
    </row>
    <row r="212" spans="1:21" x14ac:dyDescent="0.25">
      <c r="A212" s="5"/>
      <c r="U212" s="7"/>
    </row>
    <row r="213" spans="1:21" x14ac:dyDescent="0.25">
      <c r="A213" s="5"/>
      <c r="U213" s="7"/>
    </row>
    <row r="214" spans="1:21" x14ac:dyDescent="0.25">
      <c r="A214" s="5"/>
      <c r="U214" s="7"/>
    </row>
    <row r="215" spans="1:21" x14ac:dyDescent="0.25">
      <c r="A215" s="5"/>
      <c r="U215" s="7"/>
    </row>
    <row r="216" spans="1:21" x14ac:dyDescent="0.25">
      <c r="A216" s="5"/>
      <c r="U216" s="7"/>
    </row>
    <row r="217" spans="1:21" x14ac:dyDescent="0.25">
      <c r="A217" s="5"/>
      <c r="U217" s="7"/>
    </row>
    <row r="218" spans="1:21" x14ac:dyDescent="0.25">
      <c r="A218" s="5"/>
      <c r="U218" s="7"/>
    </row>
    <row r="219" spans="1:21" x14ac:dyDescent="0.25">
      <c r="A219" s="5"/>
      <c r="U219" s="7"/>
    </row>
    <row r="220" spans="1:21" x14ac:dyDescent="0.25">
      <c r="A220" s="5"/>
      <c r="U220" s="7"/>
    </row>
    <row r="221" spans="1:21" x14ac:dyDescent="0.25">
      <c r="A221" s="5"/>
      <c r="U221" s="7"/>
    </row>
    <row r="222" spans="1:21" x14ac:dyDescent="0.25">
      <c r="A222" s="5"/>
      <c r="U222" s="7"/>
    </row>
    <row r="223" spans="1:21" x14ac:dyDescent="0.25">
      <c r="A223" s="5"/>
      <c r="U223" s="7"/>
    </row>
    <row r="224" spans="1:21" x14ac:dyDescent="0.25">
      <c r="A224" s="5"/>
      <c r="U224" s="7"/>
    </row>
    <row r="225" spans="1:21" x14ac:dyDescent="0.25">
      <c r="A225" s="5"/>
      <c r="U225" s="7"/>
    </row>
    <row r="226" spans="1:21" x14ac:dyDescent="0.25">
      <c r="A226" s="5"/>
      <c r="U226" s="7"/>
    </row>
    <row r="227" spans="1:21" x14ac:dyDescent="0.25">
      <c r="A227" s="5"/>
      <c r="U227" s="7"/>
    </row>
    <row r="228" spans="1:21" x14ac:dyDescent="0.25">
      <c r="A228" s="5"/>
      <c r="U228" s="8"/>
    </row>
    <row r="229" spans="1:21" x14ac:dyDescent="0.25">
      <c r="A229" s="5"/>
      <c r="U229" s="7"/>
    </row>
    <row r="230" spans="1:21" x14ac:dyDescent="0.25">
      <c r="A230" s="5"/>
      <c r="U230" s="7"/>
    </row>
    <row r="231" spans="1:21" x14ac:dyDescent="0.25">
      <c r="A231" s="5"/>
      <c r="U231" s="7"/>
    </row>
    <row r="232" spans="1:21" x14ac:dyDescent="0.25">
      <c r="A232" s="5"/>
      <c r="U232" s="7"/>
    </row>
    <row r="233" spans="1:21" x14ac:dyDescent="0.25">
      <c r="A233" s="5"/>
      <c r="B233" s="6"/>
      <c r="C233" s="6"/>
      <c r="D233" s="6"/>
      <c r="E233" s="6"/>
      <c r="F233" s="6"/>
      <c r="G233" s="6"/>
      <c r="H233" s="6"/>
      <c r="I233" s="6"/>
      <c r="J233" s="6"/>
      <c r="U233" s="7"/>
    </row>
    <row r="234" spans="1:21" x14ac:dyDescent="0.25">
      <c r="A234" s="5"/>
      <c r="B234" s="6"/>
      <c r="C234" s="6"/>
      <c r="D234" s="6"/>
      <c r="E234" s="6"/>
      <c r="F234" s="6"/>
      <c r="G234" s="6"/>
      <c r="H234" s="6"/>
      <c r="I234" s="6"/>
      <c r="J234" s="6"/>
      <c r="U234" s="7"/>
    </row>
    <row r="235" spans="1:21" x14ac:dyDescent="0.25">
      <c r="A235" s="5"/>
      <c r="B235" s="6"/>
      <c r="C235" s="6"/>
      <c r="D235" s="6"/>
      <c r="E235" s="6"/>
      <c r="F235" s="6"/>
      <c r="G235" s="6"/>
      <c r="H235" s="6"/>
      <c r="I235" s="6"/>
      <c r="J235" s="6"/>
      <c r="U235" s="7"/>
    </row>
    <row r="236" spans="1:21" x14ac:dyDescent="0.25">
      <c r="A236" s="5"/>
      <c r="B236" s="6"/>
      <c r="C236" s="6"/>
      <c r="D236" s="6"/>
      <c r="E236" s="6"/>
      <c r="F236" s="6"/>
      <c r="G236" s="6"/>
      <c r="H236" s="6"/>
      <c r="I236" s="6"/>
      <c r="J236" s="6"/>
      <c r="U236" s="7"/>
    </row>
    <row r="237" spans="1:21" x14ac:dyDescent="0.25">
      <c r="A237" s="5"/>
      <c r="B237" s="6"/>
      <c r="C237" s="6"/>
      <c r="D237" s="6"/>
      <c r="E237" s="6"/>
      <c r="F237" s="6"/>
      <c r="G237" s="6"/>
      <c r="H237" s="6"/>
      <c r="I237" s="6"/>
      <c r="J237" s="6"/>
      <c r="U237" s="7"/>
    </row>
    <row r="238" spans="1:21" x14ac:dyDescent="0.25">
      <c r="A238" s="5"/>
      <c r="B238" s="6"/>
      <c r="C238" s="6"/>
      <c r="D238" s="6"/>
      <c r="E238" s="6"/>
      <c r="F238" s="6"/>
      <c r="G238" s="6"/>
      <c r="H238" s="6"/>
      <c r="I238" s="6"/>
      <c r="J238" s="6"/>
      <c r="U238" s="7"/>
    </row>
    <row r="239" spans="1:21" x14ac:dyDescent="0.25">
      <c r="A239" s="5"/>
      <c r="B239" s="6"/>
      <c r="C239" s="6"/>
      <c r="D239" s="6"/>
      <c r="E239" s="6"/>
      <c r="F239" s="6"/>
      <c r="G239" s="6"/>
      <c r="H239" s="6"/>
      <c r="I239" s="6"/>
      <c r="J239" s="6"/>
      <c r="U239" s="7"/>
    </row>
    <row r="240" spans="1:21" x14ac:dyDescent="0.25">
      <c r="A240" s="5"/>
      <c r="B240" s="6"/>
      <c r="C240" s="6"/>
      <c r="D240" s="6"/>
      <c r="E240" s="6"/>
      <c r="F240" s="6"/>
      <c r="G240" s="6"/>
      <c r="H240" s="6"/>
      <c r="I240" s="6"/>
      <c r="J240" s="6"/>
      <c r="U240" s="7"/>
    </row>
    <row r="241" spans="1:21" x14ac:dyDescent="0.25">
      <c r="A241" s="5"/>
      <c r="B241" s="6"/>
      <c r="C241" s="6"/>
      <c r="D241" s="6"/>
      <c r="E241" s="6"/>
      <c r="F241" s="6"/>
      <c r="G241" s="6"/>
      <c r="H241" s="6"/>
      <c r="I241" s="6"/>
      <c r="J241" s="6"/>
      <c r="U241" s="7"/>
    </row>
    <row r="242" spans="1:21" x14ac:dyDescent="0.25">
      <c r="A242" s="5"/>
      <c r="B242" s="6"/>
      <c r="C242" s="6"/>
      <c r="D242" s="6"/>
      <c r="E242" s="6"/>
      <c r="F242" s="6"/>
      <c r="G242" s="6"/>
      <c r="H242" s="6"/>
      <c r="I242" s="6"/>
      <c r="J242" s="6"/>
      <c r="U242" s="7"/>
    </row>
    <row r="243" spans="1:21" x14ac:dyDescent="0.25">
      <c r="A243" s="5"/>
      <c r="B243" s="6"/>
      <c r="C243" s="6"/>
      <c r="D243" s="6"/>
      <c r="E243" s="6"/>
      <c r="F243" s="6"/>
      <c r="G243" s="6"/>
      <c r="H243" s="6"/>
      <c r="I243" s="6"/>
      <c r="J243" s="6"/>
      <c r="U243" s="7"/>
    </row>
    <row r="244" spans="1:21" x14ac:dyDescent="0.25">
      <c r="A244" s="5"/>
      <c r="B244" s="6"/>
      <c r="C244" s="6"/>
      <c r="D244" s="6"/>
      <c r="E244" s="6"/>
      <c r="F244" s="6"/>
      <c r="G244" s="6"/>
      <c r="H244" s="6"/>
      <c r="I244" s="6"/>
      <c r="J244" s="6"/>
      <c r="U244" s="7"/>
    </row>
    <row r="245" spans="1:21" x14ac:dyDescent="0.25">
      <c r="A245" s="5"/>
      <c r="U245" s="7"/>
    </row>
    <row r="246" spans="1:21" x14ac:dyDescent="0.25">
      <c r="A246" s="5"/>
      <c r="U246" s="7"/>
    </row>
    <row r="247" spans="1:21" x14ac:dyDescent="0.25">
      <c r="A247" s="5"/>
      <c r="U247" s="7"/>
    </row>
    <row r="248" spans="1:21" x14ac:dyDescent="0.25">
      <c r="A248" s="5"/>
      <c r="B248" s="6"/>
      <c r="C248" s="6"/>
      <c r="D248" s="6"/>
      <c r="E248" s="6"/>
      <c r="F248" s="6"/>
      <c r="G248" s="6"/>
      <c r="H248" s="6"/>
      <c r="I248" s="6"/>
      <c r="J248" s="6"/>
      <c r="U248" s="7"/>
    </row>
    <row r="249" spans="1:21" x14ac:dyDescent="0.25">
      <c r="A249" s="5"/>
      <c r="B249" s="6"/>
      <c r="C249" s="6"/>
      <c r="D249" s="6"/>
      <c r="E249" s="6"/>
      <c r="F249" s="6"/>
      <c r="G249" s="6"/>
      <c r="H249" s="6"/>
      <c r="I249" s="6"/>
      <c r="J249" s="6"/>
      <c r="U249" s="7"/>
    </row>
    <row r="250" spans="1:21" x14ac:dyDescent="0.25">
      <c r="A250" s="5"/>
      <c r="B250" s="6"/>
      <c r="C250" s="6"/>
      <c r="D250" s="6"/>
      <c r="E250" s="6"/>
      <c r="F250" s="6"/>
      <c r="G250" s="6"/>
      <c r="H250" s="6"/>
      <c r="I250" s="6"/>
      <c r="J250" s="6"/>
      <c r="U250" s="7"/>
    </row>
    <row r="251" spans="1:21" x14ac:dyDescent="0.25">
      <c r="A251" s="9"/>
      <c r="B251" s="10"/>
      <c r="C251" s="10"/>
      <c r="D251" s="10"/>
      <c r="E251" s="10"/>
      <c r="F251" s="10"/>
      <c r="G251" s="10"/>
      <c r="H251" s="10"/>
      <c r="I251" s="10"/>
      <c r="J251" s="10"/>
      <c r="K251" s="10"/>
      <c r="L251" s="10"/>
      <c r="M251" s="10"/>
      <c r="N251" s="10"/>
      <c r="O251" s="10"/>
      <c r="P251" s="10"/>
      <c r="Q251" s="10"/>
      <c r="R251" s="10"/>
      <c r="S251" s="10"/>
      <c r="T251" s="10"/>
      <c r="U251" s="11"/>
    </row>
  </sheetData>
  <mergeCells count="133">
    <mergeCell ref="B28:K28"/>
    <mergeCell ref="B29:K29"/>
    <mergeCell ref="B30:K30"/>
    <mergeCell ref="B45:K45"/>
    <mergeCell ref="B79:G79"/>
    <mergeCell ref="B33:K33"/>
    <mergeCell ref="B39:K39"/>
    <mergeCell ref="B40:K40"/>
    <mergeCell ref="B41:K41"/>
    <mergeCell ref="B42:K42"/>
    <mergeCell ref="B75:G75"/>
    <mergeCell ref="B76:G76"/>
    <mergeCell ref="H79:K79"/>
    <mergeCell ref="B78:K78"/>
    <mergeCell ref="H84:I84"/>
    <mergeCell ref="B83:G83"/>
    <mergeCell ref="B43:K43"/>
    <mergeCell ref="B44:K44"/>
    <mergeCell ref="B80:G80"/>
    <mergeCell ref="B81:G81"/>
    <mergeCell ref="H81:I81"/>
    <mergeCell ref="B82:G82"/>
    <mergeCell ref="H82:I82"/>
    <mergeCell ref="B145:T146"/>
    <mergeCell ref="B131:T132"/>
    <mergeCell ref="H96:I96"/>
    <mergeCell ref="H92:I92"/>
    <mergeCell ref="H94:I94"/>
    <mergeCell ref="H95:I95"/>
    <mergeCell ref="B98:G98"/>
    <mergeCell ref="H98:I98"/>
    <mergeCell ref="B89:G89"/>
    <mergeCell ref="H89:I89"/>
    <mergeCell ref="B91:G91"/>
    <mergeCell ref="H91:I91"/>
    <mergeCell ref="B90:G90"/>
    <mergeCell ref="H90:I90"/>
    <mergeCell ref="W119:AO122"/>
    <mergeCell ref="B97:G97"/>
    <mergeCell ref="H97:I97"/>
    <mergeCell ref="H93:K93"/>
    <mergeCell ref="L22:M22"/>
    <mergeCell ref="B18:K18"/>
    <mergeCell ref="B25:K25"/>
    <mergeCell ref="B36:K36"/>
    <mergeCell ref="B19:K19"/>
    <mergeCell ref="Q69:R69"/>
    <mergeCell ref="S69:T69"/>
    <mergeCell ref="B67:T67"/>
    <mergeCell ref="B68:K68"/>
    <mergeCell ref="L68:T68"/>
    <mergeCell ref="L46:M46"/>
    <mergeCell ref="L69:P69"/>
    <mergeCell ref="H85:I85"/>
    <mergeCell ref="B86:G86"/>
    <mergeCell ref="H86:I86"/>
    <mergeCell ref="B88:G88"/>
    <mergeCell ref="H88:I88"/>
    <mergeCell ref="B87:G87"/>
    <mergeCell ref="H87:I87"/>
    <mergeCell ref="B84:G84"/>
    <mergeCell ref="Q2:U2"/>
    <mergeCell ref="Q1:U1"/>
    <mergeCell ref="O3:P3"/>
    <mergeCell ref="O2:P2"/>
    <mergeCell ref="O1:P1"/>
    <mergeCell ref="Q3:U3"/>
    <mergeCell ref="F1:G2"/>
    <mergeCell ref="A1:E3"/>
    <mergeCell ref="H3:N3"/>
    <mergeCell ref="H1:N2"/>
    <mergeCell ref="F3:G3"/>
    <mergeCell ref="W104:AO113"/>
    <mergeCell ref="W89:AO89"/>
    <mergeCell ref="L74:P74"/>
    <mergeCell ref="L75:P75"/>
    <mergeCell ref="L76:P76"/>
    <mergeCell ref="B46:K46"/>
    <mergeCell ref="B69:G69"/>
    <mergeCell ref="B70:G70"/>
    <mergeCell ref="B71:G71"/>
    <mergeCell ref="B72:G72"/>
    <mergeCell ref="B96:G96"/>
    <mergeCell ref="B92:G92"/>
    <mergeCell ref="B93:G93"/>
    <mergeCell ref="B94:G94"/>
    <mergeCell ref="B95:G95"/>
    <mergeCell ref="B73:G73"/>
    <mergeCell ref="H80:K80"/>
    <mergeCell ref="H83:I83"/>
    <mergeCell ref="B85:G85"/>
    <mergeCell ref="L70:P70"/>
    <mergeCell ref="L73:P73"/>
    <mergeCell ref="J69:K69"/>
    <mergeCell ref="H69:I69"/>
    <mergeCell ref="B74:G74"/>
    <mergeCell ref="L72:P72"/>
    <mergeCell ref="B12:K12"/>
    <mergeCell ref="B13:K13"/>
    <mergeCell ref="L71:P71"/>
    <mergeCell ref="B26:K26"/>
    <mergeCell ref="L44:M44"/>
    <mergeCell ref="L45:M45"/>
    <mergeCell ref="L23:M23"/>
    <mergeCell ref="L43:M43"/>
    <mergeCell ref="L42:M42"/>
    <mergeCell ref="B31:K31"/>
    <mergeCell ref="B35:K35"/>
    <mergeCell ref="B37:K37"/>
    <mergeCell ref="B38:K38"/>
    <mergeCell ref="B17:K17"/>
    <mergeCell ref="B32:K32"/>
    <mergeCell ref="B14:K14"/>
    <mergeCell ref="L12:T12"/>
    <mergeCell ref="L16:T16"/>
    <mergeCell ref="L17:T17"/>
    <mergeCell ref="B15:K15"/>
    <mergeCell ref="B16:K16"/>
    <mergeCell ref="B34:K34"/>
    <mergeCell ref="B27:K27"/>
    <mergeCell ref="L5:T7"/>
    <mergeCell ref="B5:K7"/>
    <mergeCell ref="B21:K21"/>
    <mergeCell ref="B23:K23"/>
    <mergeCell ref="B24:K24"/>
    <mergeCell ref="B22:K22"/>
    <mergeCell ref="L21:M21"/>
    <mergeCell ref="L9:T9"/>
    <mergeCell ref="B9:K9"/>
    <mergeCell ref="B10:K10"/>
    <mergeCell ref="L11:T11"/>
    <mergeCell ref="L10:T10"/>
    <mergeCell ref="B11:K11"/>
  </mergeCells>
  <phoneticPr fontId="3" type="noConversion"/>
  <dataValidations count="6">
    <dataValidation type="list" allowBlank="1" showInputMessage="1" showErrorMessage="1" sqref="L18" xr:uid="{83105E04-CA76-4CE7-9C60-F4272233399E}">
      <formula1>"NSR 10,MZSC 14"</formula1>
    </dataValidation>
    <dataValidation type="list" allowBlank="1" showInputMessage="1" showErrorMessage="1" sqref="L13" xr:uid="{8163118F-1C3F-4DE0-A9EF-A7969278D370}">
      <formula1>$W$4:$W$7</formula1>
    </dataValidation>
    <dataValidation type="list" allowBlank="1" showInputMessage="1" showErrorMessage="1" sqref="L19" xr:uid="{05534331-0C5C-4E23-AC57-8B3A1AC2F7BC}">
      <formula1>"A,B,C,D,E,1,2,3,4a,4b,4c,4d,4e,5,6"</formula1>
    </dataValidation>
    <dataValidation type="list" allowBlank="1" showInputMessage="1" showErrorMessage="1" sqref="H80" xr:uid="{0C6101D7-21D4-4C0F-95D2-530E2FB89DFD}">
      <formula1>"Concreto, Arcilla"</formula1>
    </dataValidation>
    <dataValidation type="list" allowBlank="1" showInputMessage="1" showErrorMessage="1" sqref="H93:K93" xr:uid="{364B99DF-8A99-462C-968A-9B8809C85AF1}">
      <formula1>"H, M, S"</formula1>
    </dataValidation>
    <dataValidation type="list" allowBlank="1" showInputMessage="1" showErrorMessage="1" sqref="L22:M22" xr:uid="{0B88AF78-9DB4-4A30-9A8A-540994D95A96}">
      <formula1>"BAJA,MEDIA,ALTA"</formula1>
    </dataValidation>
  </dataValidations>
  <printOptions horizontalCentered="1" verticalCentered="1"/>
  <pageMargins left="0.47244094488188981" right="0.47244094488188981" top="0.74803149606299213" bottom="0.74803149606299213" header="0.31496062992125984" footer="0.31496062992125984"/>
  <pageSetup scale="69" fitToWidth="0" fitToHeight="0" orientation="portrait" r:id="rId1"/>
  <rowBreaks count="2" manualBreakCount="2">
    <brk id="65" max="20" man="1"/>
    <brk id="127" max="20"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93CE4-F089-46D9-B319-568CF8A9ABF6}">
  <dimension ref="A1:BB127"/>
  <sheetViews>
    <sheetView view="pageBreakPreview" topLeftCell="A20" zoomScale="85" zoomScaleNormal="100" zoomScaleSheetLayoutView="85" workbookViewId="0">
      <selection activeCell="AE44" sqref="AE44"/>
    </sheetView>
  </sheetViews>
  <sheetFormatPr baseColWidth="10" defaultColWidth="5.7109375" defaultRowHeight="15" x14ac:dyDescent="0.25"/>
  <cols>
    <col min="1" max="16" width="5.7109375" style="1" customWidth="1"/>
    <col min="17" max="17" width="5.7109375" style="1"/>
    <col min="18" max="21" width="5.7109375" style="1" customWidth="1"/>
    <col min="22" max="23" width="5.7109375" style="1"/>
    <col min="24" max="24" width="12.85546875" style="1" bestFit="1" customWidth="1"/>
    <col min="25" max="16384" width="5.7109375" style="1"/>
  </cols>
  <sheetData>
    <row r="1" spans="1:34"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34"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34" x14ac:dyDescent="0.25">
      <c r="A3" s="214"/>
      <c r="B3" s="215"/>
      <c r="C3" s="215"/>
      <c r="D3" s="215"/>
      <c r="E3" s="216"/>
      <c r="F3" s="217" t="s">
        <v>1</v>
      </c>
      <c r="G3" s="210"/>
      <c r="H3" s="217" t="s">
        <v>550</v>
      </c>
      <c r="I3" s="209"/>
      <c r="J3" s="209"/>
      <c r="K3" s="209"/>
      <c r="L3" s="209"/>
      <c r="M3" s="209"/>
      <c r="N3" s="210"/>
      <c r="O3" s="217" t="s">
        <v>4</v>
      </c>
      <c r="P3" s="209"/>
      <c r="Q3" s="209" t="str">
        <f>'0. CARTA RESPONSABILIDAD'!Q3</f>
        <v>R0</v>
      </c>
      <c r="R3" s="209"/>
      <c r="S3" s="209"/>
      <c r="T3" s="209"/>
      <c r="U3" s="210"/>
    </row>
    <row r="4" spans="1:34" ht="13.9" x14ac:dyDescent="0.25">
      <c r="A4" s="2"/>
      <c r="B4" s="3"/>
      <c r="C4" s="3"/>
      <c r="D4" s="3"/>
      <c r="E4" s="3"/>
      <c r="F4" s="3"/>
      <c r="G4" s="3"/>
      <c r="H4" s="3"/>
      <c r="I4" s="3"/>
      <c r="J4" s="3"/>
      <c r="K4" s="3"/>
      <c r="L4" s="3"/>
      <c r="M4" s="3"/>
      <c r="N4" s="3"/>
      <c r="O4" s="3"/>
      <c r="P4" s="3"/>
      <c r="Q4" s="3"/>
      <c r="R4" s="3"/>
      <c r="S4" s="3"/>
      <c r="T4" s="3"/>
      <c r="U4" s="4"/>
    </row>
    <row r="5" spans="1:34" x14ac:dyDescent="0.25">
      <c r="A5" s="5"/>
      <c r="B5" s="225" t="s">
        <v>524</v>
      </c>
      <c r="C5" s="225"/>
      <c r="D5" s="225"/>
      <c r="E5" s="225"/>
      <c r="F5" s="225"/>
      <c r="G5" s="225"/>
      <c r="H5" s="225"/>
      <c r="I5" s="225"/>
      <c r="J5" s="225"/>
      <c r="K5" s="225"/>
      <c r="L5" s="225"/>
      <c r="M5" s="225"/>
      <c r="N5" s="225"/>
      <c r="O5" s="225"/>
      <c r="P5" s="225"/>
      <c r="Q5" s="225"/>
      <c r="R5" s="225"/>
      <c r="S5" s="225"/>
      <c r="T5" s="225"/>
      <c r="U5" s="7"/>
    </row>
    <row r="6" spans="1:34" x14ac:dyDescent="0.25">
      <c r="A6" s="5"/>
      <c r="B6" s="225"/>
      <c r="C6" s="225"/>
      <c r="D6" s="225"/>
      <c r="E6" s="225"/>
      <c r="F6" s="225"/>
      <c r="G6" s="225"/>
      <c r="H6" s="225"/>
      <c r="I6" s="225"/>
      <c r="J6" s="225"/>
      <c r="K6" s="225"/>
      <c r="L6" s="225"/>
      <c r="M6" s="225"/>
      <c r="N6" s="225"/>
      <c r="O6" s="225"/>
      <c r="P6" s="225"/>
      <c r="Q6" s="225"/>
      <c r="R6" s="225"/>
      <c r="S6" s="225"/>
      <c r="T6" s="225"/>
      <c r="U6" s="7"/>
    </row>
    <row r="7" spans="1:34" ht="13.9" x14ac:dyDescent="0.25">
      <c r="A7" s="5"/>
      <c r="U7" s="7"/>
    </row>
    <row r="8" spans="1:34" ht="13.9" x14ac:dyDescent="0.25">
      <c r="A8" s="5"/>
      <c r="B8" s="40" t="s">
        <v>591</v>
      </c>
      <c r="U8" s="7"/>
      <c r="X8" s="41"/>
      <c r="Y8" s="41"/>
      <c r="AA8" s="41"/>
      <c r="AB8" s="6"/>
      <c r="AC8" s="6"/>
      <c r="AD8" s="6"/>
      <c r="AE8" s="6"/>
      <c r="AF8" s="6"/>
    </row>
    <row r="9" spans="1:34" ht="13.9" x14ac:dyDescent="0.25">
      <c r="A9" s="5"/>
      <c r="U9" s="7"/>
      <c r="X9" s="6"/>
      <c r="Y9" s="6"/>
      <c r="Z9" s="6"/>
      <c r="AA9" s="6"/>
      <c r="AB9" s="6"/>
      <c r="AC9" s="6"/>
      <c r="AD9" s="6"/>
      <c r="AE9" s="6"/>
      <c r="AF9" s="6"/>
    </row>
    <row r="10" spans="1:34" x14ac:dyDescent="0.25">
      <c r="A10" s="5"/>
      <c r="B10" s="258" t="s">
        <v>525</v>
      </c>
      <c r="C10" s="258"/>
      <c r="D10" s="258"/>
      <c r="E10" s="258"/>
      <c r="F10" s="258"/>
      <c r="G10" s="258"/>
      <c r="H10" s="258"/>
      <c r="I10" s="258"/>
      <c r="J10" s="258"/>
      <c r="K10" s="258"/>
      <c r="L10" s="258"/>
      <c r="M10" s="258"/>
      <c r="N10" s="258"/>
      <c r="O10" s="258"/>
      <c r="P10" s="258"/>
      <c r="Q10" s="258"/>
      <c r="R10" s="258"/>
      <c r="S10" s="258"/>
      <c r="T10" s="258"/>
      <c r="U10" s="7"/>
      <c r="Y10" s="40"/>
      <c r="Z10" s="40"/>
    </row>
    <row r="11" spans="1:34" x14ac:dyDescent="0.25">
      <c r="A11" s="5"/>
      <c r="B11" s="258"/>
      <c r="C11" s="258"/>
      <c r="D11" s="258"/>
      <c r="E11" s="258"/>
      <c r="F11" s="258"/>
      <c r="G11" s="258"/>
      <c r="H11" s="258"/>
      <c r="I11" s="258"/>
      <c r="J11" s="258"/>
      <c r="K11" s="258"/>
      <c r="L11" s="258"/>
      <c r="M11" s="258"/>
      <c r="N11" s="258"/>
      <c r="O11" s="258"/>
      <c r="P11" s="258"/>
      <c r="Q11" s="258"/>
      <c r="R11" s="258"/>
      <c r="S11" s="258"/>
      <c r="T11" s="258"/>
      <c r="U11" s="7"/>
      <c r="Z11" s="47"/>
      <c r="AC11" s="40"/>
      <c r="AD11" s="67"/>
      <c r="AE11" s="47"/>
      <c r="AG11" s="6"/>
      <c r="AH11" s="6"/>
    </row>
    <row r="12" spans="1:34" x14ac:dyDescent="0.25">
      <c r="A12" s="5"/>
      <c r="B12" s="258"/>
      <c r="C12" s="258"/>
      <c r="D12" s="258"/>
      <c r="E12" s="258"/>
      <c r="F12" s="258"/>
      <c r="G12" s="258"/>
      <c r="H12" s="258"/>
      <c r="I12" s="258"/>
      <c r="J12" s="258"/>
      <c r="K12" s="258"/>
      <c r="L12" s="258"/>
      <c r="M12" s="258"/>
      <c r="N12" s="258"/>
      <c r="O12" s="258"/>
      <c r="P12" s="258"/>
      <c r="Q12" s="258"/>
      <c r="R12" s="258"/>
      <c r="S12" s="258"/>
      <c r="T12" s="258"/>
      <c r="U12" s="7"/>
      <c r="Z12" s="47"/>
      <c r="AA12" s="6"/>
      <c r="AB12" s="6"/>
      <c r="AC12" s="6"/>
      <c r="AD12" s="48"/>
      <c r="AE12" s="47"/>
      <c r="AF12" s="6"/>
      <c r="AG12" s="15"/>
      <c r="AH12" s="47"/>
    </row>
    <row r="13" spans="1:34" ht="13.9" x14ac:dyDescent="0.25">
      <c r="A13" s="5"/>
      <c r="U13" s="7"/>
      <c r="Z13" s="47"/>
      <c r="AD13" s="67"/>
      <c r="AE13" s="47"/>
      <c r="AG13" s="6"/>
      <c r="AH13" s="6"/>
    </row>
    <row r="14" spans="1:34" ht="13.9" x14ac:dyDescent="0.25">
      <c r="A14" s="5"/>
      <c r="C14" s="40" t="s">
        <v>621</v>
      </c>
      <c r="D14" s="40"/>
      <c r="U14" s="7"/>
      <c r="Y14" s="41"/>
      <c r="Z14" s="6"/>
      <c r="AA14" s="6"/>
      <c r="AB14" s="6"/>
      <c r="AC14" s="6"/>
      <c r="AD14" s="6"/>
      <c r="AE14" s="6"/>
      <c r="AF14" s="6"/>
      <c r="AG14" s="20"/>
    </row>
    <row r="15" spans="1:34" ht="13.9" x14ac:dyDescent="0.25">
      <c r="A15" s="5"/>
      <c r="D15" s="47" t="s">
        <v>603</v>
      </c>
      <c r="G15" s="40"/>
      <c r="H15" s="67">
        <v>45</v>
      </c>
      <c r="I15" s="47" t="s">
        <v>150</v>
      </c>
      <c r="K15" s="6" t="s">
        <v>604</v>
      </c>
      <c r="L15" s="6"/>
      <c r="U15" s="7"/>
      <c r="W15" s="1" t="s">
        <v>529</v>
      </c>
    </row>
    <row r="16" spans="1:34" ht="13.9" x14ac:dyDescent="0.25">
      <c r="A16" s="5"/>
      <c r="D16" s="47" t="s">
        <v>605</v>
      </c>
      <c r="H16" s="67">
        <v>5</v>
      </c>
      <c r="I16" s="47" t="s">
        <v>150</v>
      </c>
      <c r="K16" s="6" t="s">
        <v>606</v>
      </c>
      <c r="L16" s="6"/>
      <c r="U16" s="7"/>
      <c r="W16" s="6" t="s">
        <v>564</v>
      </c>
      <c r="X16" s="6"/>
      <c r="Y16" s="6"/>
      <c r="Z16" s="6"/>
      <c r="AC16" s="6">
        <f>2400*0.05</f>
        <v>120</v>
      </c>
      <c r="AD16" s="47" t="s">
        <v>186</v>
      </c>
      <c r="AE16" s="6"/>
      <c r="AF16" s="15">
        <f>AC16*10/1000</f>
        <v>1.2</v>
      </c>
      <c r="AG16" s="47" t="s">
        <v>96</v>
      </c>
    </row>
    <row r="17" spans="1:41" ht="13.9" x14ac:dyDescent="0.25">
      <c r="A17" s="5"/>
      <c r="D17" s="47" t="s">
        <v>607</v>
      </c>
      <c r="H17" s="67">
        <v>0</v>
      </c>
      <c r="I17" s="47" t="s">
        <v>150</v>
      </c>
      <c r="K17" s="6" t="s">
        <v>608</v>
      </c>
      <c r="L17" s="6"/>
      <c r="U17" s="7"/>
      <c r="W17" s="6" t="s">
        <v>151</v>
      </c>
      <c r="X17" s="6"/>
      <c r="Y17" s="6"/>
      <c r="Z17" s="6"/>
      <c r="AC17" s="6">
        <v>5</v>
      </c>
      <c r="AD17" s="47" t="s">
        <v>186</v>
      </c>
      <c r="AE17" s="6"/>
      <c r="AF17" s="15">
        <f>AC17*10/1000</f>
        <v>0.05</v>
      </c>
      <c r="AG17" s="47" t="s">
        <v>96</v>
      </c>
    </row>
    <row r="18" spans="1:41" x14ac:dyDescent="0.25">
      <c r="A18" s="5"/>
      <c r="D18" s="47" t="s">
        <v>609</v>
      </c>
      <c r="H18" s="67">
        <v>120</v>
      </c>
      <c r="I18" s="47" t="s">
        <v>150</v>
      </c>
      <c r="K18" s="6" t="s">
        <v>610</v>
      </c>
      <c r="L18" s="6"/>
      <c r="U18" s="7"/>
      <c r="W18" s="6" t="s">
        <v>152</v>
      </c>
      <c r="X18" s="6"/>
      <c r="Y18" s="6"/>
      <c r="Z18" s="6"/>
      <c r="AC18" s="6">
        <v>180</v>
      </c>
      <c r="AD18" s="47" t="s">
        <v>186</v>
      </c>
      <c r="AE18" s="6"/>
      <c r="AF18" s="15">
        <f>AC18*10/1000</f>
        <v>1.8</v>
      </c>
      <c r="AG18" s="47" t="s">
        <v>96</v>
      </c>
    </row>
    <row r="19" spans="1:41" ht="13.9" x14ac:dyDescent="0.25">
      <c r="A19" s="5"/>
      <c r="D19" s="47" t="s">
        <v>611</v>
      </c>
      <c r="H19" s="67">
        <v>12</v>
      </c>
      <c r="I19" s="47" t="s">
        <v>150</v>
      </c>
      <c r="K19" s="6" t="s">
        <v>612</v>
      </c>
      <c r="L19" s="6"/>
      <c r="U19" s="7"/>
    </row>
    <row r="20" spans="1:41" x14ac:dyDescent="0.25">
      <c r="A20" s="5"/>
      <c r="D20" s="47" t="s">
        <v>613</v>
      </c>
      <c r="H20" s="67">
        <v>337.5</v>
      </c>
      <c r="I20" s="47" t="s">
        <v>150</v>
      </c>
      <c r="K20" s="6" t="s">
        <v>614</v>
      </c>
      <c r="L20" s="6"/>
      <c r="U20" s="7"/>
      <c r="W20" s="1" t="s">
        <v>526</v>
      </c>
      <c r="AC20" s="1">
        <f>SUM(AC16:AC18)</f>
        <v>305</v>
      </c>
      <c r="AD20" s="47" t="s">
        <v>186</v>
      </c>
      <c r="AE20" s="6"/>
      <c r="AF20" s="15">
        <f>AC20*10/1000</f>
        <v>3.05</v>
      </c>
      <c r="AG20" s="47" t="s">
        <v>96</v>
      </c>
      <c r="AH20" s="47"/>
    </row>
    <row r="21" spans="1:41" ht="13.9" x14ac:dyDescent="0.25">
      <c r="A21" s="5"/>
      <c r="D21" s="47" t="s">
        <v>615</v>
      </c>
      <c r="H21" s="67">
        <v>10</v>
      </c>
      <c r="I21" s="47" t="s">
        <v>150</v>
      </c>
      <c r="K21" s="6" t="s">
        <v>616</v>
      </c>
      <c r="L21" s="6"/>
      <c r="U21" s="7"/>
      <c r="Y21" s="6"/>
      <c r="Z21" s="6"/>
      <c r="AA21" s="6"/>
      <c r="AB21" s="6"/>
      <c r="AC21" s="6"/>
      <c r="AD21" s="6"/>
      <c r="AE21" s="47"/>
      <c r="AF21" s="6"/>
      <c r="AG21" s="15"/>
      <c r="AH21" s="47"/>
    </row>
    <row r="22" spans="1:41" ht="13.9" x14ac:dyDescent="0.25">
      <c r="A22" s="5"/>
      <c r="D22" s="47" t="s">
        <v>617</v>
      </c>
      <c r="H22" s="67">
        <f>H16*2400/100</f>
        <v>120</v>
      </c>
      <c r="I22" s="47" t="s">
        <v>186</v>
      </c>
      <c r="J22" s="6"/>
      <c r="K22" s="15">
        <f>H22*10/1000</f>
        <v>1.2</v>
      </c>
      <c r="L22" s="47" t="s">
        <v>96</v>
      </c>
      <c r="U22" s="7"/>
      <c r="X22" s="41"/>
      <c r="Y22" s="41"/>
      <c r="AA22" s="41"/>
      <c r="AB22" s="6"/>
      <c r="AC22" s="6"/>
      <c r="AD22" s="6"/>
      <c r="AE22" s="47"/>
      <c r="AF22" s="6"/>
    </row>
    <row r="23" spans="1:41" ht="13.9" customHeight="1" x14ac:dyDescent="0.25">
      <c r="A23" s="5"/>
      <c r="D23" s="47" t="s">
        <v>618</v>
      </c>
      <c r="H23" s="67">
        <f>H17*2400/100</f>
        <v>0</v>
      </c>
      <c r="I23" s="47" t="s">
        <v>186</v>
      </c>
      <c r="J23" s="6"/>
      <c r="K23" s="15">
        <f>H23*10/1000</f>
        <v>0</v>
      </c>
      <c r="L23" s="47" t="s">
        <v>96</v>
      </c>
      <c r="U23" s="7"/>
      <c r="X23" s="6"/>
      <c r="Y23" s="6"/>
      <c r="Z23" s="6"/>
      <c r="AA23" s="6"/>
      <c r="AB23" s="6"/>
      <c r="AC23" s="6"/>
      <c r="AD23" s="6"/>
      <c r="AE23" s="47"/>
      <c r="AF23" s="6"/>
    </row>
    <row r="24" spans="1:41" ht="13.9" x14ac:dyDescent="0.25">
      <c r="A24" s="5"/>
      <c r="D24" s="47" t="s">
        <v>619</v>
      </c>
      <c r="H24" s="67">
        <f>(H15-H16-H17)/100*(H19/100)*2400*100/(H18)</f>
        <v>96</v>
      </c>
      <c r="I24" s="47" t="s">
        <v>186</v>
      </c>
      <c r="J24" s="6"/>
      <c r="K24" s="15">
        <f>H24*10/1000</f>
        <v>0.96</v>
      </c>
      <c r="L24" s="47" t="s">
        <v>96</v>
      </c>
      <c r="U24" s="7"/>
      <c r="X24" s="6"/>
      <c r="Y24" s="40"/>
      <c r="Z24" s="6"/>
      <c r="AA24" s="6"/>
      <c r="AB24" s="6"/>
      <c r="AC24" s="6"/>
      <c r="AD24" s="6"/>
      <c r="AE24" s="47"/>
      <c r="AF24" s="6"/>
    </row>
    <row r="25" spans="1:41" ht="13.9" x14ac:dyDescent="0.25">
      <c r="A25" s="5"/>
      <c r="D25" s="47" t="s">
        <v>619</v>
      </c>
      <c r="H25" s="67">
        <f>IF(H20=0,0,(H15-H16-H17)/100*(H21/100)*2400*100/(H20))</f>
        <v>28.44444444444445</v>
      </c>
      <c r="I25" s="47" t="s">
        <v>186</v>
      </c>
      <c r="J25" s="6"/>
      <c r="K25" s="15">
        <f>H25*10/1000</f>
        <v>0.2844444444444445</v>
      </c>
      <c r="L25" s="47" t="s">
        <v>96</v>
      </c>
      <c r="U25" s="7"/>
      <c r="X25" s="6"/>
      <c r="Y25" s="6"/>
      <c r="Z25" s="6"/>
      <c r="AA25" s="6"/>
      <c r="AB25" s="6"/>
      <c r="AC25" s="6"/>
      <c r="AD25" s="6"/>
      <c r="AE25" s="47"/>
      <c r="AF25" s="6"/>
      <c r="AG25" s="15"/>
      <c r="AH25" s="47"/>
    </row>
    <row r="26" spans="1:41" ht="13.9" x14ac:dyDescent="0.25">
      <c r="A26" s="5"/>
      <c r="D26" s="6"/>
      <c r="E26" s="6"/>
      <c r="F26" s="6"/>
      <c r="G26" s="6"/>
      <c r="H26" s="6"/>
      <c r="I26" s="6"/>
      <c r="J26" s="6"/>
      <c r="K26" s="15"/>
      <c r="L26" s="6"/>
      <c r="U26" s="7"/>
      <c r="X26" s="6"/>
      <c r="Y26" s="6"/>
      <c r="Z26" s="6"/>
      <c r="AA26" s="6"/>
      <c r="AB26" s="6"/>
      <c r="AC26" s="6"/>
      <c r="AD26" s="6"/>
      <c r="AE26" s="47"/>
      <c r="AF26" s="6"/>
      <c r="AG26" s="15"/>
      <c r="AH26" s="47"/>
    </row>
    <row r="27" spans="1:41" ht="13.9" x14ac:dyDescent="0.25">
      <c r="A27" s="5"/>
      <c r="D27" s="47" t="s">
        <v>620</v>
      </c>
      <c r="E27" s="6"/>
      <c r="F27" s="6"/>
      <c r="G27" s="6"/>
      <c r="H27" s="48">
        <f>SUM(H22:H25)</f>
        <v>244.44444444444446</v>
      </c>
      <c r="I27" s="47" t="s">
        <v>186</v>
      </c>
      <c r="J27" s="6"/>
      <c r="K27" s="15">
        <f>H27*10/1000</f>
        <v>2.4444444444444442</v>
      </c>
      <c r="L27" s="47" t="s">
        <v>96</v>
      </c>
      <c r="U27" s="7"/>
      <c r="X27" s="6"/>
      <c r="Y27" s="6"/>
      <c r="Z27" s="6"/>
      <c r="AA27" s="6"/>
      <c r="AB27" s="6"/>
      <c r="AC27" s="6"/>
      <c r="AD27" s="6"/>
      <c r="AE27" s="47"/>
      <c r="AF27" s="6"/>
    </row>
    <row r="28" spans="1:41" ht="13.9" x14ac:dyDescent="0.25">
      <c r="A28" s="5"/>
      <c r="U28" s="7"/>
      <c r="X28" s="6"/>
      <c r="Y28" s="6"/>
      <c r="Z28" s="6"/>
      <c r="AA28" s="6"/>
      <c r="AB28" s="6"/>
      <c r="AC28" s="6"/>
      <c r="AD28" s="6"/>
      <c r="AE28" s="47"/>
      <c r="AF28" s="6"/>
    </row>
    <row r="29" spans="1:41" x14ac:dyDescent="0.25">
      <c r="A29" s="5"/>
      <c r="C29" s="41" t="s">
        <v>622</v>
      </c>
      <c r="D29" s="6"/>
      <c r="E29" s="6"/>
      <c r="F29" s="6"/>
      <c r="G29" s="6"/>
      <c r="H29" s="6"/>
      <c r="I29" s="6"/>
      <c r="J29" s="6"/>
      <c r="K29" s="20"/>
      <c r="U29" s="7"/>
      <c r="X29" s="6"/>
      <c r="Y29" s="41"/>
      <c r="Z29" s="6"/>
      <c r="AA29" s="6"/>
      <c r="AB29" s="6"/>
      <c r="AC29" s="6"/>
      <c r="AD29" s="6"/>
      <c r="AE29" s="47"/>
      <c r="AF29" s="6"/>
      <c r="AK29" s="1" t="s">
        <v>626</v>
      </c>
    </row>
    <row r="30" spans="1:41" ht="13.9" x14ac:dyDescent="0.25">
      <c r="A30" s="5"/>
      <c r="C30" s="6"/>
      <c r="D30" s="6" t="s">
        <v>564</v>
      </c>
      <c r="E30" s="6"/>
      <c r="F30" s="6"/>
      <c r="G30" s="6"/>
      <c r="H30" s="6">
        <f>2400*0.05</f>
        <v>120</v>
      </c>
      <c r="I30" s="47" t="s">
        <v>186</v>
      </c>
      <c r="J30" s="6"/>
      <c r="K30" s="15">
        <f>H30*10/1000</f>
        <v>1.2</v>
      </c>
      <c r="L30" s="47" t="s">
        <v>96</v>
      </c>
      <c r="U30" s="7"/>
      <c r="X30" s="6"/>
      <c r="Y30" s="6"/>
      <c r="Z30" s="6"/>
      <c r="AA30" s="6"/>
      <c r="AB30" s="6"/>
      <c r="AC30" s="6"/>
      <c r="AD30" s="6"/>
      <c r="AE30" s="47"/>
      <c r="AF30" s="6"/>
      <c r="AG30" s="15"/>
      <c r="AH30" s="47"/>
    </row>
    <row r="31" spans="1:41" ht="13.9" x14ac:dyDescent="0.25">
      <c r="A31" s="5"/>
      <c r="C31" s="6"/>
      <c r="D31" s="6" t="s">
        <v>151</v>
      </c>
      <c r="E31" s="6"/>
      <c r="F31" s="6"/>
      <c r="G31" s="6"/>
      <c r="H31" s="6">
        <v>50</v>
      </c>
      <c r="I31" s="47" t="s">
        <v>186</v>
      </c>
      <c r="J31" s="6"/>
      <c r="K31" s="15">
        <f>H31*10/1000</f>
        <v>0.5</v>
      </c>
      <c r="L31" s="47" t="s">
        <v>96</v>
      </c>
      <c r="U31" s="7"/>
      <c r="X31" s="6"/>
      <c r="Y31" s="6"/>
      <c r="Z31" s="6"/>
      <c r="AA31" s="6"/>
      <c r="AB31" s="6"/>
      <c r="AC31" s="6"/>
      <c r="AD31" s="6"/>
      <c r="AE31" s="47"/>
      <c r="AF31" s="6"/>
      <c r="AG31" s="15"/>
      <c r="AH31" s="47"/>
      <c r="AK31" s="1" t="s">
        <v>627</v>
      </c>
      <c r="AM31" s="1">
        <v>10</v>
      </c>
      <c r="AN31" s="1">
        <v>12</v>
      </c>
      <c r="AO31" s="1">
        <v>15</v>
      </c>
    </row>
    <row r="32" spans="1:41" ht="13.9" x14ac:dyDescent="0.25">
      <c r="A32" s="5"/>
      <c r="C32" s="6"/>
      <c r="D32" s="6" t="s">
        <v>152</v>
      </c>
      <c r="E32" s="6"/>
      <c r="F32" s="6"/>
      <c r="G32" s="6"/>
      <c r="H32" s="6">
        <v>0</v>
      </c>
      <c r="I32" s="47" t="s">
        <v>186</v>
      </c>
      <c r="J32" s="6"/>
      <c r="K32" s="15">
        <f>H32*10/1000</f>
        <v>0</v>
      </c>
      <c r="L32" s="47" t="s">
        <v>96</v>
      </c>
      <c r="U32" s="7"/>
      <c r="X32" s="6"/>
      <c r="Y32" s="6"/>
      <c r="Z32" s="6"/>
      <c r="AA32" s="6"/>
      <c r="AB32" s="6"/>
      <c r="AC32" s="6"/>
      <c r="AD32" s="6"/>
      <c r="AE32" s="47"/>
      <c r="AF32" s="6"/>
      <c r="AM32" s="1">
        <v>180</v>
      </c>
      <c r="AN32" s="1">
        <f>AO32-(AO32-AM32)*(AO31-AN31)/(AO31-AM31)</f>
        <v>208</v>
      </c>
      <c r="AO32" s="1">
        <v>250</v>
      </c>
    </row>
    <row r="33" spans="1:54" ht="13.9" x14ac:dyDescent="0.25">
      <c r="A33" s="5"/>
      <c r="D33" s="1" t="s">
        <v>623</v>
      </c>
      <c r="H33" s="6">
        <v>10</v>
      </c>
      <c r="I33" s="47" t="s">
        <v>186</v>
      </c>
      <c r="J33" s="6"/>
      <c r="K33" s="15">
        <f>H33*10/1000</f>
        <v>0.1</v>
      </c>
      <c r="L33" s="47" t="s">
        <v>96</v>
      </c>
      <c r="U33" s="7"/>
      <c r="X33" s="6"/>
      <c r="Y33" s="6"/>
      <c r="Z33" s="6"/>
      <c r="AA33" s="6"/>
      <c r="AB33" s="6"/>
      <c r="AC33" s="6"/>
      <c r="AD33" s="6"/>
      <c r="AE33" s="47"/>
      <c r="AF33" s="6"/>
    </row>
    <row r="34" spans="1:54" ht="13.9" x14ac:dyDescent="0.25">
      <c r="A34" s="5"/>
      <c r="U34" s="7"/>
      <c r="X34" s="6"/>
      <c r="Y34" s="41"/>
      <c r="Z34" s="6"/>
      <c r="AA34" s="6"/>
      <c r="AB34" s="6"/>
      <c r="AC34" s="6"/>
      <c r="AD34" s="6"/>
      <c r="AE34" s="47"/>
      <c r="AF34" s="6"/>
    </row>
    <row r="35" spans="1:54" ht="13.9" x14ac:dyDescent="0.25">
      <c r="A35" s="5"/>
      <c r="D35" s="1" t="s">
        <v>526</v>
      </c>
      <c r="H35" s="1">
        <f>SUM(H30:H33)</f>
        <v>180</v>
      </c>
      <c r="I35" s="47" t="s">
        <v>186</v>
      </c>
      <c r="J35" s="6"/>
      <c r="K35" s="1">
        <f t="shared" ref="K35" si="0">SUM(K30:K33)</f>
        <v>1.8</v>
      </c>
      <c r="L35" s="47" t="s">
        <v>96</v>
      </c>
      <c r="U35" s="7"/>
      <c r="X35" s="6"/>
      <c r="Y35" s="6"/>
      <c r="Z35" s="6"/>
      <c r="AA35" s="6"/>
      <c r="AB35" s="6"/>
      <c r="AC35" s="6"/>
      <c r="AD35" s="6"/>
      <c r="AE35" s="47"/>
      <c r="AF35" s="6"/>
      <c r="AG35" s="15"/>
      <c r="AH35" s="47"/>
    </row>
    <row r="36" spans="1:54" ht="13.9" x14ac:dyDescent="0.25">
      <c r="A36" s="5"/>
      <c r="U36" s="7"/>
      <c r="X36" s="6"/>
      <c r="Y36" s="6"/>
      <c r="Z36" s="6"/>
      <c r="AA36" s="6"/>
      <c r="AB36" s="6"/>
      <c r="AC36" s="6"/>
      <c r="AD36" s="6"/>
      <c r="AE36" s="47"/>
      <c r="AF36" s="6"/>
      <c r="AG36" s="15"/>
      <c r="AH36" s="47"/>
      <c r="AK36" s="6"/>
    </row>
    <row r="37" spans="1:54" ht="13.9" x14ac:dyDescent="0.25">
      <c r="A37" s="5"/>
      <c r="C37" s="41" t="s">
        <v>811</v>
      </c>
      <c r="U37" s="7"/>
      <c r="X37" s="6"/>
      <c r="Y37" s="6"/>
      <c r="Z37" s="6"/>
      <c r="AA37" s="6"/>
      <c r="AB37" s="6"/>
      <c r="AC37" s="6"/>
      <c r="AD37" s="6"/>
      <c r="AE37" s="47"/>
      <c r="AF37" s="6"/>
      <c r="AK37" s="6"/>
    </row>
    <row r="38" spans="1:54" ht="13.9" x14ac:dyDescent="0.25">
      <c r="A38" s="5"/>
      <c r="D38" s="1" t="s">
        <v>567</v>
      </c>
      <c r="H38" s="1">
        <v>180</v>
      </c>
      <c r="I38" s="47" t="s">
        <v>186</v>
      </c>
      <c r="J38" s="6"/>
      <c r="K38" s="15">
        <f>H38*10/1000</f>
        <v>1.8</v>
      </c>
      <c r="L38" s="47" t="s">
        <v>96</v>
      </c>
      <c r="U38" s="7"/>
      <c r="X38" s="6"/>
      <c r="Y38" s="41"/>
      <c r="Z38" s="6"/>
      <c r="AA38" s="6"/>
      <c r="AB38" s="6"/>
      <c r="AC38" s="6"/>
      <c r="AD38" s="6"/>
      <c r="AE38" s="6"/>
      <c r="AF38" s="6"/>
    </row>
    <row r="39" spans="1:54" ht="13.9" x14ac:dyDescent="0.25">
      <c r="A39" s="5"/>
      <c r="D39" s="1" t="s">
        <v>590</v>
      </c>
      <c r="H39" s="1">
        <v>2.6</v>
      </c>
      <c r="I39" s="1" t="s">
        <v>101</v>
      </c>
      <c r="J39" s="6"/>
      <c r="K39" s="15"/>
      <c r="L39" s="47"/>
      <c r="P39" s="47"/>
      <c r="Q39" s="6"/>
      <c r="R39" s="15"/>
      <c r="S39" s="47"/>
      <c r="U39" s="7"/>
      <c r="X39" s="6"/>
      <c r="Y39" s="6"/>
      <c r="Z39" s="6"/>
      <c r="AA39" s="6"/>
      <c r="AB39" s="6"/>
      <c r="AC39" s="6"/>
      <c r="AD39" s="6"/>
      <c r="AE39" s="47"/>
      <c r="AF39" s="6"/>
      <c r="AG39" s="15"/>
      <c r="AH39" s="47"/>
    </row>
    <row r="40" spans="1:54" ht="13.9" x14ac:dyDescent="0.25">
      <c r="A40" s="5"/>
      <c r="D40" s="1" t="s">
        <v>625</v>
      </c>
      <c r="H40" s="1">
        <f>+H38*H39</f>
        <v>468</v>
      </c>
      <c r="I40" s="47" t="s">
        <v>568</v>
      </c>
      <c r="J40" s="6"/>
      <c r="K40" s="15">
        <f>H40*10/1000</f>
        <v>4.68</v>
      </c>
      <c r="L40" s="47" t="s">
        <v>409</v>
      </c>
      <c r="Q40" s="6"/>
      <c r="R40" s="15"/>
      <c r="S40" s="47"/>
      <c r="U40" s="7"/>
      <c r="X40" s="6"/>
      <c r="Y40" s="6"/>
      <c r="Z40" s="6"/>
      <c r="AA40" s="6"/>
      <c r="AB40" s="6"/>
      <c r="AC40" s="6"/>
      <c r="AD40" s="6"/>
      <c r="AE40" s="47"/>
      <c r="AF40" s="6"/>
      <c r="AG40" s="15"/>
      <c r="AH40" s="47"/>
    </row>
    <row r="41" spans="1:54" ht="13.9" x14ac:dyDescent="0.25">
      <c r="A41" s="5"/>
      <c r="P41" s="47"/>
      <c r="Q41" s="6"/>
      <c r="R41" s="15"/>
      <c r="S41" s="47"/>
      <c r="U41" s="7"/>
    </row>
    <row r="42" spans="1:54" x14ac:dyDescent="0.25">
      <c r="A42" s="5"/>
      <c r="D42" s="1" t="s">
        <v>842</v>
      </c>
      <c r="U42" s="8"/>
    </row>
    <row r="43" spans="1:54" ht="13.9" x14ac:dyDescent="0.25">
      <c r="A43" s="5"/>
      <c r="U43" s="7"/>
      <c r="AT43" s="1" t="s">
        <v>759</v>
      </c>
      <c r="AX43" s="1">
        <v>208</v>
      </c>
      <c r="AY43" s="47" t="s">
        <v>186</v>
      </c>
      <c r="AZ43" s="6"/>
      <c r="BA43" s="15">
        <f>AX43*10/1000</f>
        <v>2.08</v>
      </c>
      <c r="BB43" s="47" t="s">
        <v>96</v>
      </c>
    </row>
    <row r="44" spans="1:54" ht="13.9" x14ac:dyDescent="0.25">
      <c r="A44" s="5"/>
      <c r="U44" s="7"/>
      <c r="AT44" s="1" t="s">
        <v>590</v>
      </c>
      <c r="AX44" s="1">
        <v>1.2</v>
      </c>
      <c r="AY44" s="1" t="s">
        <v>101</v>
      </c>
      <c r="AZ44" s="6"/>
      <c r="BA44" s="15"/>
      <c r="BB44" s="47"/>
    </row>
    <row r="45" spans="1:54" ht="13.9" x14ac:dyDescent="0.25">
      <c r="A45" s="5"/>
      <c r="B45" s="40" t="s">
        <v>528</v>
      </c>
      <c r="U45" s="7"/>
      <c r="AH45" s="41" t="s">
        <v>624</v>
      </c>
      <c r="AI45" s="6"/>
      <c r="AJ45" s="6"/>
      <c r="AK45" s="6"/>
      <c r="AL45" s="6"/>
      <c r="AM45" s="6"/>
      <c r="AN45" s="6"/>
      <c r="AO45" s="6"/>
      <c r="AP45" s="20"/>
      <c r="AT45" s="1" t="s">
        <v>625</v>
      </c>
      <c r="AX45" s="1">
        <f>+AX43*AX44</f>
        <v>249.6</v>
      </c>
      <c r="AY45" s="47" t="s">
        <v>568</v>
      </c>
      <c r="AZ45" s="6"/>
      <c r="BA45" s="15">
        <f>AX45*10/1000</f>
        <v>2.496</v>
      </c>
      <c r="BB45" s="47" t="s">
        <v>409</v>
      </c>
    </row>
    <row r="46" spans="1:54" ht="13.9" x14ac:dyDescent="0.25">
      <c r="A46" s="5"/>
      <c r="U46" s="7"/>
      <c r="W46" s="41" t="s">
        <v>624</v>
      </c>
      <c r="X46" s="6"/>
      <c r="Y46" s="6"/>
      <c r="Z46" s="6"/>
      <c r="AA46" s="6"/>
      <c r="AB46" s="6"/>
      <c r="AC46" s="6"/>
      <c r="AD46" s="6"/>
      <c r="AE46" s="20"/>
      <c r="AH46" s="6"/>
      <c r="AI46" s="6" t="s">
        <v>565</v>
      </c>
      <c r="AJ46" s="6"/>
      <c r="AK46" s="6"/>
      <c r="AL46" s="6"/>
      <c r="AM46" s="6">
        <v>15</v>
      </c>
      <c r="AN46" s="47" t="s">
        <v>186</v>
      </c>
      <c r="AO46" s="6"/>
      <c r="AP46" s="15">
        <f>AM46*10/1000</f>
        <v>0.15</v>
      </c>
      <c r="AQ46" s="47" t="s">
        <v>96</v>
      </c>
    </row>
    <row r="47" spans="1:54" x14ac:dyDescent="0.25">
      <c r="A47" s="5"/>
      <c r="B47" s="258" t="s">
        <v>527</v>
      </c>
      <c r="C47" s="258"/>
      <c r="D47" s="258"/>
      <c r="E47" s="258"/>
      <c r="F47" s="258"/>
      <c r="G47" s="258"/>
      <c r="H47" s="258"/>
      <c r="I47" s="258"/>
      <c r="J47" s="258"/>
      <c r="K47" s="258"/>
      <c r="L47" s="258"/>
      <c r="M47" s="258"/>
      <c r="N47" s="258"/>
      <c r="O47" s="258"/>
      <c r="P47" s="258"/>
      <c r="Q47" s="258"/>
      <c r="R47" s="258"/>
      <c r="S47" s="258"/>
      <c r="T47" s="258"/>
      <c r="U47" s="7"/>
      <c r="W47" s="6"/>
      <c r="X47" s="6" t="s">
        <v>565</v>
      </c>
      <c r="Y47" s="6"/>
      <c r="Z47" s="6"/>
      <c r="AA47" s="6"/>
      <c r="AB47" s="6">
        <v>0</v>
      </c>
      <c r="AC47" s="47" t="s">
        <v>186</v>
      </c>
      <c r="AD47" s="6"/>
      <c r="AE47" s="15">
        <f>AB47*10/1000</f>
        <v>0</v>
      </c>
      <c r="AF47" s="47" t="s">
        <v>96</v>
      </c>
      <c r="AH47" s="6"/>
      <c r="AI47" s="6" t="s">
        <v>151</v>
      </c>
      <c r="AJ47" s="6"/>
      <c r="AK47" s="6"/>
      <c r="AL47" s="6"/>
      <c r="AM47" s="6">
        <v>5</v>
      </c>
      <c r="AN47" s="47" t="s">
        <v>186</v>
      </c>
      <c r="AO47" s="6"/>
      <c r="AP47" s="15">
        <f>AM47*10/1000</f>
        <v>0.05</v>
      </c>
      <c r="AQ47" s="47" t="s">
        <v>96</v>
      </c>
    </row>
    <row r="48" spans="1:54" x14ac:dyDescent="0.25">
      <c r="A48" s="5"/>
      <c r="B48" s="258"/>
      <c r="C48" s="258"/>
      <c r="D48" s="258"/>
      <c r="E48" s="258"/>
      <c r="F48" s="258"/>
      <c r="G48" s="258"/>
      <c r="H48" s="258"/>
      <c r="I48" s="258"/>
      <c r="J48" s="258"/>
      <c r="K48" s="258"/>
      <c r="L48" s="258"/>
      <c r="M48" s="258"/>
      <c r="N48" s="258"/>
      <c r="O48" s="258"/>
      <c r="P48" s="258"/>
      <c r="Q48" s="258"/>
      <c r="R48" s="258"/>
      <c r="S48" s="258"/>
      <c r="T48" s="258"/>
      <c r="U48" s="7"/>
      <c r="W48" s="6"/>
      <c r="X48" s="6" t="s">
        <v>151</v>
      </c>
      <c r="Y48" s="6"/>
      <c r="Z48" s="6"/>
      <c r="AA48" s="6"/>
      <c r="AB48" s="6">
        <v>0</v>
      </c>
      <c r="AC48" s="47" t="s">
        <v>186</v>
      </c>
      <c r="AD48" s="6"/>
      <c r="AE48" s="15">
        <f>AB48*10/1000</f>
        <v>0</v>
      </c>
      <c r="AF48" s="47" t="s">
        <v>96</v>
      </c>
      <c r="AI48" s="1" t="s">
        <v>526</v>
      </c>
      <c r="AM48" s="1">
        <f>SUM(AM46:AM47)</f>
        <v>20</v>
      </c>
      <c r="AN48" s="47" t="s">
        <v>186</v>
      </c>
      <c r="AO48" s="6"/>
      <c r="AP48" s="15">
        <f>AM48*10/1000</f>
        <v>0.2</v>
      </c>
      <c r="AQ48" s="47" t="s">
        <v>96</v>
      </c>
    </row>
    <row r="49" spans="1:38" x14ac:dyDescent="0.25">
      <c r="A49" s="5"/>
      <c r="B49" s="258"/>
      <c r="C49" s="258"/>
      <c r="D49" s="258"/>
      <c r="E49" s="258"/>
      <c r="F49" s="258"/>
      <c r="G49" s="258"/>
      <c r="H49" s="258"/>
      <c r="I49" s="258"/>
      <c r="J49" s="258"/>
      <c r="K49" s="258"/>
      <c r="L49" s="258"/>
      <c r="M49" s="258"/>
      <c r="N49" s="258"/>
      <c r="O49" s="258"/>
      <c r="P49" s="258"/>
      <c r="Q49" s="258"/>
      <c r="R49" s="258"/>
      <c r="S49" s="258"/>
      <c r="T49" s="258"/>
      <c r="U49" s="7"/>
    </row>
    <row r="50" spans="1:38" ht="13.9" x14ac:dyDescent="0.25">
      <c r="A50" s="5"/>
      <c r="U50" s="7"/>
    </row>
    <row r="51" spans="1:38" x14ac:dyDescent="0.25">
      <c r="A51" s="5"/>
      <c r="B51" s="6" t="s">
        <v>849</v>
      </c>
      <c r="D51" s="6"/>
      <c r="E51" s="6"/>
      <c r="H51" s="6">
        <v>350</v>
      </c>
      <c r="I51" s="47" t="s">
        <v>186</v>
      </c>
      <c r="J51" s="6"/>
      <c r="K51" s="15">
        <f>H51*10/1000</f>
        <v>3.5</v>
      </c>
      <c r="L51" s="47" t="s">
        <v>96</v>
      </c>
      <c r="N51" s="1" t="s">
        <v>850</v>
      </c>
      <c r="U51" s="7"/>
    </row>
    <row r="52" spans="1:38" ht="13.9" customHeight="1" x14ac:dyDescent="0.25">
      <c r="A52" s="5"/>
      <c r="B52" s="1" t="s">
        <v>841</v>
      </c>
      <c r="H52" s="1">
        <v>50</v>
      </c>
      <c r="I52" s="47" t="s">
        <v>186</v>
      </c>
      <c r="J52" s="6"/>
      <c r="K52" s="15">
        <f>H52*10/1000</f>
        <v>0.5</v>
      </c>
      <c r="L52" s="47" t="s">
        <v>96</v>
      </c>
      <c r="P52" s="102"/>
      <c r="U52" s="7"/>
      <c r="AL52" s="1">
        <v>21.75</v>
      </c>
    </row>
    <row r="53" spans="1:38" ht="13.9" x14ac:dyDescent="0.25">
      <c r="A53" s="5"/>
      <c r="U53" s="7"/>
      <c r="AL53" s="1">
        <v>12.1</v>
      </c>
    </row>
    <row r="54" spans="1:38" ht="13.9" x14ac:dyDescent="0.25">
      <c r="A54" s="5"/>
      <c r="U54" s="7"/>
      <c r="AL54" s="1">
        <v>7.1</v>
      </c>
    </row>
    <row r="55" spans="1:38" ht="13.9" x14ac:dyDescent="0.25">
      <c r="A55" s="5"/>
      <c r="U55" s="7"/>
    </row>
    <row r="56" spans="1:38" ht="13.9" x14ac:dyDescent="0.25">
      <c r="A56" s="5"/>
      <c r="U56" s="7"/>
      <c r="X56" s="102"/>
      <c r="AL56" s="1">
        <f>SUM(AL52:AL54)</f>
        <v>40.950000000000003</v>
      </c>
    </row>
    <row r="57" spans="1:38" ht="13.9" x14ac:dyDescent="0.25">
      <c r="A57" s="5"/>
      <c r="U57" s="7"/>
      <c r="X57" s="102"/>
    </row>
    <row r="58" spans="1:38" ht="13.9" x14ac:dyDescent="0.25">
      <c r="A58" s="5"/>
      <c r="U58" s="7"/>
    </row>
    <row r="59" spans="1:38" ht="13.9" x14ac:dyDescent="0.25">
      <c r="A59" s="5"/>
      <c r="U59" s="7"/>
    </row>
    <row r="60" spans="1:38" ht="13.9" x14ac:dyDescent="0.25">
      <c r="A60" s="5"/>
      <c r="U60" s="7"/>
      <c r="W60" s="40" t="s">
        <v>628</v>
      </c>
    </row>
    <row r="61" spans="1:38" ht="13.9" x14ac:dyDescent="0.25">
      <c r="A61" s="5"/>
      <c r="U61" s="7"/>
    </row>
    <row r="62" spans="1:38" x14ac:dyDescent="0.25">
      <c r="A62" s="5"/>
      <c r="U62" s="7"/>
      <c r="Y62" s="6" t="s">
        <v>630</v>
      </c>
      <c r="Z62" s="6"/>
      <c r="AA62" s="6"/>
      <c r="AB62" s="6"/>
      <c r="AC62" s="6">
        <v>40</v>
      </c>
      <c r="AD62" s="47" t="s">
        <v>186</v>
      </c>
      <c r="AE62" s="6"/>
      <c r="AF62" s="15">
        <f>AC62*10/1000</f>
        <v>0.4</v>
      </c>
      <c r="AG62" s="47" t="s">
        <v>96</v>
      </c>
      <c r="AK62" s="102">
        <f>+AF62*1.2</f>
        <v>0.48</v>
      </c>
    </row>
    <row r="63" spans="1:38" x14ac:dyDescent="0.25">
      <c r="A63" s="5"/>
      <c r="U63" s="7"/>
      <c r="Y63" s="6" t="s">
        <v>631</v>
      </c>
      <c r="Z63" s="6"/>
      <c r="AA63" s="6"/>
      <c r="AB63" s="6"/>
      <c r="AC63" s="6">
        <v>40</v>
      </c>
      <c r="AD63" s="47" t="s">
        <v>186</v>
      </c>
      <c r="AE63" s="6"/>
      <c r="AF63" s="15">
        <f>AC63*10/1000</f>
        <v>0.4</v>
      </c>
      <c r="AG63" s="47" t="s">
        <v>96</v>
      </c>
    </row>
    <row r="64" spans="1:38" ht="13.9" x14ac:dyDescent="0.25">
      <c r="A64" s="5"/>
      <c r="U64" s="7"/>
    </row>
    <row r="65" spans="1:24" ht="13.9" x14ac:dyDescent="0.25">
      <c r="A65" s="9"/>
      <c r="B65" s="10"/>
      <c r="C65" s="10"/>
      <c r="D65" s="10"/>
      <c r="E65" s="10"/>
      <c r="F65" s="10"/>
      <c r="G65" s="10"/>
      <c r="H65" s="10"/>
      <c r="I65" s="10"/>
      <c r="J65" s="10"/>
      <c r="K65" s="10"/>
      <c r="L65" s="10"/>
      <c r="M65" s="10"/>
      <c r="N65" s="10"/>
      <c r="O65" s="10"/>
      <c r="P65" s="10"/>
      <c r="Q65" s="10"/>
      <c r="R65" s="10"/>
      <c r="S65" s="10"/>
      <c r="T65" s="10"/>
      <c r="U65" s="11"/>
    </row>
    <row r="66" spans="1:24" ht="13.9" x14ac:dyDescent="0.25">
      <c r="A66" s="2"/>
      <c r="B66" s="3"/>
      <c r="C66" s="3"/>
      <c r="D66" s="3"/>
      <c r="E66" s="3"/>
      <c r="F66" s="3"/>
      <c r="G66" s="3"/>
      <c r="H66" s="3"/>
      <c r="I66" s="3"/>
      <c r="J66" s="3"/>
      <c r="K66" s="3"/>
      <c r="L66" s="3"/>
      <c r="M66" s="3"/>
      <c r="N66" s="3"/>
      <c r="O66" s="3"/>
      <c r="P66" s="3"/>
      <c r="Q66" s="3"/>
      <c r="R66" s="3"/>
      <c r="S66" s="3"/>
      <c r="T66" s="3"/>
      <c r="U66" s="4"/>
    </row>
    <row r="67" spans="1:24" ht="13.9" x14ac:dyDescent="0.25">
      <c r="A67" s="5"/>
      <c r="U67" s="7"/>
    </row>
    <row r="68" spans="1:24" ht="13.9" x14ac:dyDescent="0.25">
      <c r="A68" s="5"/>
      <c r="U68" s="7"/>
    </row>
    <row r="69" spans="1:24" ht="13.9" x14ac:dyDescent="0.25">
      <c r="A69" s="5"/>
      <c r="U69" s="7"/>
      <c r="X69" s="1" t="s">
        <v>629</v>
      </c>
    </row>
    <row r="70" spans="1:24" ht="13.9" x14ac:dyDescent="0.25">
      <c r="A70" s="5"/>
      <c r="U70" s="7"/>
    </row>
    <row r="71" spans="1:24" ht="13.9" x14ac:dyDescent="0.25">
      <c r="A71" s="5"/>
      <c r="U71" s="7"/>
    </row>
    <row r="72" spans="1:24" ht="13.9" x14ac:dyDescent="0.25">
      <c r="A72" s="5"/>
      <c r="U72" s="7"/>
    </row>
    <row r="73" spans="1:24" ht="13.9" x14ac:dyDescent="0.25">
      <c r="A73" s="5"/>
      <c r="U73" s="7"/>
    </row>
    <row r="74" spans="1:24" ht="13.9" x14ac:dyDescent="0.25">
      <c r="A74" s="5"/>
      <c r="U74" s="7"/>
    </row>
    <row r="75" spans="1:24" ht="13.9" x14ac:dyDescent="0.25">
      <c r="A75" s="5"/>
      <c r="U75" s="7"/>
    </row>
    <row r="76" spans="1:24" ht="13.9" x14ac:dyDescent="0.25">
      <c r="A76" s="5"/>
      <c r="U76" s="7"/>
    </row>
    <row r="77" spans="1:24" ht="13.9" x14ac:dyDescent="0.25">
      <c r="A77" s="5"/>
      <c r="U77" s="7"/>
    </row>
    <row r="78" spans="1:24" ht="13.9" x14ac:dyDescent="0.25">
      <c r="A78" s="5"/>
      <c r="U78" s="7"/>
    </row>
    <row r="79" spans="1:24" ht="13.9" x14ac:dyDescent="0.25">
      <c r="A79" s="5"/>
      <c r="U79" s="7"/>
    </row>
    <row r="80" spans="1:24" x14ac:dyDescent="0.25">
      <c r="A80" s="5"/>
      <c r="U80" s="7"/>
    </row>
    <row r="81" spans="1:21" x14ac:dyDescent="0.25">
      <c r="A81" s="5"/>
      <c r="U81" s="7"/>
    </row>
    <row r="82" spans="1:21" x14ac:dyDescent="0.25">
      <c r="A82" s="5"/>
      <c r="U82" s="7"/>
    </row>
    <row r="83" spans="1:21" x14ac:dyDescent="0.25">
      <c r="A83" s="5"/>
      <c r="U83" s="7"/>
    </row>
    <row r="84" spans="1:21" x14ac:dyDescent="0.25">
      <c r="A84" s="5"/>
      <c r="U84" s="7"/>
    </row>
    <row r="85" spans="1:21" x14ac:dyDescent="0.25">
      <c r="A85" s="5"/>
      <c r="U85" s="7"/>
    </row>
    <row r="86" spans="1:21" x14ac:dyDescent="0.25">
      <c r="A86" s="5"/>
      <c r="U86" s="7"/>
    </row>
    <row r="87" spans="1:21" x14ac:dyDescent="0.25">
      <c r="A87" s="5"/>
      <c r="U87" s="7"/>
    </row>
    <row r="88" spans="1:21" x14ac:dyDescent="0.25">
      <c r="A88" s="5"/>
      <c r="U88" s="7"/>
    </row>
    <row r="89" spans="1:21" x14ac:dyDescent="0.25">
      <c r="A89" s="5"/>
      <c r="U89" s="7"/>
    </row>
    <row r="90" spans="1:21" x14ac:dyDescent="0.25">
      <c r="A90" s="5"/>
      <c r="U90" s="7"/>
    </row>
    <row r="91" spans="1:21" x14ac:dyDescent="0.25">
      <c r="A91" s="5"/>
      <c r="U91" s="7"/>
    </row>
    <row r="92" spans="1:21" x14ac:dyDescent="0.25">
      <c r="A92" s="5"/>
      <c r="U92" s="7"/>
    </row>
    <row r="93" spans="1:21" x14ac:dyDescent="0.25">
      <c r="A93" s="5"/>
      <c r="B93" s="6"/>
      <c r="U93" s="7"/>
    </row>
    <row r="94" spans="1:21" x14ac:dyDescent="0.25">
      <c r="A94" s="5"/>
      <c r="B94" s="6"/>
      <c r="U94" s="7"/>
    </row>
    <row r="95" spans="1:21" x14ac:dyDescent="0.25">
      <c r="A95" s="5"/>
      <c r="U95" s="7"/>
    </row>
    <row r="96" spans="1:21" x14ac:dyDescent="0.25">
      <c r="A96" s="5"/>
      <c r="U96" s="7"/>
    </row>
    <row r="97" spans="1:21" x14ac:dyDescent="0.25">
      <c r="A97" s="5"/>
      <c r="U97" s="7"/>
    </row>
    <row r="98" spans="1:21" x14ac:dyDescent="0.25">
      <c r="A98" s="5"/>
      <c r="U98" s="7"/>
    </row>
    <row r="99" spans="1:21" x14ac:dyDescent="0.25">
      <c r="A99" s="5"/>
      <c r="U99" s="7"/>
    </row>
    <row r="100" spans="1:21" x14ac:dyDescent="0.25">
      <c r="A100" s="5"/>
      <c r="U100" s="7"/>
    </row>
    <row r="101" spans="1:21" x14ac:dyDescent="0.25">
      <c r="A101" s="5"/>
      <c r="U101" s="7"/>
    </row>
    <row r="102" spans="1:21" x14ac:dyDescent="0.25">
      <c r="A102" s="5"/>
      <c r="U102" s="7"/>
    </row>
    <row r="103" spans="1:21" x14ac:dyDescent="0.25">
      <c r="A103" s="5"/>
      <c r="U103" s="7"/>
    </row>
    <row r="104" spans="1:21" x14ac:dyDescent="0.25">
      <c r="A104" s="5"/>
      <c r="U104" s="8"/>
    </row>
    <row r="105" spans="1:21" x14ac:dyDescent="0.25">
      <c r="A105" s="5"/>
      <c r="U105" s="7"/>
    </row>
    <row r="106" spans="1:21" x14ac:dyDescent="0.25">
      <c r="A106" s="5"/>
      <c r="U106" s="7"/>
    </row>
    <row r="107" spans="1:21" x14ac:dyDescent="0.25">
      <c r="A107" s="5"/>
      <c r="U107" s="7"/>
    </row>
    <row r="108" spans="1:21" x14ac:dyDescent="0.25">
      <c r="A108" s="5"/>
      <c r="U108" s="7"/>
    </row>
    <row r="109" spans="1:21" x14ac:dyDescent="0.25">
      <c r="A109" s="5"/>
      <c r="B109" s="201"/>
      <c r="C109" s="201"/>
      <c r="D109" s="201"/>
      <c r="E109" s="201"/>
      <c r="F109" s="201"/>
      <c r="G109" s="201"/>
      <c r="H109" s="201"/>
      <c r="I109" s="201"/>
      <c r="J109" s="201"/>
      <c r="U109" s="7"/>
    </row>
    <row r="110" spans="1:21" x14ac:dyDescent="0.25">
      <c r="A110" s="5"/>
      <c r="B110" s="201"/>
      <c r="C110" s="201"/>
      <c r="D110" s="201"/>
      <c r="E110" s="201"/>
      <c r="F110" s="201"/>
      <c r="G110" s="201"/>
      <c r="H110" s="201"/>
      <c r="I110" s="201"/>
      <c r="J110" s="201"/>
      <c r="U110" s="7"/>
    </row>
    <row r="111" spans="1:21" x14ac:dyDescent="0.25">
      <c r="A111" s="5"/>
      <c r="B111" s="201"/>
      <c r="C111" s="201"/>
      <c r="D111" s="201"/>
      <c r="E111" s="201"/>
      <c r="F111" s="201"/>
      <c r="G111" s="201"/>
      <c r="H111" s="201"/>
      <c r="I111" s="201"/>
      <c r="J111" s="201"/>
      <c r="U111" s="7"/>
    </row>
    <row r="112" spans="1:21" x14ac:dyDescent="0.25">
      <c r="A112" s="5"/>
      <c r="B112" s="201"/>
      <c r="C112" s="201"/>
      <c r="D112" s="201"/>
      <c r="E112" s="201"/>
      <c r="F112" s="201"/>
      <c r="G112" s="201"/>
      <c r="H112" s="201"/>
      <c r="I112" s="201"/>
      <c r="J112" s="201"/>
      <c r="U112" s="7"/>
    </row>
    <row r="113" spans="1:21" x14ac:dyDescent="0.25">
      <c r="A113" s="5"/>
      <c r="B113" s="201"/>
      <c r="C113" s="201"/>
      <c r="D113" s="201"/>
      <c r="E113" s="201"/>
      <c r="F113" s="201"/>
      <c r="G113" s="201"/>
      <c r="H113" s="201"/>
      <c r="I113" s="201"/>
      <c r="J113" s="201"/>
      <c r="U113" s="7"/>
    </row>
    <row r="114" spans="1:21" x14ac:dyDescent="0.25">
      <c r="A114" s="5"/>
      <c r="B114" s="201"/>
      <c r="C114" s="201"/>
      <c r="D114" s="201"/>
      <c r="E114" s="201"/>
      <c r="F114" s="201"/>
      <c r="G114" s="201"/>
      <c r="H114" s="201"/>
      <c r="I114" s="201"/>
      <c r="J114" s="201"/>
      <c r="U114" s="7"/>
    </row>
    <row r="115" spans="1:21" x14ac:dyDescent="0.25">
      <c r="A115" s="5"/>
      <c r="B115" s="201"/>
      <c r="C115" s="201"/>
      <c r="D115" s="201"/>
      <c r="E115" s="201"/>
      <c r="F115" s="201"/>
      <c r="G115" s="201"/>
      <c r="H115" s="201"/>
      <c r="I115" s="201"/>
      <c r="J115" s="201"/>
      <c r="U115" s="7"/>
    </row>
    <row r="116" spans="1:21" x14ac:dyDescent="0.25">
      <c r="A116" s="5"/>
      <c r="B116" s="201"/>
      <c r="C116" s="201"/>
      <c r="D116" s="201"/>
      <c r="E116" s="201"/>
      <c r="F116" s="201"/>
      <c r="G116" s="201"/>
      <c r="H116" s="201"/>
      <c r="I116" s="201"/>
      <c r="J116" s="201"/>
      <c r="U116" s="7"/>
    </row>
    <row r="117" spans="1:21" x14ac:dyDescent="0.25">
      <c r="A117" s="5"/>
      <c r="B117" s="201"/>
      <c r="C117" s="201"/>
      <c r="D117" s="201"/>
      <c r="E117" s="201"/>
      <c r="F117" s="201"/>
      <c r="G117" s="201"/>
      <c r="H117" s="201"/>
      <c r="I117" s="201"/>
      <c r="J117" s="201"/>
      <c r="U117" s="7"/>
    </row>
    <row r="118" spans="1:21" x14ac:dyDescent="0.25">
      <c r="A118" s="5"/>
      <c r="B118" s="201"/>
      <c r="C118" s="201"/>
      <c r="D118" s="201"/>
      <c r="E118" s="201"/>
      <c r="F118" s="201"/>
      <c r="G118" s="201"/>
      <c r="H118" s="201"/>
      <c r="I118" s="201"/>
      <c r="J118" s="201"/>
      <c r="U118" s="7"/>
    </row>
    <row r="119" spans="1:21" x14ac:dyDescent="0.25">
      <c r="A119" s="5"/>
      <c r="B119" s="201"/>
      <c r="C119" s="201"/>
      <c r="D119" s="201"/>
      <c r="E119" s="201"/>
      <c r="F119" s="201"/>
      <c r="G119" s="201"/>
      <c r="H119" s="201"/>
      <c r="I119" s="201"/>
      <c r="J119" s="201"/>
      <c r="U119" s="7"/>
    </row>
    <row r="120" spans="1:21" x14ac:dyDescent="0.25">
      <c r="A120" s="5"/>
      <c r="B120" s="201"/>
      <c r="C120" s="201"/>
      <c r="D120" s="201"/>
      <c r="E120" s="201"/>
      <c r="F120" s="201"/>
      <c r="G120" s="201"/>
      <c r="H120" s="201"/>
      <c r="I120" s="201"/>
      <c r="J120" s="201"/>
      <c r="U120" s="7"/>
    </row>
    <row r="121" spans="1:21" x14ac:dyDescent="0.25">
      <c r="A121" s="5"/>
      <c r="B121" s="201"/>
      <c r="C121" s="201"/>
      <c r="D121" s="201"/>
      <c r="E121" s="201"/>
      <c r="F121" s="201"/>
      <c r="G121" s="201"/>
      <c r="H121" s="201"/>
      <c r="I121" s="201"/>
      <c r="J121" s="201"/>
      <c r="U121" s="7"/>
    </row>
    <row r="122" spans="1:21" x14ac:dyDescent="0.25">
      <c r="A122" s="5"/>
      <c r="U122" s="7"/>
    </row>
    <row r="123" spans="1:21" x14ac:dyDescent="0.25">
      <c r="A123" s="5"/>
      <c r="U123" s="7"/>
    </row>
    <row r="124" spans="1:21" x14ac:dyDescent="0.25">
      <c r="A124" s="5"/>
      <c r="U124" s="7"/>
    </row>
    <row r="125" spans="1:21" x14ac:dyDescent="0.25">
      <c r="A125" s="5"/>
      <c r="U125" s="7"/>
    </row>
    <row r="126" spans="1:21" x14ac:dyDescent="0.25">
      <c r="A126" s="5"/>
      <c r="B126" s="6"/>
      <c r="C126" s="6"/>
      <c r="D126" s="6"/>
      <c r="E126" s="6"/>
      <c r="F126" s="6"/>
      <c r="G126" s="6"/>
      <c r="H126" s="6"/>
      <c r="I126" s="6"/>
      <c r="J126" s="6"/>
      <c r="U126" s="7"/>
    </row>
    <row r="127" spans="1:21" x14ac:dyDescent="0.25">
      <c r="A127" s="9"/>
      <c r="B127" s="10"/>
      <c r="C127" s="10"/>
      <c r="D127" s="10"/>
      <c r="E127" s="10"/>
      <c r="F127" s="10"/>
      <c r="G127" s="10"/>
      <c r="H127" s="10"/>
      <c r="I127" s="10"/>
      <c r="J127" s="10"/>
      <c r="K127" s="10"/>
      <c r="L127" s="10"/>
      <c r="M127" s="10"/>
      <c r="N127" s="10"/>
      <c r="O127" s="10"/>
      <c r="P127" s="10"/>
      <c r="Q127" s="10"/>
      <c r="R127" s="10"/>
      <c r="S127" s="10"/>
      <c r="T127" s="10"/>
      <c r="U127" s="11"/>
    </row>
  </sheetData>
  <mergeCells count="14">
    <mergeCell ref="B47:T49"/>
    <mergeCell ref="B10:T12"/>
    <mergeCell ref="B5:T6"/>
    <mergeCell ref="Q3:U3"/>
    <mergeCell ref="A1:E3"/>
    <mergeCell ref="F1:G2"/>
    <mergeCell ref="H1:N2"/>
    <mergeCell ref="O1:P1"/>
    <mergeCell ref="Q1:U1"/>
    <mergeCell ref="O2:P2"/>
    <mergeCell ref="Q2:U2"/>
    <mergeCell ref="F3:G3"/>
    <mergeCell ref="H3:N3"/>
    <mergeCell ref="O3:P3"/>
  </mergeCells>
  <phoneticPr fontId="3" type="noConversion"/>
  <printOptions horizontalCentered="1" verticalCentered="1"/>
  <pageMargins left="0.47244094488188981" right="0.47244094488188981" top="0.74803149606299213" bottom="0.74803149606299213" header="0.31496062992125984" footer="0.31496062992125984"/>
  <pageSetup scale="69" fitToWidth="0"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43577-06D7-4702-9690-33D58A61B9B3}">
  <dimension ref="A1:U314"/>
  <sheetViews>
    <sheetView view="pageBreakPreview" topLeftCell="E2" zoomScale="60" zoomScaleNormal="100" workbookViewId="0">
      <selection activeCell="AE39" sqref="AE39"/>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260" t="str">
        <f>'0. CARTA RESPONSABILIDAD'!A1</f>
        <v>Memoria de cálculos estructurales</v>
      </c>
      <c r="B1" s="261"/>
      <c r="C1" s="261"/>
      <c r="D1" s="261"/>
      <c r="E1" s="262"/>
      <c r="F1" s="269" t="s">
        <v>0</v>
      </c>
      <c r="G1" s="270"/>
      <c r="H1" s="260" t="str">
        <f>'0. CARTA RESPONSABILIDAD'!H1</f>
        <v>EDIFICACIÓN LOCALES COMERCIALES</v>
      </c>
      <c r="I1" s="261"/>
      <c r="J1" s="261"/>
      <c r="K1" s="261"/>
      <c r="L1" s="261"/>
      <c r="M1" s="261"/>
      <c r="N1" s="262"/>
      <c r="O1" s="221" t="s">
        <v>2</v>
      </c>
      <c r="P1" s="222"/>
      <c r="Q1" s="222" t="str">
        <f>'0. CARTA RESPONSABILIDAD'!Q1</f>
        <v>Mayo de 2025</v>
      </c>
      <c r="R1" s="222"/>
      <c r="S1" s="222"/>
      <c r="T1" s="222"/>
      <c r="U1" s="223"/>
    </row>
    <row r="2" spans="1:21" x14ac:dyDescent="0.25">
      <c r="A2" s="263"/>
      <c r="B2" s="264"/>
      <c r="C2" s="264"/>
      <c r="D2" s="264"/>
      <c r="E2" s="265"/>
      <c r="F2" s="271"/>
      <c r="G2" s="272"/>
      <c r="H2" s="266"/>
      <c r="I2" s="267"/>
      <c r="J2" s="267"/>
      <c r="K2" s="267"/>
      <c r="L2" s="267"/>
      <c r="M2" s="267"/>
      <c r="N2" s="268"/>
      <c r="O2" s="221" t="s">
        <v>3</v>
      </c>
      <c r="P2" s="222"/>
      <c r="Q2" s="222" t="str">
        <f>'0. CARTA RESPONSABILIDAD'!Q2</f>
        <v xml:space="preserve"> </v>
      </c>
      <c r="R2" s="222"/>
      <c r="S2" s="222"/>
      <c r="T2" s="222"/>
      <c r="U2" s="223"/>
    </row>
    <row r="3" spans="1:21" x14ac:dyDescent="0.25">
      <c r="A3" s="266"/>
      <c r="B3" s="267"/>
      <c r="C3" s="267"/>
      <c r="D3" s="267"/>
      <c r="E3" s="268"/>
      <c r="F3" s="273" t="s">
        <v>1</v>
      </c>
      <c r="G3" s="274"/>
      <c r="H3" s="273" t="s">
        <v>263</v>
      </c>
      <c r="I3" s="275"/>
      <c r="J3" s="275"/>
      <c r="K3" s="275"/>
      <c r="L3" s="275"/>
      <c r="M3" s="275"/>
      <c r="N3" s="274"/>
      <c r="O3" s="221" t="s">
        <v>4</v>
      </c>
      <c r="P3" s="222"/>
      <c r="Q3" s="222" t="str">
        <f>'0. CARTA RESPONSABILIDAD'!Q3</f>
        <v>R0</v>
      </c>
      <c r="R3" s="222"/>
      <c r="S3" s="222"/>
      <c r="T3" s="222"/>
      <c r="U3" s="223"/>
    </row>
    <row r="4" spans="1:21" ht="13.9" x14ac:dyDescent="0.25">
      <c r="A4" s="2"/>
      <c r="B4" s="3"/>
      <c r="C4" s="3"/>
      <c r="D4" s="3"/>
      <c r="E4" s="3"/>
      <c r="F4" s="3"/>
      <c r="G4" s="3"/>
      <c r="H4" s="3"/>
      <c r="I4" s="3"/>
      <c r="J4" s="3"/>
      <c r="K4" s="3"/>
      <c r="L4" s="3"/>
      <c r="M4" s="3"/>
      <c r="N4" s="3"/>
      <c r="O4" s="3"/>
      <c r="P4" s="3"/>
      <c r="Q4" s="3" t="s">
        <v>492</v>
      </c>
      <c r="R4" s="3"/>
      <c r="S4" s="3"/>
      <c r="T4" s="3"/>
      <c r="U4" s="4"/>
    </row>
    <row r="5" spans="1:21" ht="13.9" customHeight="1" x14ac:dyDescent="0.25">
      <c r="A5" s="5"/>
      <c r="B5" s="225" t="s">
        <v>262</v>
      </c>
      <c r="C5" s="225"/>
      <c r="D5" s="225"/>
      <c r="E5" s="225"/>
      <c r="F5" s="225"/>
      <c r="G5" s="225"/>
      <c r="H5" s="225"/>
      <c r="I5" s="225"/>
      <c r="J5" s="225"/>
      <c r="K5" s="225"/>
      <c r="L5" s="225"/>
      <c r="M5" s="225"/>
      <c r="N5" s="225"/>
      <c r="O5" s="225"/>
      <c r="P5" s="225"/>
      <c r="Q5" s="225"/>
      <c r="R5" s="225"/>
      <c r="S5" s="225"/>
      <c r="T5" s="225"/>
      <c r="U5" s="7"/>
    </row>
    <row r="6" spans="1:21" ht="13.9" customHeight="1" x14ac:dyDescent="0.25">
      <c r="A6" s="5"/>
      <c r="B6" s="225"/>
      <c r="C6" s="225"/>
      <c r="D6" s="225"/>
      <c r="E6" s="225"/>
      <c r="F6" s="225"/>
      <c r="G6" s="225"/>
      <c r="H6" s="225"/>
      <c r="I6" s="225"/>
      <c r="J6" s="225"/>
      <c r="K6" s="225"/>
      <c r="L6" s="225"/>
      <c r="M6" s="225"/>
      <c r="N6" s="225"/>
      <c r="O6" s="225"/>
      <c r="P6" s="225"/>
      <c r="Q6" s="225"/>
      <c r="R6" s="225"/>
      <c r="S6" s="225"/>
      <c r="T6" s="225"/>
      <c r="U6" s="7"/>
    </row>
    <row r="7" spans="1:21" ht="13.9" x14ac:dyDescent="0.25">
      <c r="A7" s="5"/>
      <c r="U7" s="7"/>
    </row>
    <row r="8" spans="1:21" ht="13.9" x14ac:dyDescent="0.25">
      <c r="A8" s="5"/>
      <c r="U8" s="7"/>
    </row>
    <row r="9" spans="1:21" ht="13.9" x14ac:dyDescent="0.25">
      <c r="A9" s="5"/>
      <c r="U9" s="7"/>
    </row>
    <row r="10" spans="1:21" ht="13.9" x14ac:dyDescent="0.25">
      <c r="A10" s="5"/>
      <c r="U10" s="7"/>
    </row>
    <row r="11" spans="1:21" ht="13.9" x14ac:dyDescent="0.25">
      <c r="A11" s="5"/>
      <c r="U11" s="7"/>
    </row>
    <row r="12" spans="1:21" ht="13.9" x14ac:dyDescent="0.25">
      <c r="A12" s="5"/>
      <c r="U12" s="7"/>
    </row>
    <row r="13" spans="1:21" ht="13.9" x14ac:dyDescent="0.25">
      <c r="A13" s="5"/>
      <c r="U13" s="7"/>
    </row>
    <row r="14" spans="1:21" ht="13.9" x14ac:dyDescent="0.25">
      <c r="A14" s="5"/>
      <c r="U14" s="7"/>
    </row>
    <row r="15" spans="1:21" ht="13.9" x14ac:dyDescent="0.25">
      <c r="A15" s="5"/>
      <c r="U15" s="7"/>
    </row>
    <row r="16" spans="1:21" ht="13.9" x14ac:dyDescent="0.25">
      <c r="A16" s="5"/>
      <c r="U16" s="7"/>
    </row>
    <row r="17" spans="1:21" ht="13.9" x14ac:dyDescent="0.25">
      <c r="A17" s="5"/>
      <c r="U17" s="7"/>
    </row>
    <row r="18" spans="1:21" ht="13.9" x14ac:dyDescent="0.25">
      <c r="A18" s="5"/>
      <c r="U18" s="7"/>
    </row>
    <row r="19" spans="1:21" ht="13.9" x14ac:dyDescent="0.25">
      <c r="A19" s="5"/>
      <c r="U19" s="7"/>
    </row>
    <row r="20" spans="1:21" ht="13.9" x14ac:dyDescent="0.25">
      <c r="A20" s="5"/>
      <c r="U20" s="7"/>
    </row>
    <row r="21" spans="1:21" ht="13.9" x14ac:dyDescent="0.25">
      <c r="A21" s="5"/>
      <c r="U21" s="7"/>
    </row>
    <row r="22" spans="1:21" ht="13.9" x14ac:dyDescent="0.25">
      <c r="A22" s="5"/>
      <c r="U22" s="7"/>
    </row>
    <row r="23" spans="1:21" ht="13.9" x14ac:dyDescent="0.25">
      <c r="A23" s="5"/>
      <c r="U23" s="7"/>
    </row>
    <row r="24" spans="1:21" ht="13.9" x14ac:dyDescent="0.25">
      <c r="A24" s="5"/>
      <c r="U24" s="7"/>
    </row>
    <row r="25" spans="1:21" ht="13.9" x14ac:dyDescent="0.25">
      <c r="A25" s="5"/>
      <c r="U25" s="7"/>
    </row>
    <row r="26" spans="1:21" ht="13.9" x14ac:dyDescent="0.25">
      <c r="A26" s="5"/>
      <c r="U26" s="7"/>
    </row>
    <row r="27" spans="1:21" ht="13.9" x14ac:dyDescent="0.25">
      <c r="A27" s="5"/>
      <c r="U27" s="7"/>
    </row>
    <row r="28" spans="1:21" ht="13.9" x14ac:dyDescent="0.25">
      <c r="A28" s="5"/>
      <c r="U28" s="7"/>
    </row>
    <row r="29" spans="1:21" ht="13.9" x14ac:dyDescent="0.25">
      <c r="A29" s="5"/>
      <c r="U29" s="7"/>
    </row>
    <row r="30" spans="1:21" ht="13.9" x14ac:dyDescent="0.25">
      <c r="A30" s="5"/>
      <c r="U30" s="7"/>
    </row>
    <row r="31" spans="1:21" ht="13.9" x14ac:dyDescent="0.25">
      <c r="A31" s="5"/>
      <c r="U31" s="7"/>
    </row>
    <row r="32" spans="1:21" ht="13.9" x14ac:dyDescent="0.25">
      <c r="A32" s="5"/>
      <c r="U32" s="7"/>
    </row>
    <row r="33" spans="1:21" ht="13.9" x14ac:dyDescent="0.25">
      <c r="A33" s="5"/>
      <c r="U33" s="7"/>
    </row>
    <row r="34" spans="1:21" ht="13.9" x14ac:dyDescent="0.25">
      <c r="A34" s="5"/>
      <c r="U34" s="7"/>
    </row>
    <row r="35" spans="1:21" ht="13.9" x14ac:dyDescent="0.25">
      <c r="A35" s="5"/>
      <c r="U35" s="7"/>
    </row>
    <row r="36" spans="1:21" ht="13.9" x14ac:dyDescent="0.25">
      <c r="A36" s="5"/>
      <c r="U36" s="7"/>
    </row>
    <row r="37" spans="1:21" ht="13.9" x14ac:dyDescent="0.25">
      <c r="A37" s="5"/>
      <c r="U37" s="7"/>
    </row>
    <row r="38" spans="1:21" ht="13.9" customHeight="1" x14ac:dyDescent="0.25">
      <c r="A38" s="5"/>
      <c r="U38" s="7"/>
    </row>
    <row r="39" spans="1:21" ht="13.9" customHeight="1" x14ac:dyDescent="0.25">
      <c r="A39" s="5"/>
      <c r="B39" s="108"/>
      <c r="C39" s="108"/>
      <c r="D39" s="108"/>
      <c r="E39" s="108"/>
      <c r="F39" s="108"/>
      <c r="G39" s="108"/>
      <c r="H39" s="108"/>
      <c r="I39" s="108"/>
      <c r="J39" s="108"/>
      <c r="K39" s="108"/>
      <c r="L39" s="108"/>
      <c r="M39" s="108"/>
      <c r="N39" s="108"/>
      <c r="O39" s="108"/>
      <c r="P39" s="108"/>
      <c r="Q39" s="108"/>
      <c r="R39" s="108"/>
      <c r="S39" s="108"/>
      <c r="T39" s="108"/>
      <c r="U39" s="7"/>
    </row>
    <row r="40" spans="1:21" ht="13.9" x14ac:dyDescent="0.25">
      <c r="A40" s="5"/>
      <c r="U40" s="7"/>
    </row>
    <row r="41" spans="1:21" ht="13.9" x14ac:dyDescent="0.25">
      <c r="A41" s="5"/>
      <c r="U41" s="7"/>
    </row>
    <row r="42" spans="1:21" ht="13.9" x14ac:dyDescent="0.25">
      <c r="A42" s="5"/>
      <c r="U42" s="7"/>
    </row>
    <row r="43" spans="1:21" ht="13.9" x14ac:dyDescent="0.25">
      <c r="A43" s="5"/>
      <c r="U43" s="7"/>
    </row>
    <row r="44" spans="1:21" ht="13.9" x14ac:dyDescent="0.25">
      <c r="A44" s="5"/>
      <c r="U44" s="7"/>
    </row>
    <row r="45" spans="1:21" ht="13.9" x14ac:dyDescent="0.25">
      <c r="A45" s="5"/>
      <c r="U45" s="7"/>
    </row>
    <row r="46" spans="1:21" ht="13.9" x14ac:dyDescent="0.25">
      <c r="A46" s="5"/>
      <c r="U46" s="7"/>
    </row>
    <row r="47" spans="1:21" ht="13.9" x14ac:dyDescent="0.25">
      <c r="A47" s="5"/>
      <c r="U47" s="7"/>
    </row>
    <row r="48" spans="1:21" ht="13.9" x14ac:dyDescent="0.25">
      <c r="A48" s="5"/>
      <c r="U48" s="7"/>
    </row>
    <row r="49" spans="1:21" ht="13.9" x14ac:dyDescent="0.25">
      <c r="A49" s="5"/>
      <c r="B49" s="259" t="s">
        <v>853</v>
      </c>
      <c r="C49" s="259"/>
      <c r="D49" s="259"/>
      <c r="E49" s="259"/>
      <c r="F49" s="259"/>
      <c r="G49" s="259"/>
      <c r="H49" s="259"/>
      <c r="I49" s="259"/>
      <c r="J49" s="259"/>
      <c r="K49" s="259"/>
      <c r="L49" s="259"/>
      <c r="M49" s="259"/>
      <c r="N49" s="259"/>
      <c r="O49" s="259"/>
      <c r="P49" s="259"/>
      <c r="Q49" s="259"/>
      <c r="R49" s="259"/>
      <c r="S49" s="259"/>
      <c r="T49" s="259"/>
      <c r="U49" s="7"/>
    </row>
    <row r="50" spans="1:21" ht="13.9" x14ac:dyDescent="0.25">
      <c r="A50" s="5"/>
      <c r="U50" s="7"/>
    </row>
    <row r="51" spans="1:21" ht="13.9" x14ac:dyDescent="0.25">
      <c r="A51" s="5"/>
      <c r="U51" s="7"/>
    </row>
    <row r="52" spans="1:21" ht="13.9" x14ac:dyDescent="0.25">
      <c r="A52" s="5"/>
      <c r="U52" s="7"/>
    </row>
    <row r="53" spans="1:21" ht="13.9" x14ac:dyDescent="0.25">
      <c r="A53" s="5"/>
      <c r="U53" s="7"/>
    </row>
    <row r="54" spans="1:21" ht="13.9" x14ac:dyDescent="0.25">
      <c r="A54" s="5"/>
      <c r="U54" s="7"/>
    </row>
    <row r="55" spans="1:21" ht="13.9" x14ac:dyDescent="0.25">
      <c r="A55" s="5"/>
      <c r="U55" s="7"/>
    </row>
    <row r="56" spans="1:21" ht="13.9" x14ac:dyDescent="0.25">
      <c r="A56" s="5"/>
      <c r="U56" s="7"/>
    </row>
    <row r="57" spans="1:21" ht="13.9" x14ac:dyDescent="0.25">
      <c r="A57" s="5"/>
      <c r="U57" s="7"/>
    </row>
    <row r="58" spans="1:21" ht="13.9" x14ac:dyDescent="0.25">
      <c r="A58" s="5"/>
      <c r="U58" s="7"/>
    </row>
    <row r="59" spans="1:21" ht="13.9" x14ac:dyDescent="0.25">
      <c r="A59" s="5"/>
      <c r="U59" s="7"/>
    </row>
    <row r="60" spans="1:21" ht="13.9" x14ac:dyDescent="0.25">
      <c r="A60" s="5"/>
      <c r="U60" s="7"/>
    </row>
    <row r="61" spans="1:21" ht="13.9" x14ac:dyDescent="0.25">
      <c r="A61" s="5"/>
      <c r="U61" s="7"/>
    </row>
    <row r="62" spans="1:21" ht="13.9" x14ac:dyDescent="0.25">
      <c r="A62" s="5"/>
      <c r="U62" s="7"/>
    </row>
    <row r="63" spans="1:21" ht="13.9" x14ac:dyDescent="0.25">
      <c r="A63" s="5"/>
      <c r="U63" s="7"/>
    </row>
    <row r="64" spans="1:21" ht="13.9" x14ac:dyDescent="0.25">
      <c r="A64" s="5"/>
      <c r="U64" s="7"/>
    </row>
    <row r="65" spans="1:21" ht="13.9" x14ac:dyDescent="0.25">
      <c r="A65" s="5"/>
      <c r="U65" s="7"/>
    </row>
    <row r="66" spans="1:21" ht="13.9" x14ac:dyDescent="0.25">
      <c r="A66" s="9"/>
      <c r="B66" s="10"/>
      <c r="C66" s="10"/>
      <c r="D66" s="10"/>
      <c r="E66" s="10"/>
      <c r="F66" s="10"/>
      <c r="G66" s="10"/>
      <c r="H66" s="10"/>
      <c r="I66" s="10"/>
      <c r="J66" s="10"/>
      <c r="K66" s="10"/>
      <c r="L66" s="10"/>
      <c r="M66" s="10"/>
      <c r="N66" s="10"/>
      <c r="O66" s="10"/>
      <c r="P66" s="10"/>
      <c r="Q66" s="10"/>
      <c r="R66" s="10"/>
      <c r="S66" s="10"/>
      <c r="T66" s="10"/>
      <c r="U66" s="11"/>
    </row>
    <row r="67" spans="1:21" ht="13.9" x14ac:dyDescent="0.25">
      <c r="A67" s="2"/>
      <c r="B67" s="3"/>
      <c r="C67" s="3"/>
      <c r="D67" s="3"/>
      <c r="E67" s="3"/>
      <c r="F67" s="3"/>
      <c r="G67" s="3"/>
      <c r="H67" s="3"/>
      <c r="I67" s="3"/>
      <c r="J67" s="3"/>
      <c r="K67" s="3"/>
      <c r="L67" s="3"/>
      <c r="M67" s="3"/>
      <c r="N67" s="3"/>
      <c r="O67" s="3"/>
      <c r="P67" s="3"/>
      <c r="Q67" s="3"/>
      <c r="R67" s="3"/>
      <c r="S67" s="3"/>
      <c r="T67" s="3"/>
      <c r="U67" s="4"/>
    </row>
    <row r="68" spans="1:21" ht="13.9" x14ac:dyDescent="0.25">
      <c r="A68" s="5"/>
      <c r="U68" s="7"/>
    </row>
    <row r="69" spans="1:21" ht="13.9" x14ac:dyDescent="0.25">
      <c r="A69" s="5"/>
      <c r="U69" s="7"/>
    </row>
    <row r="70" spans="1:21" ht="13.9" x14ac:dyDescent="0.25">
      <c r="A70" s="5"/>
      <c r="U70" s="7"/>
    </row>
    <row r="71" spans="1:21" ht="13.9" x14ac:dyDescent="0.25">
      <c r="A71" s="5"/>
      <c r="U71" s="7"/>
    </row>
    <row r="72" spans="1:21" ht="13.9" x14ac:dyDescent="0.25">
      <c r="A72" s="5"/>
      <c r="U72" s="7"/>
    </row>
    <row r="73" spans="1:21" ht="13.9" x14ac:dyDescent="0.25">
      <c r="A73" s="5"/>
      <c r="U73" s="7"/>
    </row>
    <row r="74" spans="1:21" ht="13.9" x14ac:dyDescent="0.25">
      <c r="A74" s="5"/>
      <c r="U74" s="7"/>
    </row>
    <row r="75" spans="1:21" ht="13.9" x14ac:dyDescent="0.25">
      <c r="A75" s="5"/>
      <c r="U75" s="7"/>
    </row>
    <row r="76" spans="1:21" ht="13.9" x14ac:dyDescent="0.25">
      <c r="A76" s="5"/>
      <c r="U76" s="7"/>
    </row>
    <row r="77" spans="1:21" ht="13.9" x14ac:dyDescent="0.25">
      <c r="A77" s="5"/>
      <c r="U77" s="7"/>
    </row>
    <row r="78" spans="1:21" ht="13.9" x14ac:dyDescent="0.25">
      <c r="A78" s="5"/>
      <c r="U78" s="7"/>
    </row>
    <row r="79" spans="1:21" ht="13.9" x14ac:dyDescent="0.25">
      <c r="A79" s="5"/>
      <c r="U79" s="7"/>
    </row>
    <row r="80" spans="1:21" ht="13.9" x14ac:dyDescent="0.25">
      <c r="A80" s="5"/>
      <c r="U80" s="7"/>
    </row>
    <row r="81" spans="1:21" ht="13.9" x14ac:dyDescent="0.25">
      <c r="A81" s="5"/>
      <c r="U81" s="7"/>
    </row>
    <row r="82" spans="1:21" ht="13.9" x14ac:dyDescent="0.25">
      <c r="A82" s="5"/>
      <c r="U82" s="7"/>
    </row>
    <row r="83" spans="1:21" x14ac:dyDescent="0.25">
      <c r="A83" s="5"/>
      <c r="U83" s="7"/>
    </row>
    <row r="84" spans="1:21" x14ac:dyDescent="0.25">
      <c r="A84" s="5"/>
      <c r="U84" s="7"/>
    </row>
    <row r="85" spans="1:21" x14ac:dyDescent="0.25">
      <c r="A85" s="5"/>
      <c r="U85" s="7"/>
    </row>
    <row r="86" spans="1:21" x14ac:dyDescent="0.25">
      <c r="A86" s="5"/>
      <c r="U86" s="7"/>
    </row>
    <row r="87" spans="1:21" x14ac:dyDescent="0.25">
      <c r="A87" s="5"/>
      <c r="U87" s="7"/>
    </row>
    <row r="88" spans="1:21" x14ac:dyDescent="0.25">
      <c r="A88" s="5"/>
      <c r="U88" s="7"/>
    </row>
    <row r="89" spans="1:21" x14ac:dyDescent="0.25">
      <c r="A89" s="5"/>
      <c r="U89" s="7"/>
    </row>
    <row r="90" spans="1:21" x14ac:dyDescent="0.25">
      <c r="A90" s="5"/>
      <c r="U90" s="7"/>
    </row>
    <row r="91" spans="1:21" x14ac:dyDescent="0.25">
      <c r="A91" s="5"/>
      <c r="U91" s="7"/>
    </row>
    <row r="92" spans="1:21" x14ac:dyDescent="0.25">
      <c r="A92" s="5"/>
      <c r="U92" s="7"/>
    </row>
    <row r="93" spans="1:21" x14ac:dyDescent="0.25">
      <c r="A93" s="5"/>
      <c r="U93" s="7"/>
    </row>
    <row r="94" spans="1:21" x14ac:dyDescent="0.25">
      <c r="A94" s="5"/>
      <c r="U94" s="7"/>
    </row>
    <row r="95" spans="1:21" x14ac:dyDescent="0.25">
      <c r="A95" s="5"/>
      <c r="U95" s="7"/>
    </row>
    <row r="96" spans="1:21" x14ac:dyDescent="0.25">
      <c r="A96" s="5"/>
      <c r="U96" s="7"/>
    </row>
    <row r="97" spans="1:21" x14ac:dyDescent="0.25">
      <c r="A97" s="5"/>
      <c r="U97" s="7"/>
    </row>
    <row r="98" spans="1:21" x14ac:dyDescent="0.25">
      <c r="A98" s="5"/>
      <c r="U98" s="7"/>
    </row>
    <row r="99" spans="1:21" x14ac:dyDescent="0.25">
      <c r="A99" s="5"/>
      <c r="U99" s="7"/>
    </row>
    <row r="100" spans="1:21" x14ac:dyDescent="0.25">
      <c r="A100" s="5"/>
      <c r="U100" s="7"/>
    </row>
    <row r="101" spans="1:21" x14ac:dyDescent="0.25">
      <c r="A101" s="5"/>
      <c r="U101" s="7"/>
    </row>
    <row r="102" spans="1:21" x14ac:dyDescent="0.25">
      <c r="A102" s="5"/>
      <c r="U102" s="7"/>
    </row>
    <row r="103" spans="1:21" x14ac:dyDescent="0.25">
      <c r="A103" s="5"/>
      <c r="U103" s="7"/>
    </row>
    <row r="104" spans="1:21" x14ac:dyDescent="0.25">
      <c r="A104" s="5"/>
      <c r="U104" s="7"/>
    </row>
    <row r="105" spans="1:21" x14ac:dyDescent="0.25">
      <c r="A105" s="5"/>
      <c r="U105" s="7"/>
    </row>
    <row r="106" spans="1:21" x14ac:dyDescent="0.25">
      <c r="A106" s="5"/>
      <c r="U106" s="7"/>
    </row>
    <row r="107" spans="1:21" x14ac:dyDescent="0.25">
      <c r="A107" s="5"/>
      <c r="B107" s="259" t="s">
        <v>860</v>
      </c>
      <c r="C107" s="259"/>
      <c r="D107" s="259"/>
      <c r="E107" s="259"/>
      <c r="F107" s="259"/>
      <c r="G107" s="259"/>
      <c r="H107" s="259"/>
      <c r="I107" s="259"/>
      <c r="J107" s="259"/>
      <c r="K107" s="259"/>
      <c r="L107" s="259"/>
      <c r="M107" s="259"/>
      <c r="N107" s="259"/>
      <c r="O107" s="259"/>
      <c r="P107" s="259"/>
      <c r="Q107" s="259"/>
      <c r="R107" s="259"/>
      <c r="S107" s="259"/>
      <c r="T107" s="259"/>
      <c r="U107" s="7"/>
    </row>
    <row r="108" spans="1:21" x14ac:dyDescent="0.25">
      <c r="A108" s="5"/>
      <c r="U108" s="7"/>
    </row>
    <row r="109" spans="1:21" x14ac:dyDescent="0.25">
      <c r="A109" s="5"/>
      <c r="U109" s="7"/>
    </row>
    <row r="110" spans="1:21" x14ac:dyDescent="0.25">
      <c r="A110" s="5"/>
      <c r="U110" s="7"/>
    </row>
    <row r="111" spans="1:21" x14ac:dyDescent="0.25">
      <c r="A111" s="5"/>
      <c r="U111" s="7"/>
    </row>
    <row r="112" spans="1:21" x14ac:dyDescent="0.25">
      <c r="A112" s="5"/>
      <c r="U112" s="7"/>
    </row>
    <row r="113" spans="1:21" x14ac:dyDescent="0.25">
      <c r="A113" s="5"/>
      <c r="U113" s="7"/>
    </row>
    <row r="114" spans="1:21" x14ac:dyDescent="0.25">
      <c r="A114" s="5"/>
      <c r="U114" s="7"/>
    </row>
    <row r="115" spans="1:21" x14ac:dyDescent="0.25">
      <c r="A115" s="5"/>
      <c r="U115" s="7"/>
    </row>
    <row r="116" spans="1:21" x14ac:dyDescent="0.25">
      <c r="A116" s="5"/>
      <c r="U116" s="7"/>
    </row>
    <row r="117" spans="1:21" x14ac:dyDescent="0.25">
      <c r="A117" s="5"/>
      <c r="U117" s="7"/>
    </row>
    <row r="118" spans="1:21" x14ac:dyDescent="0.25">
      <c r="A118" s="5"/>
      <c r="U118" s="7"/>
    </row>
    <row r="119" spans="1:21" x14ac:dyDescent="0.25">
      <c r="A119" s="5"/>
      <c r="U119" s="7"/>
    </row>
    <row r="120" spans="1:21" x14ac:dyDescent="0.25">
      <c r="A120" s="5"/>
      <c r="U120" s="7"/>
    </row>
    <row r="121" spans="1:21" x14ac:dyDescent="0.25">
      <c r="A121" s="5"/>
      <c r="U121" s="7"/>
    </row>
    <row r="122" spans="1:21" x14ac:dyDescent="0.25">
      <c r="A122" s="5"/>
      <c r="U122" s="7"/>
    </row>
    <row r="123" spans="1:21" x14ac:dyDescent="0.25">
      <c r="A123" s="5"/>
      <c r="U123" s="7"/>
    </row>
    <row r="124" spans="1:21" x14ac:dyDescent="0.25">
      <c r="A124" s="5"/>
      <c r="U124" s="7"/>
    </row>
    <row r="125" spans="1:21" x14ac:dyDescent="0.25">
      <c r="A125" s="5"/>
      <c r="U125" s="7"/>
    </row>
    <row r="126" spans="1:21" x14ac:dyDescent="0.25">
      <c r="A126" s="5"/>
      <c r="U126" s="7"/>
    </row>
    <row r="127" spans="1:21" x14ac:dyDescent="0.25">
      <c r="A127" s="5"/>
      <c r="U127" s="7"/>
    </row>
    <row r="128" spans="1:21" x14ac:dyDescent="0.25">
      <c r="A128" s="9"/>
      <c r="B128" s="10"/>
      <c r="C128" s="10"/>
      <c r="D128" s="10"/>
      <c r="E128" s="10"/>
      <c r="F128" s="10"/>
      <c r="G128" s="10"/>
      <c r="H128" s="10"/>
      <c r="I128" s="10"/>
      <c r="J128" s="10"/>
      <c r="K128" s="10"/>
      <c r="L128" s="10"/>
      <c r="M128" s="10"/>
      <c r="N128" s="10"/>
      <c r="O128" s="10"/>
      <c r="P128" s="10"/>
      <c r="Q128" s="10"/>
      <c r="R128" s="10"/>
      <c r="S128" s="10"/>
      <c r="T128" s="10"/>
      <c r="U128" s="11"/>
    </row>
    <row r="129" spans="1:21" x14ac:dyDescent="0.25">
      <c r="A129" s="2"/>
      <c r="B129" s="3"/>
      <c r="C129" s="3"/>
      <c r="D129" s="3"/>
      <c r="E129" s="3"/>
      <c r="F129" s="3"/>
      <c r="G129" s="3"/>
      <c r="H129" s="3"/>
      <c r="I129" s="3"/>
      <c r="J129" s="3"/>
      <c r="K129" s="3"/>
      <c r="L129" s="3"/>
      <c r="M129" s="3"/>
      <c r="N129" s="3"/>
      <c r="O129" s="3"/>
      <c r="P129" s="3"/>
      <c r="Q129" s="3"/>
      <c r="R129" s="3"/>
      <c r="S129" s="3"/>
      <c r="T129" s="3"/>
      <c r="U129" s="4"/>
    </row>
    <row r="130" spans="1:21" x14ac:dyDescent="0.25">
      <c r="A130" s="5"/>
      <c r="U130" s="7"/>
    </row>
    <row r="131" spans="1:21" x14ac:dyDescent="0.25">
      <c r="A131" s="5"/>
      <c r="U131" s="7"/>
    </row>
    <row r="132" spans="1:21" x14ac:dyDescent="0.25">
      <c r="A132" s="5"/>
      <c r="U132" s="7"/>
    </row>
    <row r="133" spans="1:21" x14ac:dyDescent="0.25">
      <c r="A133" s="5"/>
      <c r="U133" s="7"/>
    </row>
    <row r="134" spans="1:21" x14ac:dyDescent="0.25">
      <c r="A134" s="5"/>
      <c r="U134" s="7"/>
    </row>
    <row r="135" spans="1:21" x14ac:dyDescent="0.25">
      <c r="A135" s="5"/>
      <c r="U135" s="7"/>
    </row>
    <row r="136" spans="1:21" x14ac:dyDescent="0.25">
      <c r="A136" s="5"/>
      <c r="U136" s="7"/>
    </row>
    <row r="137" spans="1:21" x14ac:dyDescent="0.25">
      <c r="A137" s="5"/>
      <c r="U137" s="7"/>
    </row>
    <row r="138" spans="1:21" x14ac:dyDescent="0.25">
      <c r="A138" s="5"/>
      <c r="U138" s="7"/>
    </row>
    <row r="139" spans="1:21" x14ac:dyDescent="0.25">
      <c r="A139" s="5"/>
      <c r="U139" s="7"/>
    </row>
    <row r="140" spans="1:21" x14ac:dyDescent="0.25">
      <c r="A140" s="5"/>
      <c r="U140" s="7"/>
    </row>
    <row r="141" spans="1:21" x14ac:dyDescent="0.25">
      <c r="A141" s="5"/>
      <c r="U141" s="7"/>
    </row>
    <row r="142" spans="1:21" x14ac:dyDescent="0.25">
      <c r="A142" s="5"/>
      <c r="U142" s="7"/>
    </row>
    <row r="143" spans="1:21" x14ac:dyDescent="0.25">
      <c r="A143" s="5"/>
      <c r="U143" s="7"/>
    </row>
    <row r="144" spans="1:21" x14ac:dyDescent="0.25">
      <c r="A144" s="5"/>
      <c r="U144" s="7"/>
    </row>
    <row r="145" spans="1:21" x14ac:dyDescent="0.25">
      <c r="A145" s="5"/>
      <c r="U145" s="7"/>
    </row>
    <row r="146" spans="1:21" x14ac:dyDescent="0.25">
      <c r="A146" s="5"/>
      <c r="U146" s="7"/>
    </row>
    <row r="147" spans="1:21" x14ac:dyDescent="0.25">
      <c r="A147" s="5"/>
      <c r="U147" s="7"/>
    </row>
    <row r="148" spans="1:21" x14ac:dyDescent="0.25">
      <c r="A148" s="5"/>
      <c r="U148" s="7"/>
    </row>
    <row r="149" spans="1:21" x14ac:dyDescent="0.25">
      <c r="A149" s="5"/>
      <c r="U149" s="7"/>
    </row>
    <row r="150" spans="1:21" x14ac:dyDescent="0.25">
      <c r="A150" s="5"/>
      <c r="B150" s="259" t="s">
        <v>851</v>
      </c>
      <c r="C150" s="259"/>
      <c r="D150" s="259"/>
      <c r="E150" s="259"/>
      <c r="F150" s="259"/>
      <c r="G150" s="259"/>
      <c r="H150" s="259"/>
      <c r="I150" s="259"/>
      <c r="J150" s="259"/>
      <c r="K150" s="259"/>
      <c r="L150" s="259"/>
      <c r="M150" s="259"/>
      <c r="N150" s="259"/>
      <c r="O150" s="259"/>
      <c r="P150" s="259"/>
      <c r="Q150" s="259"/>
      <c r="R150" s="259"/>
      <c r="S150" s="259"/>
      <c r="T150" s="259"/>
      <c r="U150" s="7"/>
    </row>
    <row r="151" spans="1:21" x14ac:dyDescent="0.25">
      <c r="A151" s="5"/>
      <c r="U151" s="7"/>
    </row>
    <row r="152" spans="1:21" x14ac:dyDescent="0.25">
      <c r="A152" s="5"/>
      <c r="U152" s="7"/>
    </row>
    <row r="153" spans="1:21" x14ac:dyDescent="0.25">
      <c r="A153" s="5"/>
      <c r="U153" s="7"/>
    </row>
    <row r="154" spans="1:21" x14ac:dyDescent="0.25">
      <c r="A154" s="5"/>
      <c r="U154" s="7"/>
    </row>
    <row r="155" spans="1:21" x14ac:dyDescent="0.25">
      <c r="A155" s="5"/>
      <c r="U155" s="7"/>
    </row>
    <row r="156" spans="1:21" x14ac:dyDescent="0.25">
      <c r="A156" s="5"/>
      <c r="U156" s="7"/>
    </row>
    <row r="157" spans="1:21" x14ac:dyDescent="0.25">
      <c r="A157" s="5"/>
      <c r="U157" s="7"/>
    </row>
    <row r="158" spans="1:21" x14ac:dyDescent="0.25">
      <c r="A158" s="5"/>
      <c r="U158" s="7"/>
    </row>
    <row r="159" spans="1:21" x14ac:dyDescent="0.25">
      <c r="A159" s="5"/>
      <c r="U159" s="7"/>
    </row>
    <row r="160" spans="1:21" x14ac:dyDescent="0.25">
      <c r="A160" s="5"/>
      <c r="U160" s="7"/>
    </row>
    <row r="161" spans="1:21" x14ac:dyDescent="0.25">
      <c r="A161" s="5"/>
      <c r="U161" s="7"/>
    </row>
    <row r="162" spans="1:21" x14ac:dyDescent="0.25">
      <c r="A162" s="5"/>
      <c r="U162" s="7"/>
    </row>
    <row r="163" spans="1:21" x14ac:dyDescent="0.25">
      <c r="A163" s="5"/>
      <c r="U163" s="7"/>
    </row>
    <row r="164" spans="1:21" x14ac:dyDescent="0.25">
      <c r="A164" s="5"/>
      <c r="U164" s="7"/>
    </row>
    <row r="165" spans="1:21" x14ac:dyDescent="0.25">
      <c r="A165" s="5"/>
      <c r="U165" s="7"/>
    </row>
    <row r="166" spans="1:21" x14ac:dyDescent="0.25">
      <c r="A166" s="5"/>
      <c r="U166" s="7"/>
    </row>
    <row r="167" spans="1:21" x14ac:dyDescent="0.25">
      <c r="A167" s="5"/>
      <c r="U167" s="7"/>
    </row>
    <row r="168" spans="1:21" x14ac:dyDescent="0.25">
      <c r="A168" s="5"/>
      <c r="U168" s="7"/>
    </row>
    <row r="169" spans="1:21" x14ac:dyDescent="0.25">
      <c r="A169" s="5"/>
      <c r="U169" s="7"/>
    </row>
    <row r="170" spans="1:21" x14ac:dyDescent="0.25">
      <c r="A170" s="5"/>
      <c r="U170" s="7"/>
    </row>
    <row r="171" spans="1:21" x14ac:dyDescent="0.25">
      <c r="A171" s="5"/>
      <c r="U171" s="7"/>
    </row>
    <row r="172" spans="1:21" x14ac:dyDescent="0.25">
      <c r="A172" s="5"/>
      <c r="B172" s="259" t="s">
        <v>852</v>
      </c>
      <c r="C172" s="259"/>
      <c r="D172" s="259"/>
      <c r="E172" s="259"/>
      <c r="F172" s="259"/>
      <c r="G172" s="259"/>
      <c r="H172" s="259"/>
      <c r="I172" s="259"/>
      <c r="J172" s="259"/>
      <c r="K172" s="259"/>
      <c r="L172" s="259"/>
      <c r="M172" s="259"/>
      <c r="N172" s="259"/>
      <c r="O172" s="259"/>
      <c r="P172" s="259"/>
      <c r="Q172" s="259"/>
      <c r="R172" s="259"/>
      <c r="S172" s="259"/>
      <c r="T172" s="259"/>
      <c r="U172" s="7"/>
    </row>
    <row r="173" spans="1:21" x14ac:dyDescent="0.25">
      <c r="A173" s="5"/>
      <c r="U173" s="7"/>
    </row>
    <row r="174" spans="1:21" x14ac:dyDescent="0.25">
      <c r="A174" s="5"/>
      <c r="U174" s="7"/>
    </row>
    <row r="175" spans="1:21" x14ac:dyDescent="0.25">
      <c r="A175" s="5"/>
      <c r="U175" s="7"/>
    </row>
    <row r="176" spans="1:21" x14ac:dyDescent="0.25">
      <c r="A176" s="5"/>
      <c r="U176" s="7"/>
    </row>
    <row r="177" spans="1:21" x14ac:dyDescent="0.25">
      <c r="A177" s="5"/>
      <c r="U177" s="7"/>
    </row>
    <row r="178" spans="1:21" x14ac:dyDescent="0.25">
      <c r="A178" s="5"/>
      <c r="U178" s="7"/>
    </row>
    <row r="179" spans="1:21" x14ac:dyDescent="0.25">
      <c r="A179" s="5"/>
      <c r="U179" s="7"/>
    </row>
    <row r="180" spans="1:21" x14ac:dyDescent="0.25">
      <c r="A180" s="5"/>
      <c r="U180" s="7"/>
    </row>
    <row r="181" spans="1:21" x14ac:dyDescent="0.25">
      <c r="A181" s="5"/>
      <c r="U181" s="7"/>
    </row>
    <row r="182" spans="1:21" x14ac:dyDescent="0.25">
      <c r="A182" s="5"/>
      <c r="U182" s="7"/>
    </row>
    <row r="183" spans="1:21" x14ac:dyDescent="0.25">
      <c r="A183" s="5"/>
      <c r="U183" s="7"/>
    </row>
    <row r="184" spans="1:21" x14ac:dyDescent="0.25">
      <c r="A184" s="5"/>
      <c r="U184" s="7"/>
    </row>
    <row r="185" spans="1:21" x14ac:dyDescent="0.25">
      <c r="A185" s="5"/>
      <c r="U185" s="7"/>
    </row>
    <row r="186" spans="1:21" x14ac:dyDescent="0.25">
      <c r="A186" s="5"/>
      <c r="U186" s="7"/>
    </row>
    <row r="187" spans="1:21" x14ac:dyDescent="0.25">
      <c r="A187" s="5"/>
      <c r="U187" s="7"/>
    </row>
    <row r="188" spans="1:21" x14ac:dyDescent="0.25">
      <c r="A188" s="5"/>
      <c r="U188" s="7"/>
    </row>
    <row r="189" spans="1:21" x14ac:dyDescent="0.25">
      <c r="A189" s="5"/>
      <c r="U189" s="7"/>
    </row>
    <row r="190" spans="1:21" x14ac:dyDescent="0.25">
      <c r="A190" s="9"/>
      <c r="B190" s="10"/>
      <c r="C190" s="10"/>
      <c r="D190" s="10"/>
      <c r="E190" s="10"/>
      <c r="F190" s="10"/>
      <c r="G190" s="10"/>
      <c r="H190" s="10"/>
      <c r="I190" s="10"/>
      <c r="J190" s="10"/>
      <c r="K190" s="10"/>
      <c r="L190" s="10"/>
      <c r="M190" s="10"/>
      <c r="N190" s="10"/>
      <c r="O190" s="10"/>
      <c r="P190" s="10"/>
      <c r="Q190" s="10"/>
      <c r="R190" s="10"/>
      <c r="S190" s="10"/>
      <c r="T190" s="10"/>
      <c r="U190" s="11"/>
    </row>
    <row r="191" spans="1:21" x14ac:dyDescent="0.25">
      <c r="A191" s="2"/>
      <c r="B191" s="3"/>
      <c r="C191" s="3"/>
      <c r="D191" s="3"/>
      <c r="E191" s="3"/>
      <c r="F191" s="3"/>
      <c r="G191" s="3"/>
      <c r="H191" s="3"/>
      <c r="I191" s="3"/>
      <c r="J191" s="3"/>
      <c r="K191" s="3"/>
      <c r="L191" s="3"/>
      <c r="M191" s="3"/>
      <c r="N191" s="3"/>
      <c r="O191" s="3"/>
      <c r="P191" s="3"/>
      <c r="Q191" s="3"/>
      <c r="R191" s="3"/>
      <c r="S191" s="3"/>
      <c r="T191" s="3"/>
      <c r="U191" s="4"/>
    </row>
    <row r="192" spans="1:21" x14ac:dyDescent="0.25">
      <c r="A192" s="5"/>
      <c r="U192" s="7"/>
    </row>
    <row r="193" spans="1:21" x14ac:dyDescent="0.25">
      <c r="A193" s="5"/>
      <c r="U193" s="7"/>
    </row>
    <row r="194" spans="1:21" x14ac:dyDescent="0.25">
      <c r="A194" s="5"/>
      <c r="U194" s="7"/>
    </row>
    <row r="195" spans="1:21" x14ac:dyDescent="0.25">
      <c r="A195" s="5"/>
      <c r="U195" s="7"/>
    </row>
    <row r="196" spans="1:21" x14ac:dyDescent="0.25">
      <c r="A196" s="5"/>
      <c r="U196" s="7"/>
    </row>
    <row r="197" spans="1:21" x14ac:dyDescent="0.25">
      <c r="A197" s="5"/>
      <c r="U197" s="7"/>
    </row>
    <row r="198" spans="1:21" x14ac:dyDescent="0.25">
      <c r="A198" s="5"/>
      <c r="U198" s="7"/>
    </row>
    <row r="199" spans="1:21" x14ac:dyDescent="0.25">
      <c r="A199" s="5"/>
      <c r="U199" s="7"/>
    </row>
    <row r="200" spans="1:21" x14ac:dyDescent="0.25">
      <c r="A200" s="5"/>
      <c r="U200" s="7"/>
    </row>
    <row r="201" spans="1:21" x14ac:dyDescent="0.25">
      <c r="A201" s="5"/>
      <c r="U201" s="7"/>
    </row>
    <row r="202" spans="1:21" x14ac:dyDescent="0.25">
      <c r="A202" s="5"/>
      <c r="U202" s="7"/>
    </row>
    <row r="203" spans="1:21" x14ac:dyDescent="0.25">
      <c r="A203" s="5"/>
      <c r="U203" s="7"/>
    </row>
    <row r="204" spans="1:21" x14ac:dyDescent="0.25">
      <c r="A204" s="5"/>
      <c r="U204" s="7"/>
    </row>
    <row r="205" spans="1:21" x14ac:dyDescent="0.25">
      <c r="A205" s="5"/>
      <c r="U205" s="7"/>
    </row>
    <row r="206" spans="1:21" x14ac:dyDescent="0.25">
      <c r="A206" s="5"/>
      <c r="U206" s="7"/>
    </row>
    <row r="207" spans="1:21" x14ac:dyDescent="0.25">
      <c r="A207" s="5"/>
      <c r="U207" s="7"/>
    </row>
    <row r="208" spans="1:21" x14ac:dyDescent="0.25">
      <c r="A208" s="5"/>
      <c r="U208" s="7"/>
    </row>
    <row r="209" spans="1:21" x14ac:dyDescent="0.25">
      <c r="A209" s="5"/>
      <c r="U209" s="7"/>
    </row>
    <row r="210" spans="1:21" x14ac:dyDescent="0.25">
      <c r="A210" s="5"/>
      <c r="U210" s="7"/>
    </row>
    <row r="211" spans="1:21" x14ac:dyDescent="0.25">
      <c r="A211" s="5"/>
      <c r="U211" s="7"/>
    </row>
    <row r="212" spans="1:21" x14ac:dyDescent="0.25">
      <c r="A212" s="5"/>
      <c r="U212" s="7"/>
    </row>
    <row r="213" spans="1:21" x14ac:dyDescent="0.25">
      <c r="A213" s="5"/>
      <c r="U213" s="7"/>
    </row>
    <row r="214" spans="1:21" x14ac:dyDescent="0.25">
      <c r="A214" s="5"/>
      <c r="U214" s="7"/>
    </row>
    <row r="215" spans="1:21" x14ac:dyDescent="0.25">
      <c r="A215" s="5"/>
      <c r="U215" s="7"/>
    </row>
    <row r="216" spans="1:21" x14ac:dyDescent="0.25">
      <c r="A216" s="5"/>
      <c r="U216" s="7"/>
    </row>
    <row r="217" spans="1:21" x14ac:dyDescent="0.25">
      <c r="A217" s="5"/>
      <c r="U217" s="7"/>
    </row>
    <row r="218" spans="1:21" x14ac:dyDescent="0.25">
      <c r="A218" s="5"/>
      <c r="U218" s="7"/>
    </row>
    <row r="219" spans="1:21" x14ac:dyDescent="0.25">
      <c r="A219" s="5"/>
      <c r="U219" s="7"/>
    </row>
    <row r="220" spans="1:21" x14ac:dyDescent="0.25">
      <c r="A220" s="5"/>
      <c r="U220" s="7"/>
    </row>
    <row r="221" spans="1:21" x14ac:dyDescent="0.25">
      <c r="A221" s="5"/>
      <c r="U221" s="7"/>
    </row>
    <row r="222" spans="1:21" x14ac:dyDescent="0.25">
      <c r="A222" s="5"/>
      <c r="U222" s="7"/>
    </row>
    <row r="223" spans="1:21" x14ac:dyDescent="0.25">
      <c r="A223" s="5"/>
      <c r="U223" s="7"/>
    </row>
    <row r="224" spans="1:21" x14ac:dyDescent="0.25">
      <c r="A224" s="5"/>
      <c r="U224" s="7"/>
    </row>
    <row r="225" spans="1:21" x14ac:dyDescent="0.25">
      <c r="A225" s="5"/>
      <c r="U225" s="7"/>
    </row>
    <row r="226" spans="1:21" x14ac:dyDescent="0.25">
      <c r="A226" s="5"/>
      <c r="U226" s="7"/>
    </row>
    <row r="227" spans="1:21" x14ac:dyDescent="0.25">
      <c r="A227" s="5"/>
      <c r="U227" s="7"/>
    </row>
    <row r="228" spans="1:21" x14ac:dyDescent="0.25">
      <c r="A228" s="5"/>
      <c r="U228" s="7"/>
    </row>
    <row r="229" spans="1:21" x14ac:dyDescent="0.25">
      <c r="A229" s="5"/>
      <c r="U229" s="7"/>
    </row>
    <row r="230" spans="1:21" x14ac:dyDescent="0.25">
      <c r="A230" s="5"/>
      <c r="U230" s="7"/>
    </row>
    <row r="231" spans="1:21" x14ac:dyDescent="0.25">
      <c r="A231" s="5"/>
      <c r="U231" s="7"/>
    </row>
    <row r="232" spans="1:21" x14ac:dyDescent="0.25">
      <c r="A232" s="5"/>
      <c r="U232" s="7"/>
    </row>
    <row r="233" spans="1:21" x14ac:dyDescent="0.25">
      <c r="A233" s="5"/>
      <c r="U233" s="7"/>
    </row>
    <row r="234" spans="1:21" x14ac:dyDescent="0.25">
      <c r="A234" s="5"/>
      <c r="U234" s="7"/>
    </row>
    <row r="235" spans="1:21" x14ac:dyDescent="0.25">
      <c r="A235" s="5"/>
      <c r="U235" s="7"/>
    </row>
    <row r="236" spans="1:21" x14ac:dyDescent="0.25">
      <c r="A236" s="5"/>
      <c r="U236" s="7"/>
    </row>
    <row r="237" spans="1:21" x14ac:dyDescent="0.25">
      <c r="A237" s="5"/>
      <c r="U237" s="7"/>
    </row>
    <row r="238" spans="1:21" x14ac:dyDescent="0.25">
      <c r="A238" s="5"/>
      <c r="U238" s="7"/>
    </row>
    <row r="239" spans="1:21" x14ac:dyDescent="0.25">
      <c r="A239" s="5"/>
      <c r="U239" s="7"/>
    </row>
    <row r="240" spans="1:21" x14ac:dyDescent="0.25">
      <c r="A240" s="5"/>
      <c r="U240" s="7"/>
    </row>
    <row r="241" spans="1:21" x14ac:dyDescent="0.25">
      <c r="A241" s="5"/>
      <c r="U241" s="7"/>
    </row>
    <row r="242" spans="1:21" x14ac:dyDescent="0.25">
      <c r="A242" s="5"/>
      <c r="U242" s="7"/>
    </row>
    <row r="243" spans="1:21" x14ac:dyDescent="0.25">
      <c r="A243" s="5"/>
      <c r="U243" s="7"/>
    </row>
    <row r="244" spans="1:21" x14ac:dyDescent="0.25">
      <c r="A244" s="5"/>
      <c r="U244" s="7"/>
    </row>
    <row r="245" spans="1:21" x14ac:dyDescent="0.25">
      <c r="A245" s="5"/>
      <c r="U245" s="7"/>
    </row>
    <row r="246" spans="1:21" x14ac:dyDescent="0.25">
      <c r="A246" s="5"/>
      <c r="U246" s="7"/>
    </row>
    <row r="247" spans="1:21" x14ac:dyDescent="0.25">
      <c r="A247" s="5"/>
      <c r="U247" s="7"/>
    </row>
    <row r="248" spans="1:21" x14ac:dyDescent="0.25">
      <c r="A248" s="5"/>
      <c r="U248" s="7"/>
    </row>
    <row r="249" spans="1:21" x14ac:dyDescent="0.25">
      <c r="A249" s="5"/>
      <c r="U249" s="7"/>
    </row>
    <row r="250" spans="1:21" x14ac:dyDescent="0.25">
      <c r="A250" s="5"/>
      <c r="U250" s="7"/>
    </row>
    <row r="251" spans="1:21" x14ac:dyDescent="0.25">
      <c r="A251" s="5"/>
      <c r="U251" s="7"/>
    </row>
    <row r="252" spans="1:21" x14ac:dyDescent="0.25">
      <c r="A252" s="9"/>
      <c r="B252" s="10"/>
      <c r="C252" s="10"/>
      <c r="D252" s="10"/>
      <c r="E252" s="10"/>
      <c r="F252" s="10"/>
      <c r="G252" s="10"/>
      <c r="H252" s="10"/>
      <c r="I252" s="10"/>
      <c r="J252" s="10"/>
      <c r="K252" s="10"/>
      <c r="L252" s="10"/>
      <c r="M252" s="10"/>
      <c r="N252" s="10"/>
      <c r="O252" s="10"/>
      <c r="P252" s="10"/>
      <c r="Q252" s="10"/>
      <c r="R252" s="10"/>
      <c r="S252" s="10"/>
      <c r="T252" s="10"/>
      <c r="U252" s="11"/>
    </row>
    <row r="253" spans="1:21" x14ac:dyDescent="0.25">
      <c r="A253" s="2"/>
      <c r="B253" s="3"/>
      <c r="C253" s="3"/>
      <c r="D253" s="3"/>
      <c r="E253" s="3"/>
      <c r="F253" s="3"/>
      <c r="G253" s="3"/>
      <c r="H253" s="3"/>
      <c r="I253" s="3"/>
      <c r="J253" s="3"/>
      <c r="K253" s="3"/>
      <c r="L253" s="3"/>
      <c r="M253" s="3"/>
      <c r="N253" s="3"/>
      <c r="O253" s="3"/>
      <c r="P253" s="3"/>
      <c r="Q253" s="3"/>
      <c r="R253" s="3"/>
      <c r="S253" s="3"/>
      <c r="T253" s="3"/>
      <c r="U253" s="4"/>
    </row>
    <row r="254" spans="1:21" x14ac:dyDescent="0.25">
      <c r="A254" s="5"/>
      <c r="U254" s="7"/>
    </row>
    <row r="255" spans="1:21" x14ac:dyDescent="0.25">
      <c r="A255" s="5"/>
      <c r="U255" s="7"/>
    </row>
    <row r="256" spans="1:21" x14ac:dyDescent="0.25">
      <c r="A256" s="5"/>
      <c r="U256" s="7"/>
    </row>
    <row r="257" spans="1:21" x14ac:dyDescent="0.25">
      <c r="A257" s="5"/>
      <c r="U257" s="7"/>
    </row>
    <row r="258" spans="1:21" x14ac:dyDescent="0.25">
      <c r="A258" s="5"/>
      <c r="U258" s="7"/>
    </row>
    <row r="259" spans="1:21" x14ac:dyDescent="0.25">
      <c r="A259" s="5"/>
      <c r="U259" s="7"/>
    </row>
    <row r="260" spans="1:21" x14ac:dyDescent="0.25">
      <c r="A260" s="5"/>
      <c r="U260" s="7"/>
    </row>
    <row r="261" spans="1:21" x14ac:dyDescent="0.25">
      <c r="A261" s="5"/>
      <c r="U261" s="7"/>
    </row>
    <row r="262" spans="1:21" x14ac:dyDescent="0.25">
      <c r="A262" s="5"/>
      <c r="U262" s="7"/>
    </row>
    <row r="263" spans="1:21" x14ac:dyDescent="0.25">
      <c r="A263" s="5"/>
      <c r="U263" s="7"/>
    </row>
    <row r="264" spans="1:21" x14ac:dyDescent="0.25">
      <c r="A264" s="5"/>
      <c r="U264" s="7"/>
    </row>
    <row r="265" spans="1:21" x14ac:dyDescent="0.25">
      <c r="A265" s="5"/>
      <c r="U265" s="7"/>
    </row>
    <row r="266" spans="1:21" x14ac:dyDescent="0.25">
      <c r="A266" s="5"/>
      <c r="U266" s="7"/>
    </row>
    <row r="267" spans="1:21" x14ac:dyDescent="0.25">
      <c r="A267" s="5"/>
      <c r="U267" s="7"/>
    </row>
    <row r="268" spans="1:21" x14ac:dyDescent="0.25">
      <c r="A268" s="5"/>
      <c r="U268" s="7"/>
    </row>
    <row r="269" spans="1:21" x14ac:dyDescent="0.25">
      <c r="A269" s="5"/>
      <c r="U269" s="7"/>
    </row>
    <row r="270" spans="1:21" x14ac:dyDescent="0.25">
      <c r="A270" s="5"/>
      <c r="U270" s="7"/>
    </row>
    <row r="271" spans="1:21" x14ac:dyDescent="0.25">
      <c r="A271" s="5"/>
      <c r="U271" s="7"/>
    </row>
    <row r="272" spans="1:21" x14ac:dyDescent="0.25">
      <c r="A272" s="5"/>
      <c r="U272" s="7"/>
    </row>
    <row r="273" spans="1:21" x14ac:dyDescent="0.25">
      <c r="A273" s="5"/>
      <c r="U273" s="7"/>
    </row>
    <row r="274" spans="1:21" x14ac:dyDescent="0.25">
      <c r="A274" s="5"/>
      <c r="U274" s="7"/>
    </row>
    <row r="275" spans="1:21" x14ac:dyDescent="0.25">
      <c r="A275" s="5"/>
      <c r="U275" s="7"/>
    </row>
    <row r="276" spans="1:21" x14ac:dyDescent="0.25">
      <c r="A276" s="5"/>
      <c r="U276" s="7"/>
    </row>
    <row r="277" spans="1:21" x14ac:dyDescent="0.25">
      <c r="A277" s="5"/>
      <c r="U277" s="7"/>
    </row>
    <row r="278" spans="1:21" x14ac:dyDescent="0.25">
      <c r="A278" s="5"/>
      <c r="U278" s="7"/>
    </row>
    <row r="279" spans="1:21" x14ac:dyDescent="0.25">
      <c r="A279" s="5"/>
      <c r="U279" s="7"/>
    </row>
    <row r="280" spans="1:21" x14ac:dyDescent="0.25">
      <c r="A280" s="5"/>
      <c r="U280" s="7"/>
    </row>
    <row r="281" spans="1:21" x14ac:dyDescent="0.25">
      <c r="A281" s="5"/>
      <c r="U281" s="7"/>
    </row>
    <row r="282" spans="1:21" x14ac:dyDescent="0.25">
      <c r="A282" s="5"/>
      <c r="U282" s="7"/>
    </row>
    <row r="283" spans="1:21" x14ac:dyDescent="0.25">
      <c r="A283" s="5"/>
      <c r="U283" s="7"/>
    </row>
    <row r="284" spans="1:21" x14ac:dyDescent="0.25">
      <c r="A284" s="5"/>
      <c r="U284" s="7"/>
    </row>
    <row r="285" spans="1:21" x14ac:dyDescent="0.25">
      <c r="A285" s="5"/>
      <c r="U285" s="7"/>
    </row>
    <row r="286" spans="1:21" x14ac:dyDescent="0.25">
      <c r="A286" s="5"/>
      <c r="U286" s="7"/>
    </row>
    <row r="287" spans="1:21" x14ac:dyDescent="0.25">
      <c r="A287" s="5"/>
      <c r="U287" s="7"/>
    </row>
    <row r="288" spans="1:21" x14ac:dyDescent="0.25">
      <c r="A288" s="5"/>
      <c r="U288" s="7"/>
    </row>
    <row r="289" spans="1:21" x14ac:dyDescent="0.25">
      <c r="A289" s="5"/>
      <c r="U289" s="7"/>
    </row>
    <row r="290" spans="1:21" x14ac:dyDescent="0.25">
      <c r="A290" s="5"/>
      <c r="U290" s="7"/>
    </row>
    <row r="291" spans="1:21" x14ac:dyDescent="0.25">
      <c r="A291" s="5"/>
      <c r="U291" s="7"/>
    </row>
    <row r="292" spans="1:21" x14ac:dyDescent="0.25">
      <c r="A292" s="5"/>
      <c r="U292" s="7"/>
    </row>
    <row r="293" spans="1:21" x14ac:dyDescent="0.25">
      <c r="A293" s="5"/>
      <c r="U293" s="7"/>
    </row>
    <row r="294" spans="1:21" x14ac:dyDescent="0.25">
      <c r="A294" s="5"/>
      <c r="U294" s="7"/>
    </row>
    <row r="295" spans="1:21" x14ac:dyDescent="0.25">
      <c r="A295" s="5"/>
      <c r="U295" s="7"/>
    </row>
    <row r="296" spans="1:21" x14ac:dyDescent="0.25">
      <c r="A296" s="5"/>
      <c r="U296" s="7"/>
    </row>
    <row r="297" spans="1:21" x14ac:dyDescent="0.25">
      <c r="A297" s="5"/>
      <c r="U297" s="7"/>
    </row>
    <row r="298" spans="1:21" x14ac:dyDescent="0.25">
      <c r="A298" s="5"/>
      <c r="U298" s="7"/>
    </row>
    <row r="299" spans="1:21" x14ac:dyDescent="0.25">
      <c r="A299" s="5"/>
      <c r="U299" s="7"/>
    </row>
    <row r="300" spans="1:21" x14ac:dyDescent="0.25">
      <c r="A300" s="5"/>
      <c r="U300" s="7"/>
    </row>
    <row r="301" spans="1:21" x14ac:dyDescent="0.25">
      <c r="A301" s="5"/>
      <c r="U301" s="7"/>
    </row>
    <row r="302" spans="1:21" x14ac:dyDescent="0.25">
      <c r="A302" s="5"/>
      <c r="U302" s="7"/>
    </row>
    <row r="303" spans="1:21" x14ac:dyDescent="0.25">
      <c r="A303" s="5"/>
      <c r="U303" s="7"/>
    </row>
    <row r="304" spans="1:21" x14ac:dyDescent="0.25">
      <c r="A304" s="5"/>
      <c r="U304" s="7"/>
    </row>
    <row r="305" spans="1:21" x14ac:dyDescent="0.25">
      <c r="A305" s="5"/>
      <c r="U305" s="7"/>
    </row>
    <row r="306" spans="1:21" x14ac:dyDescent="0.25">
      <c r="A306" s="5"/>
      <c r="U306" s="7"/>
    </row>
    <row r="307" spans="1:21" x14ac:dyDescent="0.25">
      <c r="A307" s="5"/>
      <c r="U307" s="7"/>
    </row>
    <row r="308" spans="1:21" x14ac:dyDescent="0.25">
      <c r="A308" s="5"/>
      <c r="U308" s="7"/>
    </row>
    <row r="309" spans="1:21" x14ac:dyDescent="0.25">
      <c r="A309" s="5"/>
      <c r="U309" s="7"/>
    </row>
    <row r="310" spans="1:21" x14ac:dyDescent="0.25">
      <c r="A310" s="5"/>
      <c r="U310" s="7"/>
    </row>
    <row r="311" spans="1:21" x14ac:dyDescent="0.25">
      <c r="A311" s="5"/>
      <c r="U311" s="7"/>
    </row>
    <row r="312" spans="1:21" x14ac:dyDescent="0.25">
      <c r="A312" s="5"/>
      <c r="U312" s="7"/>
    </row>
    <row r="313" spans="1:21" x14ac:dyDescent="0.25">
      <c r="A313" s="5"/>
      <c r="U313" s="7"/>
    </row>
    <row r="314" spans="1:21" x14ac:dyDescent="0.25">
      <c r="A314" s="9"/>
      <c r="B314" s="10"/>
      <c r="C314" s="10"/>
      <c r="D314" s="10"/>
      <c r="E314" s="10"/>
      <c r="F314" s="10"/>
      <c r="G314" s="10"/>
      <c r="H314" s="10"/>
      <c r="I314" s="10"/>
      <c r="J314" s="10"/>
      <c r="K314" s="10"/>
      <c r="L314" s="10"/>
      <c r="M314" s="10"/>
      <c r="N314" s="10"/>
      <c r="O314" s="10"/>
      <c r="P314" s="10"/>
      <c r="Q314" s="10"/>
      <c r="R314" s="10"/>
      <c r="S314" s="10"/>
      <c r="T314" s="10"/>
      <c r="U314" s="11"/>
    </row>
  </sheetData>
  <mergeCells count="16">
    <mergeCell ref="B150:T150"/>
    <mergeCell ref="B172:T172"/>
    <mergeCell ref="B107:T107"/>
    <mergeCell ref="B49:T49"/>
    <mergeCell ref="Q3:U3"/>
    <mergeCell ref="B5:T6"/>
    <mergeCell ref="A1:E3"/>
    <mergeCell ref="F1:G2"/>
    <mergeCell ref="H1:N2"/>
    <mergeCell ref="O1:P1"/>
    <mergeCell ref="Q1:U1"/>
    <mergeCell ref="O2:P2"/>
    <mergeCell ref="Q2:U2"/>
    <mergeCell ref="F3:G3"/>
    <mergeCell ref="H3:N3"/>
    <mergeCell ref="O3:P3"/>
  </mergeCells>
  <printOptions horizontalCentered="1" verticalCentered="1"/>
  <pageMargins left="0.47244094488188981" right="0.47244094488188981" top="0.74803149606299213" bottom="0.74803149606299213" header="0.31496062992125984" footer="0.31496062992125984"/>
  <pageSetup scale="71" fitToWidth="0" fitToHeight="0" orientation="portrait" r:id="rId1"/>
  <rowBreaks count="2" manualBreakCount="2">
    <brk id="66" max="20" man="1"/>
    <brk id="128" max="20"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66CE9-5618-424A-91A5-B3A810BBA250}">
  <dimension ref="A1:CD168"/>
  <sheetViews>
    <sheetView view="pageBreakPreview" topLeftCell="A12" zoomScale="85" zoomScaleNormal="100" zoomScaleSheetLayoutView="85" workbookViewId="0">
      <selection activeCell="F16" sqref="F16"/>
    </sheetView>
  </sheetViews>
  <sheetFormatPr baseColWidth="10" defaultColWidth="5.7109375" defaultRowHeight="15" x14ac:dyDescent="0.25"/>
  <cols>
    <col min="1" max="16" width="5.7109375" style="1" customWidth="1"/>
    <col min="17" max="17" width="5.7109375" style="1"/>
    <col min="18" max="37" width="5.7109375" style="1" customWidth="1"/>
    <col min="38" max="41" width="5.7109375" style="1"/>
    <col min="42" max="50" width="8.28515625" style="1" customWidth="1"/>
    <col min="51" max="51" width="5.7109375" style="1"/>
    <col min="52" max="52" width="6.7109375" style="1" bestFit="1" customWidth="1"/>
    <col min="53" max="53" width="5.7109375" style="1"/>
    <col min="54" max="54" width="8.28515625" style="1" customWidth="1"/>
    <col min="55" max="16384" width="5.7109375" style="1"/>
  </cols>
  <sheetData>
    <row r="1" spans="1:82"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c r="AP1" s="1" t="s">
        <v>140</v>
      </c>
      <c r="AT1" s="1" t="s">
        <v>142</v>
      </c>
      <c r="AZ1" s="1" t="s">
        <v>145</v>
      </c>
      <c r="BA1" s="1" t="str">
        <f>IF(F16="NSR 10",AP1,AT1)</f>
        <v>ESPECTRO NSR10</v>
      </c>
    </row>
    <row r="2" spans="1:82"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c r="W2" s="1">
        <v>1</v>
      </c>
      <c r="X2" s="1">
        <v>2</v>
      </c>
      <c r="Y2" s="1">
        <v>3</v>
      </c>
      <c r="Z2" s="1">
        <v>4</v>
      </c>
      <c r="AA2" s="1">
        <v>5</v>
      </c>
      <c r="AB2" s="1">
        <v>6</v>
      </c>
      <c r="AC2" s="1">
        <v>7</v>
      </c>
      <c r="AD2" s="1">
        <v>8</v>
      </c>
      <c r="AE2" s="1">
        <v>9</v>
      </c>
      <c r="AF2" s="1">
        <v>10</v>
      </c>
      <c r="AG2" s="1">
        <v>11</v>
      </c>
      <c r="AH2" s="1">
        <v>12</v>
      </c>
      <c r="AI2" s="1">
        <v>13</v>
      </c>
      <c r="AL2" s="1" t="s">
        <v>46</v>
      </c>
      <c r="AP2" s="1" t="s">
        <v>139</v>
      </c>
      <c r="AQ2" s="1" t="s">
        <v>141</v>
      </c>
      <c r="AT2" s="1" t="s">
        <v>139</v>
      </c>
      <c r="AU2" s="1" t="s">
        <v>143</v>
      </c>
      <c r="AV2" s="1" t="s">
        <v>144</v>
      </c>
      <c r="AW2" s="1" t="s">
        <v>141</v>
      </c>
      <c r="AZ2" s="1" t="s">
        <v>139</v>
      </c>
      <c r="BA2" s="1" t="s">
        <v>141</v>
      </c>
    </row>
    <row r="3" spans="1:82" x14ac:dyDescent="0.25">
      <c r="A3" s="214"/>
      <c r="B3" s="215"/>
      <c r="C3" s="215"/>
      <c r="D3" s="215"/>
      <c r="E3" s="216"/>
      <c r="F3" s="217" t="s">
        <v>1</v>
      </c>
      <c r="G3" s="210"/>
      <c r="H3" s="217" t="s">
        <v>551</v>
      </c>
      <c r="I3" s="209"/>
      <c r="J3" s="209"/>
      <c r="K3" s="209"/>
      <c r="L3" s="209"/>
      <c r="M3" s="209"/>
      <c r="N3" s="210"/>
      <c r="O3" s="217" t="s">
        <v>4</v>
      </c>
      <c r="P3" s="209"/>
      <c r="Q3" s="209" t="str">
        <f>'0. CARTA RESPONSABILIDAD'!Q3</f>
        <v>R0</v>
      </c>
      <c r="R3" s="209"/>
      <c r="S3" s="209"/>
      <c r="T3" s="209"/>
      <c r="U3" s="210"/>
      <c r="AL3" s="1" t="s">
        <v>61</v>
      </c>
      <c r="AM3" s="20">
        <f>0.48*M21*M24/(M20*M23)</f>
        <v>0.84744827586206906</v>
      </c>
      <c r="AN3" s="20"/>
      <c r="AO3" s="20"/>
      <c r="AP3" s="21">
        <v>0</v>
      </c>
      <c r="AQ3" s="21">
        <f>IF(AP3&lt;$AM$3,2.5*$M$20*$M$23,IF(AND(AP3&gt;=$AM$3,AP3&lt;$AM$4),1.2*$M$21*$M$24/AP3,1.2*$M$21*$M$24*$AM$4/AP3^2))</f>
        <v>0.90625</v>
      </c>
      <c r="AR3" s="21"/>
      <c r="AS3" s="21"/>
      <c r="AT3" s="21">
        <v>0</v>
      </c>
      <c r="AU3" s="21" t="e">
        <f t="shared" ref="AU3:AU34" si="0">IF(AT3&lt;$AM$8,2.5*$M$20*$M$23*$F$18,IF(AND(AT3&gt;=$AM$8,AT3&lt;$AM$9),1.2*$M$21*$M$24*$F$18/AT3,1.2*$M$21*$M$24*$AM$9*$F$18/AT3^2))</f>
        <v>#N/A</v>
      </c>
      <c r="AV3" s="21" t="e">
        <f t="shared" ref="AV3:AV34" si="1">IF(AT3&lt;$AN$8,2.5*$M$20*$AH$76*$F$18,IF(AND(AT3&gt;=$AN$8,AT3&lt;$AN$9),1.2*$M$21*$AH$77*$F$18/AT3,1.2*$M$21*$AH$77*$AN$9*$F$18/AT3^2))</f>
        <v>#N/A</v>
      </c>
      <c r="AW3" s="21" t="e">
        <f>MAX(AU3:AV3)</f>
        <v>#N/A</v>
      </c>
      <c r="AX3" s="21"/>
      <c r="AZ3" s="21">
        <v>0</v>
      </c>
      <c r="BA3" s="1">
        <f t="shared" ref="BA3:BA34" si="2">IF($F$16="NSR 10",AQ3,AW3)</f>
        <v>0.90625</v>
      </c>
      <c r="BB3" s="21"/>
    </row>
    <row r="4" spans="1:82" ht="13.9" x14ac:dyDescent="0.25">
      <c r="A4" s="2"/>
      <c r="B4" s="3"/>
      <c r="C4" s="3"/>
      <c r="D4" s="3"/>
      <c r="E4" s="3"/>
      <c r="F4" s="3"/>
      <c r="G4" s="3"/>
      <c r="H4" s="3"/>
      <c r="I4" s="3"/>
      <c r="J4" s="3"/>
      <c r="K4" s="3"/>
      <c r="L4" s="3"/>
      <c r="M4" s="3"/>
      <c r="N4" s="3"/>
      <c r="O4" s="3"/>
      <c r="P4" s="3"/>
      <c r="Q4" s="3"/>
      <c r="R4" s="3"/>
      <c r="S4" s="3"/>
      <c r="T4" s="3"/>
      <c r="U4" s="4"/>
      <c r="W4" s="259" t="s">
        <v>75</v>
      </c>
      <c r="X4" s="259"/>
      <c r="Y4" s="259"/>
      <c r="Z4" s="259"/>
      <c r="AA4" s="259"/>
      <c r="AB4" s="259"/>
      <c r="AC4" s="259"/>
      <c r="AD4" s="259"/>
      <c r="AE4" s="259"/>
      <c r="AF4" s="259"/>
      <c r="AG4" s="259"/>
      <c r="AL4" s="1" t="s">
        <v>62</v>
      </c>
      <c r="AM4" s="20">
        <f>2.4*M24</f>
        <v>7.68</v>
      </c>
      <c r="AN4" s="20"/>
      <c r="AO4" s="20"/>
      <c r="AP4" s="21">
        <f>AP3+0.05</f>
        <v>0.05</v>
      </c>
      <c r="AQ4" s="21">
        <f t="shared" ref="AQ4:AQ67" si="3">IF(AP4&lt;$AM$3,2.5*$M$20*$M$23,IF(AND(AP4&gt;=$AM$3,AP4&lt;$AM$4),1.2*$M$21*$M$24/AP4,1.2*$M$21*$M$24*$AM$4/AP4^2))</f>
        <v>0.90625</v>
      </c>
      <c r="AR4" s="21"/>
      <c r="AS4" s="21"/>
      <c r="AT4" s="21">
        <f>AT3+0.05</f>
        <v>0.05</v>
      </c>
      <c r="AU4" s="21" t="e">
        <f t="shared" si="0"/>
        <v>#N/A</v>
      </c>
      <c r="AV4" s="21" t="e">
        <f t="shared" si="1"/>
        <v>#N/A</v>
      </c>
      <c r="AW4" s="21" t="e">
        <f t="shared" ref="AW4:AW67" si="4">MAX(AU4:AV4)</f>
        <v>#N/A</v>
      </c>
      <c r="AX4" s="21"/>
      <c r="AZ4" s="21">
        <f>AZ3+0.05</f>
        <v>0.05</v>
      </c>
      <c r="BA4" s="1">
        <f t="shared" si="2"/>
        <v>0.90625</v>
      </c>
      <c r="BB4" s="21"/>
    </row>
    <row r="5" spans="1:82" x14ac:dyDescent="0.25">
      <c r="A5" s="5"/>
      <c r="B5" s="225" t="s">
        <v>544</v>
      </c>
      <c r="C5" s="225"/>
      <c r="D5" s="225"/>
      <c r="E5" s="225"/>
      <c r="F5" s="225"/>
      <c r="G5" s="225"/>
      <c r="H5" s="225"/>
      <c r="I5" s="225"/>
      <c r="J5" s="225"/>
      <c r="K5" s="225"/>
      <c r="L5" s="225"/>
      <c r="M5" s="225"/>
      <c r="N5" s="225"/>
      <c r="O5" s="225"/>
      <c r="P5" s="225"/>
      <c r="Q5" s="225"/>
      <c r="R5" s="225"/>
      <c r="S5" s="225"/>
      <c r="T5" s="225"/>
      <c r="U5" s="7"/>
      <c r="W5" s="277" t="s">
        <v>51</v>
      </c>
      <c r="X5" s="259" t="s">
        <v>56</v>
      </c>
      <c r="Y5" s="259"/>
      <c r="Z5" s="259"/>
      <c r="AA5" s="259"/>
      <c r="AB5" s="259"/>
      <c r="AC5" s="259"/>
      <c r="AD5" s="259"/>
      <c r="AE5" s="259"/>
      <c r="AF5" s="259"/>
      <c r="AG5" s="259"/>
      <c r="AI5" s="1" t="s">
        <v>56</v>
      </c>
      <c r="AM5" s="20"/>
      <c r="AN5" s="20"/>
      <c r="AO5" s="20"/>
      <c r="AP5" s="21">
        <f t="shared" ref="AP5:AP68" si="5">AP4+0.05</f>
        <v>0.1</v>
      </c>
      <c r="AQ5" s="21">
        <f t="shared" si="3"/>
        <v>0.90625</v>
      </c>
      <c r="AR5" s="21"/>
      <c r="AS5" s="21"/>
      <c r="AT5" s="21">
        <f t="shared" ref="AT5:AT68" si="6">AT4+0.05</f>
        <v>0.1</v>
      </c>
      <c r="AU5" s="21" t="e">
        <f t="shared" si="0"/>
        <v>#N/A</v>
      </c>
      <c r="AV5" s="21" t="e">
        <f t="shared" si="1"/>
        <v>#N/A</v>
      </c>
      <c r="AW5" s="21" t="e">
        <f t="shared" si="4"/>
        <v>#N/A</v>
      </c>
      <c r="AX5" s="21"/>
      <c r="AZ5" s="21">
        <f t="shared" ref="AZ5:AZ68" si="7">AZ4+0.05</f>
        <v>0.1</v>
      </c>
      <c r="BA5" s="1">
        <f t="shared" si="2"/>
        <v>0.90625</v>
      </c>
      <c r="BB5" s="21"/>
    </row>
    <row r="6" spans="1:82" x14ac:dyDescent="0.25">
      <c r="A6" s="5"/>
      <c r="B6" s="225"/>
      <c r="C6" s="225"/>
      <c r="D6" s="225"/>
      <c r="E6" s="225"/>
      <c r="F6" s="225"/>
      <c r="G6" s="225"/>
      <c r="H6" s="225"/>
      <c r="I6" s="225"/>
      <c r="J6" s="225"/>
      <c r="K6" s="225"/>
      <c r="L6" s="225"/>
      <c r="M6" s="225"/>
      <c r="N6" s="225"/>
      <c r="O6" s="225"/>
      <c r="P6" s="225"/>
      <c r="Q6" s="225"/>
      <c r="R6" s="225"/>
      <c r="S6" s="225"/>
      <c r="T6" s="225"/>
      <c r="U6" s="7"/>
      <c r="W6" s="277"/>
      <c r="X6" s="20">
        <v>0.05</v>
      </c>
      <c r="Y6" s="20">
        <f>+X6+0.05</f>
        <v>0.1</v>
      </c>
      <c r="Z6" s="20">
        <f t="shared" ref="Z6:AG6" si="8">+Y6+0.05</f>
        <v>0.15000000000000002</v>
      </c>
      <c r="AA6" s="20">
        <f t="shared" si="8"/>
        <v>0.2</v>
      </c>
      <c r="AB6" s="20">
        <f t="shared" si="8"/>
        <v>0.25</v>
      </c>
      <c r="AC6" s="20">
        <f t="shared" si="8"/>
        <v>0.3</v>
      </c>
      <c r="AD6" s="20">
        <f t="shared" si="8"/>
        <v>0.35</v>
      </c>
      <c r="AE6" s="20">
        <f t="shared" si="8"/>
        <v>0.39999999999999997</v>
      </c>
      <c r="AF6" s="20">
        <f t="shared" si="8"/>
        <v>0.44999999999999996</v>
      </c>
      <c r="AG6" s="20">
        <f t="shared" si="8"/>
        <v>0.49999999999999994</v>
      </c>
      <c r="AI6" s="20">
        <f>M20</f>
        <v>0.25</v>
      </c>
      <c r="AL6" s="1" t="s">
        <v>135</v>
      </c>
      <c r="AM6" s="20"/>
      <c r="AN6" s="20"/>
      <c r="AO6" s="20"/>
      <c r="AP6" s="21">
        <f t="shared" si="5"/>
        <v>0.15000000000000002</v>
      </c>
      <c r="AQ6" s="21">
        <f t="shared" si="3"/>
        <v>0.90625</v>
      </c>
      <c r="AR6" s="21"/>
      <c r="AS6" s="21"/>
      <c r="AT6" s="21">
        <f t="shared" si="6"/>
        <v>0.15000000000000002</v>
      </c>
      <c r="AU6" s="21" t="e">
        <f t="shared" si="0"/>
        <v>#N/A</v>
      </c>
      <c r="AV6" s="21" t="e">
        <f t="shared" si="1"/>
        <v>#N/A</v>
      </c>
      <c r="AW6" s="21" t="e">
        <f t="shared" si="4"/>
        <v>#N/A</v>
      </c>
      <c r="AX6" s="21"/>
      <c r="AZ6" s="21">
        <f t="shared" si="7"/>
        <v>0.15000000000000002</v>
      </c>
      <c r="BA6" s="1">
        <f t="shared" si="2"/>
        <v>0.90625</v>
      </c>
      <c r="BB6" s="21"/>
    </row>
    <row r="7" spans="1:82" ht="13.9" x14ac:dyDescent="0.25">
      <c r="A7" s="5"/>
      <c r="U7" s="7"/>
      <c r="W7" s="1" t="s">
        <v>52</v>
      </c>
      <c r="X7" s="20">
        <v>0.8</v>
      </c>
      <c r="Y7" s="20">
        <v>0.8</v>
      </c>
      <c r="Z7" s="20">
        <f>AVERAGE(Y7,AA7)</f>
        <v>0.8</v>
      </c>
      <c r="AA7" s="20">
        <v>0.8</v>
      </c>
      <c r="AB7" s="20">
        <f>AVERAGE(AA7,AC7)</f>
        <v>0.8</v>
      </c>
      <c r="AC7" s="20">
        <v>0.8</v>
      </c>
      <c r="AD7" s="20">
        <f>AVERAGE(AC7,AE7)</f>
        <v>0.8</v>
      </c>
      <c r="AE7" s="20">
        <v>0.8</v>
      </c>
      <c r="AF7" s="20">
        <f>AVERAGE(AE7,AG7)</f>
        <v>0.8</v>
      </c>
      <c r="AG7" s="20">
        <v>0.8</v>
      </c>
      <c r="AI7" s="20">
        <f>HLOOKUP(AI$6,$X6:$AG7,2,)</f>
        <v>0.8</v>
      </c>
      <c r="AM7" s="1">
        <v>1</v>
      </c>
      <c r="AN7" s="1">
        <v>2</v>
      </c>
      <c r="AO7" s="20"/>
      <c r="AP7" s="21">
        <f t="shared" si="5"/>
        <v>0.2</v>
      </c>
      <c r="AQ7" s="21">
        <f t="shared" si="3"/>
        <v>0.90625</v>
      </c>
      <c r="AR7" s="21"/>
      <c r="AS7" s="21"/>
      <c r="AT7" s="21">
        <f t="shared" si="6"/>
        <v>0.2</v>
      </c>
      <c r="AU7" s="21" t="e">
        <f t="shared" si="0"/>
        <v>#N/A</v>
      </c>
      <c r="AV7" s="21" t="e">
        <f t="shared" si="1"/>
        <v>#N/A</v>
      </c>
      <c r="AW7" s="21" t="e">
        <f t="shared" si="4"/>
        <v>#N/A</v>
      </c>
      <c r="AX7" s="21"/>
      <c r="AZ7" s="21">
        <f t="shared" si="7"/>
        <v>0.2</v>
      </c>
      <c r="BA7" s="1">
        <f t="shared" si="2"/>
        <v>0.90625</v>
      </c>
      <c r="BB7" s="21"/>
    </row>
    <row r="8" spans="1:82" ht="13.9" customHeight="1" x14ac:dyDescent="0.25">
      <c r="A8" s="5"/>
      <c r="B8" s="228" t="str">
        <f>"Para la evaluación de la carga sísmica en la bodega se tiene en cuenta que el proyecto se encuentra ubicado en el municipio de "&amp;'0. INICIO'!L9&amp;", el cual, según el apéndice A-4 (Valores de Aa, Av, Ae y Ad y definición de la zona de amenaza sísmica de los municipios colombianos), se presenta como una zona de amenaza sísmica "&amp;'0. INICIO'!L22&amp;". Así mismo, teniendo en cuenta la información suministrada en el informe geotécnico, se obtienen los coeficientes necesarios para considerar los fectos de sitio (Aa y Av)."</f>
        <v>Para la evaluación de la carga sísmica en la bodega se tiene en cuenta que el proyecto se encuentra ubicado en el municipio de Miranda, Cauca, el cual, según el apéndice A-4 (Valores de Aa, Av, Ae y Ad y definición de la zona de amenaza sísmica de los municipios colombianos), se presenta como una zona de amenaza sísmica ALTA. Así mismo, teniendo en cuenta la información suministrada en el informe geotécnico, se obtienen los coeficientes necesarios para considerar los fectos de sitio (Aa y Av).</v>
      </c>
      <c r="C8" s="228"/>
      <c r="D8" s="228"/>
      <c r="E8" s="228"/>
      <c r="F8" s="228"/>
      <c r="G8" s="228"/>
      <c r="H8" s="228"/>
      <c r="I8" s="228"/>
      <c r="J8" s="228"/>
      <c r="K8" s="228"/>
      <c r="L8" s="228"/>
      <c r="M8" s="228"/>
      <c r="N8" s="228"/>
      <c r="O8" s="228"/>
      <c r="P8" s="228"/>
      <c r="Q8" s="228"/>
      <c r="R8" s="228"/>
      <c r="S8" s="228"/>
      <c r="T8" s="228"/>
      <c r="U8" s="7"/>
      <c r="W8" s="1" t="s">
        <v>53</v>
      </c>
      <c r="X8" s="20">
        <v>1</v>
      </c>
      <c r="Y8" s="20">
        <v>1</v>
      </c>
      <c r="Z8" s="20">
        <f t="shared" ref="Z8:AB11" si="9">AVERAGE(Y8,AA8)</f>
        <v>1</v>
      </c>
      <c r="AA8" s="20">
        <v>1</v>
      </c>
      <c r="AB8" s="20">
        <f t="shared" si="9"/>
        <v>1</v>
      </c>
      <c r="AC8" s="20">
        <v>1</v>
      </c>
      <c r="AD8" s="20">
        <f t="shared" ref="AD8:AD11" si="10">AVERAGE(AC8,AE8)</f>
        <v>1</v>
      </c>
      <c r="AE8" s="20">
        <v>1</v>
      </c>
      <c r="AF8" s="20">
        <f t="shared" ref="AF8:AF11" si="11">AVERAGE(AE8,AG8)</f>
        <v>1</v>
      </c>
      <c r="AG8" s="20">
        <v>1</v>
      </c>
      <c r="AI8" s="20">
        <f>HLOOKUP(AI$6,$X6:$AG8,3,)</f>
        <v>1</v>
      </c>
      <c r="AL8" s="1" t="s">
        <v>61</v>
      </c>
      <c r="AM8" s="20" t="e">
        <f>VLOOKUP($F$17,$W$25:$Y$34,3,)</f>
        <v>#N/A</v>
      </c>
      <c r="AN8" s="20" t="e">
        <f>VLOOKUP($F$17,$W$39:$Y$48,3,)</f>
        <v>#N/A</v>
      </c>
      <c r="AO8" s="20"/>
      <c r="AP8" s="21">
        <f t="shared" si="5"/>
        <v>0.25</v>
      </c>
      <c r="AQ8" s="21">
        <f t="shared" si="3"/>
        <v>0.90625</v>
      </c>
      <c r="AR8" s="21"/>
      <c r="AS8" s="21"/>
      <c r="AT8" s="21">
        <f t="shared" si="6"/>
        <v>0.25</v>
      </c>
      <c r="AU8" s="21" t="e">
        <f t="shared" si="0"/>
        <v>#N/A</v>
      </c>
      <c r="AV8" s="21" t="e">
        <f t="shared" si="1"/>
        <v>#N/A</v>
      </c>
      <c r="AW8" s="21" t="e">
        <f t="shared" si="4"/>
        <v>#N/A</v>
      </c>
      <c r="AX8" s="21"/>
      <c r="AZ8" s="21">
        <f t="shared" si="7"/>
        <v>0.25</v>
      </c>
      <c r="BA8" s="1">
        <f t="shared" si="2"/>
        <v>0.90625</v>
      </c>
      <c r="BB8" s="21"/>
    </row>
    <row r="9" spans="1:82" x14ac:dyDescent="0.25">
      <c r="A9" s="5"/>
      <c r="B9" s="228"/>
      <c r="C9" s="228"/>
      <c r="D9" s="228"/>
      <c r="E9" s="228"/>
      <c r="F9" s="228"/>
      <c r="G9" s="228"/>
      <c r="H9" s="228"/>
      <c r="I9" s="228"/>
      <c r="J9" s="228"/>
      <c r="K9" s="228"/>
      <c r="L9" s="228"/>
      <c r="M9" s="228"/>
      <c r="N9" s="228"/>
      <c r="O9" s="228"/>
      <c r="P9" s="228"/>
      <c r="Q9" s="228"/>
      <c r="R9" s="228"/>
      <c r="S9" s="228"/>
      <c r="T9" s="228"/>
      <c r="U9" s="7"/>
      <c r="W9" s="1" t="s">
        <v>54</v>
      </c>
      <c r="X9" s="20">
        <v>1.2</v>
      </c>
      <c r="Y9" s="20">
        <v>1.2</v>
      </c>
      <c r="Z9" s="20">
        <f t="shared" si="9"/>
        <v>1.2</v>
      </c>
      <c r="AA9" s="20">
        <v>1.2</v>
      </c>
      <c r="AB9" s="20">
        <f t="shared" si="9"/>
        <v>1.1499999999999999</v>
      </c>
      <c r="AC9" s="20">
        <v>1.1000000000000001</v>
      </c>
      <c r="AD9" s="20">
        <f t="shared" si="10"/>
        <v>1.05</v>
      </c>
      <c r="AE9" s="20">
        <v>1</v>
      </c>
      <c r="AF9" s="20">
        <f t="shared" si="11"/>
        <v>1</v>
      </c>
      <c r="AG9" s="20">
        <v>1</v>
      </c>
      <c r="AI9" s="20">
        <f>HLOOKUP(AI$6,$X6:$AG9,4,)</f>
        <v>1.1499999999999999</v>
      </c>
      <c r="AL9" s="1" t="s">
        <v>138</v>
      </c>
      <c r="AM9" s="20" t="e">
        <f>VLOOKUP($F$17,$W$25:$AA$34,5,)</f>
        <v>#N/A</v>
      </c>
      <c r="AN9" s="20" t="e">
        <f>VLOOKUP($F$17,$W$39:$AA$48,5,)</f>
        <v>#N/A</v>
      </c>
      <c r="AO9" s="20"/>
      <c r="AP9" s="21">
        <f t="shared" si="5"/>
        <v>0.3</v>
      </c>
      <c r="AQ9" s="21">
        <f t="shared" si="3"/>
        <v>0.90625</v>
      </c>
      <c r="AR9" s="21"/>
      <c r="AS9" s="21"/>
      <c r="AT9" s="21">
        <f t="shared" si="6"/>
        <v>0.3</v>
      </c>
      <c r="AU9" s="21" t="e">
        <f t="shared" si="0"/>
        <v>#N/A</v>
      </c>
      <c r="AV9" s="21" t="e">
        <f t="shared" si="1"/>
        <v>#N/A</v>
      </c>
      <c r="AW9" s="21" t="e">
        <f t="shared" si="4"/>
        <v>#N/A</v>
      </c>
      <c r="AX9" s="21"/>
      <c r="AZ9" s="21">
        <f t="shared" si="7"/>
        <v>0.3</v>
      </c>
      <c r="BA9" s="1">
        <f t="shared" si="2"/>
        <v>0.90625</v>
      </c>
      <c r="BB9" s="21"/>
    </row>
    <row r="10" spans="1:82" x14ac:dyDescent="0.25">
      <c r="A10" s="5"/>
      <c r="B10" s="228"/>
      <c r="C10" s="228"/>
      <c r="D10" s="228"/>
      <c r="E10" s="228"/>
      <c r="F10" s="228"/>
      <c r="G10" s="228"/>
      <c r="H10" s="228"/>
      <c r="I10" s="228"/>
      <c r="J10" s="228"/>
      <c r="K10" s="228"/>
      <c r="L10" s="228"/>
      <c r="M10" s="228"/>
      <c r="N10" s="228"/>
      <c r="O10" s="228"/>
      <c r="P10" s="228"/>
      <c r="Q10" s="228"/>
      <c r="R10" s="228"/>
      <c r="S10" s="228"/>
      <c r="T10" s="228"/>
      <c r="U10" s="7"/>
      <c r="W10" s="1" t="s">
        <v>55</v>
      </c>
      <c r="X10" s="20">
        <v>1.6</v>
      </c>
      <c r="Y10" s="20">
        <v>1.6</v>
      </c>
      <c r="Z10" s="20">
        <f t="shared" si="9"/>
        <v>1.5</v>
      </c>
      <c r="AA10" s="20">
        <v>1.4</v>
      </c>
      <c r="AB10" s="20">
        <f t="shared" si="9"/>
        <v>1.2999999999999998</v>
      </c>
      <c r="AC10" s="20">
        <v>1.2</v>
      </c>
      <c r="AD10" s="20">
        <f t="shared" si="10"/>
        <v>1.1499999999999999</v>
      </c>
      <c r="AE10" s="20">
        <v>1.1000000000000001</v>
      </c>
      <c r="AF10" s="20">
        <f t="shared" si="11"/>
        <v>1.05</v>
      </c>
      <c r="AG10" s="20">
        <v>1</v>
      </c>
      <c r="AI10" s="20">
        <f>HLOOKUP(AI$6,$X6:$AG10,5,)</f>
        <v>1.2999999999999998</v>
      </c>
      <c r="AM10" s="20"/>
      <c r="AN10" s="20"/>
      <c r="AO10" s="20"/>
      <c r="AP10" s="21">
        <f t="shared" si="5"/>
        <v>0.35</v>
      </c>
      <c r="AQ10" s="21">
        <f t="shared" si="3"/>
        <v>0.90625</v>
      </c>
      <c r="AR10" s="21"/>
      <c r="AS10" s="21"/>
      <c r="AT10" s="21">
        <f t="shared" si="6"/>
        <v>0.35</v>
      </c>
      <c r="AU10" s="21" t="e">
        <f t="shared" si="0"/>
        <v>#N/A</v>
      </c>
      <c r="AV10" s="21" t="e">
        <f t="shared" si="1"/>
        <v>#N/A</v>
      </c>
      <c r="AW10" s="21" t="e">
        <f t="shared" si="4"/>
        <v>#N/A</v>
      </c>
      <c r="AX10" s="21"/>
      <c r="AZ10" s="21">
        <f t="shared" si="7"/>
        <v>0.35</v>
      </c>
      <c r="BA10" s="1">
        <f t="shared" si="2"/>
        <v>0.90625</v>
      </c>
      <c r="BB10" s="21"/>
    </row>
    <row r="11" spans="1:82" x14ac:dyDescent="0.25">
      <c r="A11" s="5"/>
      <c r="B11" s="228"/>
      <c r="C11" s="228"/>
      <c r="D11" s="228"/>
      <c r="E11" s="228"/>
      <c r="F11" s="228"/>
      <c r="G11" s="228"/>
      <c r="H11" s="228"/>
      <c r="I11" s="228"/>
      <c r="J11" s="228"/>
      <c r="K11" s="228"/>
      <c r="L11" s="228"/>
      <c r="M11" s="228"/>
      <c r="N11" s="228"/>
      <c r="O11" s="228"/>
      <c r="P11" s="228"/>
      <c r="Q11" s="228"/>
      <c r="R11" s="228"/>
      <c r="S11" s="228"/>
      <c r="T11" s="228"/>
      <c r="U11" s="7"/>
      <c r="W11" s="1" t="s">
        <v>27</v>
      </c>
      <c r="X11" s="20">
        <v>2.5</v>
      </c>
      <c r="Y11" s="20">
        <v>2.5</v>
      </c>
      <c r="Z11" s="20">
        <f t="shared" si="9"/>
        <v>2.1</v>
      </c>
      <c r="AA11" s="20">
        <v>1.7</v>
      </c>
      <c r="AB11" s="20">
        <f t="shared" si="9"/>
        <v>1.45</v>
      </c>
      <c r="AC11" s="20">
        <v>1.2</v>
      </c>
      <c r="AD11" s="20">
        <f t="shared" si="10"/>
        <v>1.05</v>
      </c>
      <c r="AE11" s="20">
        <v>0.9</v>
      </c>
      <c r="AF11" s="20">
        <f t="shared" si="11"/>
        <v>0.9</v>
      </c>
      <c r="AG11" s="20">
        <v>0.9</v>
      </c>
      <c r="AI11" s="20">
        <f>HLOOKUP(AI$6,$X6:$AG11,6,)</f>
        <v>1.45</v>
      </c>
      <c r="AM11" s="20"/>
      <c r="AN11" s="20"/>
      <c r="AO11" s="20"/>
      <c r="AP11" s="21">
        <f t="shared" si="5"/>
        <v>0.39999999999999997</v>
      </c>
      <c r="AQ11" s="21">
        <f t="shared" si="3"/>
        <v>0.90625</v>
      </c>
      <c r="AR11" s="21"/>
      <c r="AS11" s="21"/>
      <c r="AT11" s="21">
        <f t="shared" si="6"/>
        <v>0.39999999999999997</v>
      </c>
      <c r="AU11" s="21" t="e">
        <f t="shared" si="0"/>
        <v>#N/A</v>
      </c>
      <c r="AV11" s="21" t="e">
        <f t="shared" si="1"/>
        <v>#N/A</v>
      </c>
      <c r="AW11" s="21" t="e">
        <f t="shared" si="4"/>
        <v>#N/A</v>
      </c>
      <c r="AX11" s="21"/>
      <c r="AZ11" s="21">
        <f t="shared" si="7"/>
        <v>0.39999999999999997</v>
      </c>
      <c r="BA11" s="1">
        <f t="shared" si="2"/>
        <v>0.90625</v>
      </c>
      <c r="BB11" s="21"/>
    </row>
    <row r="12" spans="1:82" ht="13.9" x14ac:dyDescent="0.25">
      <c r="A12" s="5"/>
      <c r="B12" s="99"/>
      <c r="C12" s="99"/>
      <c r="D12" s="99"/>
      <c r="E12" s="99"/>
      <c r="F12" s="99"/>
      <c r="G12" s="99"/>
      <c r="H12" s="99"/>
      <c r="I12" s="99"/>
      <c r="J12" s="99"/>
      <c r="K12" s="99"/>
      <c r="L12" s="99"/>
      <c r="M12" s="99"/>
      <c r="N12" s="99"/>
      <c r="O12" s="99"/>
      <c r="P12" s="99"/>
      <c r="Q12" s="99"/>
      <c r="R12" s="99"/>
      <c r="S12" s="99"/>
      <c r="T12" s="99"/>
      <c r="U12" s="7"/>
      <c r="AM12" s="20"/>
      <c r="AN12" s="20"/>
      <c r="AO12" s="20"/>
      <c r="AP12" s="21">
        <f t="shared" si="5"/>
        <v>0.44999999999999996</v>
      </c>
      <c r="AQ12" s="21">
        <f t="shared" si="3"/>
        <v>0.90625</v>
      </c>
      <c r="AR12" s="21"/>
      <c r="AS12" s="21"/>
      <c r="AT12" s="21">
        <f t="shared" si="6"/>
        <v>0.44999999999999996</v>
      </c>
      <c r="AU12" s="21" t="e">
        <f t="shared" si="0"/>
        <v>#N/A</v>
      </c>
      <c r="AV12" s="21" t="e">
        <f t="shared" si="1"/>
        <v>#N/A</v>
      </c>
      <c r="AW12" s="21" t="e">
        <f t="shared" si="4"/>
        <v>#N/A</v>
      </c>
      <c r="AX12" s="21"/>
      <c r="AZ12" s="21">
        <f t="shared" si="7"/>
        <v>0.44999999999999996</v>
      </c>
      <c r="BA12" s="1">
        <f t="shared" si="2"/>
        <v>0.90625</v>
      </c>
      <c r="BB12" s="21"/>
    </row>
    <row r="13" spans="1:82" ht="13.9" customHeight="1" x14ac:dyDescent="0.25">
      <c r="A13" s="5"/>
      <c r="B13" s="228" t="s">
        <v>532</v>
      </c>
      <c r="C13" s="228"/>
      <c r="D13" s="228"/>
      <c r="E13" s="228"/>
      <c r="F13" s="228"/>
      <c r="G13" s="228"/>
      <c r="H13" s="228"/>
      <c r="I13" s="228"/>
      <c r="J13" s="228"/>
      <c r="K13" s="228"/>
      <c r="L13" s="228"/>
      <c r="M13" s="228"/>
      <c r="N13" s="228"/>
      <c r="O13" s="228"/>
      <c r="P13" s="228"/>
      <c r="Q13" s="228"/>
      <c r="R13" s="228"/>
      <c r="S13" s="228"/>
      <c r="T13" s="228"/>
      <c r="U13" s="7"/>
      <c r="W13" s="259" t="s">
        <v>76</v>
      </c>
      <c r="X13" s="259"/>
      <c r="Y13" s="259"/>
      <c r="Z13" s="259"/>
      <c r="AA13" s="259"/>
      <c r="AB13" s="259"/>
      <c r="AC13" s="259"/>
      <c r="AD13" s="259"/>
      <c r="AE13" s="259"/>
      <c r="AF13" s="259"/>
      <c r="AG13" s="259"/>
      <c r="AM13" s="20"/>
      <c r="AN13" s="20"/>
      <c r="AO13" s="20"/>
      <c r="AP13" s="21">
        <f t="shared" si="5"/>
        <v>0.49999999999999994</v>
      </c>
      <c r="AQ13" s="21">
        <f t="shared" si="3"/>
        <v>0.90625</v>
      </c>
      <c r="AR13" s="21"/>
      <c r="AS13" s="21"/>
      <c r="AT13" s="21">
        <f t="shared" si="6"/>
        <v>0.49999999999999994</v>
      </c>
      <c r="AU13" s="21" t="e">
        <f t="shared" si="0"/>
        <v>#N/A</v>
      </c>
      <c r="AV13" s="21" t="e">
        <f t="shared" si="1"/>
        <v>#N/A</v>
      </c>
      <c r="AW13" s="21" t="e">
        <f t="shared" si="4"/>
        <v>#N/A</v>
      </c>
      <c r="AX13" s="21"/>
      <c r="AZ13" s="21">
        <f t="shared" si="7"/>
        <v>0.49999999999999994</v>
      </c>
      <c r="BA13" s="1">
        <f t="shared" si="2"/>
        <v>0.90625</v>
      </c>
      <c r="BB13" s="21"/>
    </row>
    <row r="14" spans="1:82" x14ac:dyDescent="0.25">
      <c r="A14" s="5"/>
      <c r="B14" s="228"/>
      <c r="C14" s="228"/>
      <c r="D14" s="228"/>
      <c r="E14" s="228"/>
      <c r="F14" s="228"/>
      <c r="G14" s="228"/>
      <c r="H14" s="228"/>
      <c r="I14" s="228"/>
      <c r="J14" s="228"/>
      <c r="K14" s="228"/>
      <c r="L14" s="228"/>
      <c r="M14" s="228"/>
      <c r="N14" s="228"/>
      <c r="O14" s="228"/>
      <c r="P14" s="228"/>
      <c r="Q14" s="228"/>
      <c r="R14" s="228"/>
      <c r="S14" s="228"/>
      <c r="T14" s="228"/>
      <c r="U14" s="7"/>
      <c r="W14" s="277" t="s">
        <v>51</v>
      </c>
      <c r="X14" s="259" t="s">
        <v>57</v>
      </c>
      <c r="Y14" s="259"/>
      <c r="Z14" s="259"/>
      <c r="AA14" s="259"/>
      <c r="AB14" s="259"/>
      <c r="AC14" s="259"/>
      <c r="AD14" s="259"/>
      <c r="AE14" s="259"/>
      <c r="AF14" s="259"/>
      <c r="AG14" s="259"/>
      <c r="AI14" s="1" t="s">
        <v>57</v>
      </c>
      <c r="AM14" s="20"/>
      <c r="AN14" s="20"/>
      <c r="AO14" s="20"/>
      <c r="AP14" s="21">
        <f t="shared" si="5"/>
        <v>0.54999999999999993</v>
      </c>
      <c r="AQ14" s="21">
        <f t="shared" si="3"/>
        <v>0.90625</v>
      </c>
      <c r="AR14" s="21"/>
      <c r="AS14" s="21"/>
      <c r="AT14" s="21">
        <f t="shared" si="6"/>
        <v>0.54999999999999993</v>
      </c>
      <c r="AU14" s="21" t="e">
        <f t="shared" si="0"/>
        <v>#N/A</v>
      </c>
      <c r="AV14" s="21" t="e">
        <f t="shared" si="1"/>
        <v>#N/A</v>
      </c>
      <c r="AW14" s="21" t="e">
        <f t="shared" si="4"/>
        <v>#N/A</v>
      </c>
      <c r="AX14" s="21"/>
      <c r="AZ14" s="21">
        <f t="shared" si="7"/>
        <v>0.54999999999999993</v>
      </c>
      <c r="BA14" s="1">
        <f t="shared" si="2"/>
        <v>0.90625</v>
      </c>
      <c r="BB14" s="21"/>
    </row>
    <row r="15" spans="1:82" x14ac:dyDescent="0.25">
      <c r="A15" s="5"/>
      <c r="B15" s="99"/>
      <c r="C15" s="99"/>
      <c r="D15" s="99"/>
      <c r="E15" s="99"/>
      <c r="F15" s="99"/>
      <c r="G15" s="99"/>
      <c r="H15" s="99"/>
      <c r="I15" s="99"/>
      <c r="J15" s="99"/>
      <c r="K15" s="99"/>
      <c r="L15" s="99"/>
      <c r="M15" s="99"/>
      <c r="N15" s="99"/>
      <c r="O15" s="99"/>
      <c r="P15" s="99"/>
      <c r="Q15" s="99"/>
      <c r="R15" s="99"/>
      <c r="S15" s="99"/>
      <c r="T15" s="99"/>
      <c r="U15" s="7"/>
      <c r="W15" s="277"/>
      <c r="X15" s="20">
        <v>0.05</v>
      </c>
      <c r="Y15" s="20">
        <f>+X15+0.05</f>
        <v>0.1</v>
      </c>
      <c r="Z15" s="20">
        <f t="shared" ref="Z15:AG15" si="12">+Y15+0.05</f>
        <v>0.15000000000000002</v>
      </c>
      <c r="AA15" s="20">
        <f t="shared" si="12"/>
        <v>0.2</v>
      </c>
      <c r="AB15" s="20">
        <f t="shared" si="12"/>
        <v>0.25</v>
      </c>
      <c r="AC15" s="20">
        <f t="shared" si="12"/>
        <v>0.3</v>
      </c>
      <c r="AD15" s="20">
        <f t="shared" si="12"/>
        <v>0.35</v>
      </c>
      <c r="AE15" s="20">
        <f t="shared" si="12"/>
        <v>0.39999999999999997</v>
      </c>
      <c r="AF15" s="20">
        <f t="shared" si="12"/>
        <v>0.44999999999999996</v>
      </c>
      <c r="AG15" s="20">
        <f t="shared" si="12"/>
        <v>0.49999999999999994</v>
      </c>
      <c r="AI15" s="20">
        <f>M21</f>
        <v>0.2</v>
      </c>
      <c r="AM15" s="20"/>
      <c r="AN15" s="20"/>
      <c r="AO15" s="20"/>
      <c r="AP15" s="21">
        <f t="shared" si="5"/>
        <v>0.6</v>
      </c>
      <c r="AQ15" s="21">
        <f t="shared" si="3"/>
        <v>0.90625</v>
      </c>
      <c r="AR15" s="21"/>
      <c r="AS15" s="21"/>
      <c r="AT15" s="21">
        <f t="shared" si="6"/>
        <v>0.6</v>
      </c>
      <c r="AU15" s="21" t="e">
        <f t="shared" si="0"/>
        <v>#N/A</v>
      </c>
      <c r="AV15" s="21" t="e">
        <f t="shared" si="1"/>
        <v>#N/A</v>
      </c>
      <c r="AW15" s="21" t="e">
        <f t="shared" si="4"/>
        <v>#N/A</v>
      </c>
      <c r="AX15" s="21"/>
      <c r="AZ15" s="21">
        <f t="shared" si="7"/>
        <v>0.6</v>
      </c>
      <c r="BA15" s="1">
        <f t="shared" si="2"/>
        <v>0.90625</v>
      </c>
      <c r="BB15" s="21"/>
      <c r="CD15" s="20"/>
    </row>
    <row r="16" spans="1:82" x14ac:dyDescent="0.25">
      <c r="A16" s="5"/>
      <c r="B16" s="6" t="s">
        <v>184</v>
      </c>
      <c r="C16" s="6"/>
      <c r="D16" s="6"/>
      <c r="E16" s="6"/>
      <c r="F16" s="89" t="str">
        <f>'0. INICIO'!L18</f>
        <v>NSR 10</v>
      </c>
      <c r="N16" s="99"/>
      <c r="O16" s="99"/>
      <c r="P16" s="99"/>
      <c r="Q16" s="99"/>
      <c r="R16" s="99"/>
      <c r="S16" s="99"/>
      <c r="T16" s="99"/>
      <c r="U16" s="7"/>
      <c r="W16" s="1" t="s">
        <v>52</v>
      </c>
      <c r="X16" s="20"/>
      <c r="Y16" s="20">
        <v>0.8</v>
      </c>
      <c r="Z16" s="20">
        <f>AVERAGE(Y16,AA16)</f>
        <v>0.8</v>
      </c>
      <c r="AA16" s="20">
        <v>0.8</v>
      </c>
      <c r="AB16" s="20">
        <f>AVERAGE(AA16,AC16)</f>
        <v>0.8</v>
      </c>
      <c r="AC16" s="20">
        <v>0.8</v>
      </c>
      <c r="AD16" s="20">
        <f>AVERAGE(AC16,AE16)</f>
        <v>0.8</v>
      </c>
      <c r="AE16" s="20">
        <v>0.8</v>
      </c>
      <c r="AF16" s="20">
        <f>AVERAGE(AE16,AG16)</f>
        <v>0.8</v>
      </c>
      <c r="AG16" s="20">
        <v>0.8</v>
      </c>
      <c r="AI16" s="20">
        <f>HLOOKUP(AI$15,$X15:$AG16,2,)</f>
        <v>0.8</v>
      </c>
      <c r="AM16" s="20"/>
      <c r="AN16" s="20"/>
      <c r="AO16" s="20"/>
      <c r="AP16" s="21">
        <f t="shared" si="5"/>
        <v>0.65</v>
      </c>
      <c r="AQ16" s="21">
        <f t="shared" si="3"/>
        <v>0.90625</v>
      </c>
      <c r="AR16" s="21"/>
      <c r="AS16" s="21"/>
      <c r="AT16" s="21">
        <f t="shared" si="6"/>
        <v>0.65</v>
      </c>
      <c r="AU16" s="21" t="e">
        <f t="shared" si="0"/>
        <v>#N/A</v>
      </c>
      <c r="AV16" s="21" t="e">
        <f t="shared" si="1"/>
        <v>#N/A</v>
      </c>
      <c r="AW16" s="21" t="e">
        <f t="shared" si="4"/>
        <v>#N/A</v>
      </c>
      <c r="AX16" s="21"/>
      <c r="AZ16" s="21">
        <f t="shared" si="7"/>
        <v>0.65</v>
      </c>
      <c r="BA16" s="1">
        <f t="shared" si="2"/>
        <v>0.90625</v>
      </c>
      <c r="BB16" s="21"/>
      <c r="CD16" s="20"/>
    </row>
    <row r="17" spans="1:82" ht="13.9" x14ac:dyDescent="0.25">
      <c r="A17" s="5"/>
      <c r="B17" s="6" t="s">
        <v>185</v>
      </c>
      <c r="C17" s="6"/>
      <c r="D17" s="6"/>
      <c r="E17" s="6"/>
      <c r="F17" s="89" t="str">
        <f>'0. INICIO'!L19</f>
        <v>E</v>
      </c>
      <c r="U17" s="7"/>
      <c r="W17" s="1" t="s">
        <v>53</v>
      </c>
      <c r="X17" s="20"/>
      <c r="Y17" s="20">
        <v>1</v>
      </c>
      <c r="Z17" s="20">
        <f t="shared" ref="Z17:Z20" si="13">AVERAGE(Y17,AA17)</f>
        <v>1</v>
      </c>
      <c r="AA17" s="20">
        <v>1</v>
      </c>
      <c r="AB17" s="20">
        <f t="shared" ref="AB17:AB20" si="14">AVERAGE(AA17,AC17)</f>
        <v>1</v>
      </c>
      <c r="AC17" s="20">
        <v>1</v>
      </c>
      <c r="AD17" s="20">
        <f t="shared" ref="AD17:AD20" si="15">AVERAGE(AC17,AE17)</f>
        <v>1</v>
      </c>
      <c r="AE17" s="20">
        <v>1</v>
      </c>
      <c r="AF17" s="20">
        <f t="shared" ref="AF17:AF20" si="16">AVERAGE(AE17,AG17)</f>
        <v>1</v>
      </c>
      <c r="AG17" s="20">
        <v>1</v>
      </c>
      <c r="AI17" s="20">
        <f>HLOOKUP(AI$15,$X15:$AG17,3,)</f>
        <v>1</v>
      </c>
      <c r="AM17" s="20"/>
      <c r="AN17" s="20"/>
      <c r="AO17" s="20"/>
      <c r="AP17" s="21">
        <f t="shared" si="5"/>
        <v>0.70000000000000007</v>
      </c>
      <c r="AQ17" s="21">
        <f t="shared" si="3"/>
        <v>0.90625</v>
      </c>
      <c r="AR17" s="21"/>
      <c r="AS17" s="21"/>
      <c r="AT17" s="21">
        <f t="shared" si="6"/>
        <v>0.70000000000000007</v>
      </c>
      <c r="AU17" s="21" t="e">
        <f t="shared" si="0"/>
        <v>#N/A</v>
      </c>
      <c r="AV17" s="21" t="e">
        <f t="shared" si="1"/>
        <v>#N/A</v>
      </c>
      <c r="AW17" s="21" t="e">
        <f t="shared" si="4"/>
        <v>#N/A</v>
      </c>
      <c r="AX17" s="21"/>
      <c r="AZ17" s="21">
        <f t="shared" si="7"/>
        <v>0.70000000000000007</v>
      </c>
      <c r="BA17" s="1">
        <f t="shared" si="2"/>
        <v>0.90625</v>
      </c>
      <c r="BB17" s="21"/>
      <c r="CD17" s="20"/>
    </row>
    <row r="18" spans="1:82" ht="13.9" x14ac:dyDescent="0.25">
      <c r="A18" s="5"/>
      <c r="B18" s="1" t="s">
        <v>533</v>
      </c>
      <c r="E18" s="6"/>
      <c r="F18" s="89">
        <f>'0. INICIO'!L14</f>
        <v>1</v>
      </c>
      <c r="U18" s="7"/>
      <c r="W18" s="1" t="s">
        <v>54</v>
      </c>
      <c r="X18" s="20"/>
      <c r="Y18" s="20">
        <v>1.7</v>
      </c>
      <c r="Z18" s="20">
        <f t="shared" si="13"/>
        <v>1.65</v>
      </c>
      <c r="AA18" s="20">
        <v>1.6</v>
      </c>
      <c r="AB18" s="20">
        <f t="shared" si="14"/>
        <v>1.55</v>
      </c>
      <c r="AC18" s="20">
        <v>1.5</v>
      </c>
      <c r="AD18" s="20">
        <f t="shared" si="15"/>
        <v>1.45</v>
      </c>
      <c r="AE18" s="20">
        <v>1.4</v>
      </c>
      <c r="AF18" s="20">
        <f t="shared" si="16"/>
        <v>1.35</v>
      </c>
      <c r="AG18" s="20">
        <v>1.3</v>
      </c>
      <c r="AI18" s="20">
        <f>HLOOKUP(AI$15,$X15:$AG18,4,)</f>
        <v>1.6</v>
      </c>
      <c r="AM18" s="20"/>
      <c r="AN18" s="20"/>
      <c r="AO18" s="20"/>
      <c r="AP18" s="21">
        <f t="shared" si="5"/>
        <v>0.75000000000000011</v>
      </c>
      <c r="AQ18" s="21">
        <f t="shared" si="3"/>
        <v>0.90625</v>
      </c>
      <c r="AR18" s="21"/>
      <c r="AS18" s="21"/>
      <c r="AT18" s="21">
        <f t="shared" si="6"/>
        <v>0.75000000000000011</v>
      </c>
      <c r="AU18" s="21" t="e">
        <f t="shared" si="0"/>
        <v>#N/A</v>
      </c>
      <c r="AV18" s="21" t="e">
        <f t="shared" si="1"/>
        <v>#N/A</v>
      </c>
      <c r="AW18" s="21" t="e">
        <f t="shared" si="4"/>
        <v>#N/A</v>
      </c>
      <c r="AX18" s="21"/>
      <c r="AZ18" s="21">
        <f t="shared" si="7"/>
        <v>0.75000000000000011</v>
      </c>
      <c r="BA18" s="1">
        <f t="shared" si="2"/>
        <v>0.90625</v>
      </c>
      <c r="BB18" s="21"/>
      <c r="CD18" s="20"/>
    </row>
    <row r="19" spans="1:82" ht="13.9" x14ac:dyDescent="0.25">
      <c r="A19" s="5"/>
      <c r="U19" s="7"/>
      <c r="W19" s="1" t="s">
        <v>55</v>
      </c>
      <c r="X19" s="20"/>
      <c r="Y19" s="20">
        <v>2.4</v>
      </c>
      <c r="Z19" s="20">
        <f t="shared" si="13"/>
        <v>2.2000000000000002</v>
      </c>
      <c r="AA19" s="20">
        <v>2</v>
      </c>
      <c r="AB19" s="20">
        <f t="shared" si="14"/>
        <v>1.9</v>
      </c>
      <c r="AC19" s="20">
        <v>1.8</v>
      </c>
      <c r="AD19" s="20">
        <f t="shared" si="15"/>
        <v>1.7000000000000002</v>
      </c>
      <c r="AE19" s="20">
        <v>1.6</v>
      </c>
      <c r="AF19" s="20">
        <f t="shared" si="16"/>
        <v>1.55</v>
      </c>
      <c r="AG19" s="20">
        <v>1.5</v>
      </c>
      <c r="AI19" s="20">
        <f>HLOOKUP(AI$15,$X15:$AG19,5,)</f>
        <v>2</v>
      </c>
      <c r="AM19" s="20"/>
      <c r="AN19" s="20"/>
      <c r="AO19" s="20"/>
      <c r="AP19" s="21">
        <f t="shared" si="5"/>
        <v>0.80000000000000016</v>
      </c>
      <c r="AQ19" s="21">
        <f t="shared" si="3"/>
        <v>0.90625</v>
      </c>
      <c r="AR19" s="21"/>
      <c r="AS19" s="21"/>
      <c r="AT19" s="21">
        <f t="shared" si="6"/>
        <v>0.80000000000000016</v>
      </c>
      <c r="AU19" s="21" t="e">
        <f t="shared" si="0"/>
        <v>#N/A</v>
      </c>
      <c r="AV19" s="21" t="e">
        <f t="shared" si="1"/>
        <v>#N/A</v>
      </c>
      <c r="AW19" s="21" t="e">
        <f t="shared" si="4"/>
        <v>#N/A</v>
      </c>
      <c r="AX19" s="21"/>
      <c r="AZ19" s="21">
        <f t="shared" si="7"/>
        <v>0.80000000000000016</v>
      </c>
      <c r="BA19" s="1">
        <f t="shared" si="2"/>
        <v>0.90625</v>
      </c>
      <c r="BB19" s="21"/>
    </row>
    <row r="20" spans="1:82" x14ac:dyDescent="0.25">
      <c r="A20" s="5"/>
      <c r="B20" s="1" t="s">
        <v>227</v>
      </c>
      <c r="L20" s="1" t="s">
        <v>56</v>
      </c>
      <c r="M20" s="14">
        <f>'0. INICIO'!M26</f>
        <v>0.25</v>
      </c>
      <c r="U20" s="7"/>
      <c r="W20" s="1" t="s">
        <v>27</v>
      </c>
      <c r="X20" s="20"/>
      <c r="Y20" s="20">
        <v>3.5</v>
      </c>
      <c r="Z20" s="20">
        <f t="shared" si="13"/>
        <v>3.35</v>
      </c>
      <c r="AA20" s="20">
        <v>3.2</v>
      </c>
      <c r="AB20" s="20">
        <f t="shared" si="14"/>
        <v>3</v>
      </c>
      <c r="AC20" s="20">
        <v>2.8</v>
      </c>
      <c r="AD20" s="20">
        <f t="shared" si="15"/>
        <v>2.5999999999999996</v>
      </c>
      <c r="AE20" s="20">
        <v>2.4</v>
      </c>
      <c r="AF20" s="20">
        <f t="shared" si="16"/>
        <v>2.4</v>
      </c>
      <c r="AG20" s="20">
        <v>2.4</v>
      </c>
      <c r="AI20" s="20">
        <f>HLOOKUP(AI$15,$X15:$AG20,6,)</f>
        <v>3.2</v>
      </c>
      <c r="AM20" s="20"/>
      <c r="AN20" s="20"/>
      <c r="AO20" s="20"/>
      <c r="AP20" s="21">
        <f t="shared" si="5"/>
        <v>0.8500000000000002</v>
      </c>
      <c r="AQ20" s="21">
        <f t="shared" si="3"/>
        <v>0.90352941176470569</v>
      </c>
      <c r="AR20" s="21"/>
      <c r="AS20" s="21"/>
      <c r="AT20" s="21">
        <f t="shared" si="6"/>
        <v>0.8500000000000002</v>
      </c>
      <c r="AU20" s="21" t="e">
        <f t="shared" si="0"/>
        <v>#N/A</v>
      </c>
      <c r="AV20" s="21" t="e">
        <f t="shared" si="1"/>
        <v>#N/A</v>
      </c>
      <c r="AW20" s="21" t="e">
        <f t="shared" si="4"/>
        <v>#N/A</v>
      </c>
      <c r="AX20" s="21"/>
      <c r="AZ20" s="21">
        <f t="shared" si="7"/>
        <v>0.8500000000000002</v>
      </c>
      <c r="BA20" s="1">
        <f t="shared" si="2"/>
        <v>0.90352941176470569</v>
      </c>
      <c r="BB20" s="21"/>
    </row>
    <row r="21" spans="1:82" ht="13.9" x14ac:dyDescent="0.25">
      <c r="A21" s="5"/>
      <c r="B21" s="1" t="s">
        <v>228</v>
      </c>
      <c r="L21" s="1" t="s">
        <v>57</v>
      </c>
      <c r="M21" s="14">
        <f>'0. INICIO'!M27</f>
        <v>0.2</v>
      </c>
      <c r="U21" s="7"/>
      <c r="AM21" s="20"/>
      <c r="AN21" s="20"/>
      <c r="AO21" s="20"/>
      <c r="AP21" s="21">
        <f t="shared" si="5"/>
        <v>0.90000000000000024</v>
      </c>
      <c r="AQ21" s="21">
        <f t="shared" si="3"/>
        <v>0.85333333333333317</v>
      </c>
      <c r="AR21" s="21"/>
      <c r="AS21" s="21"/>
      <c r="AT21" s="21">
        <f t="shared" si="6"/>
        <v>0.90000000000000024</v>
      </c>
      <c r="AU21" s="21" t="e">
        <f t="shared" si="0"/>
        <v>#N/A</v>
      </c>
      <c r="AV21" s="21" t="e">
        <f t="shared" si="1"/>
        <v>#N/A</v>
      </c>
      <c r="AW21" s="21" t="e">
        <f t="shared" si="4"/>
        <v>#N/A</v>
      </c>
      <c r="AX21" s="21"/>
      <c r="AZ21" s="21">
        <f t="shared" si="7"/>
        <v>0.90000000000000024</v>
      </c>
      <c r="BA21" s="1">
        <f t="shared" si="2"/>
        <v>0.85333333333333317</v>
      </c>
      <c r="BB21" s="21"/>
    </row>
    <row r="22" spans="1:82" ht="13.9" x14ac:dyDescent="0.25">
      <c r="A22" s="5"/>
      <c r="B22" s="1" t="s">
        <v>229</v>
      </c>
      <c r="L22" s="1" t="s">
        <v>42</v>
      </c>
      <c r="M22" s="13">
        <f>'0. INICIO'!M28</f>
        <v>1</v>
      </c>
      <c r="U22" s="7"/>
      <c r="W22" s="1" t="s">
        <v>67</v>
      </c>
      <c r="X22" s="20"/>
      <c r="Y22" s="20"/>
      <c r="Z22" s="20"/>
      <c r="AA22" s="20"/>
      <c r="AB22" s="20"/>
      <c r="AF22" s="1" t="s">
        <v>135</v>
      </c>
      <c r="AM22" s="20"/>
      <c r="AN22" s="20"/>
      <c r="AO22" s="20"/>
      <c r="AP22" s="21">
        <f t="shared" si="5"/>
        <v>0.95000000000000029</v>
      </c>
      <c r="AQ22" s="21">
        <f t="shared" si="3"/>
        <v>0.80842105263157871</v>
      </c>
      <c r="AR22" s="21"/>
      <c r="AS22" s="21"/>
      <c r="AT22" s="21">
        <f t="shared" si="6"/>
        <v>0.95000000000000029</v>
      </c>
      <c r="AU22" s="21" t="e">
        <f t="shared" si="0"/>
        <v>#N/A</v>
      </c>
      <c r="AV22" s="21" t="e">
        <f t="shared" si="1"/>
        <v>#N/A</v>
      </c>
      <c r="AW22" s="21" t="e">
        <f t="shared" si="4"/>
        <v>#N/A</v>
      </c>
      <c r="AX22" s="21"/>
      <c r="AZ22" s="21">
        <f t="shared" si="7"/>
        <v>0.95000000000000029</v>
      </c>
      <c r="BA22" s="1">
        <f t="shared" si="2"/>
        <v>0.80842105263157871</v>
      </c>
      <c r="BB22" s="21"/>
    </row>
    <row r="23" spans="1:82" x14ac:dyDescent="0.25">
      <c r="A23" s="5"/>
      <c r="B23" s="1" t="s">
        <v>230</v>
      </c>
      <c r="L23" s="6" t="s">
        <v>66</v>
      </c>
      <c r="M23" s="13">
        <f>IF(F16="NSR 10",AE24,AF24)</f>
        <v>1.45</v>
      </c>
      <c r="U23" s="7"/>
      <c r="W23" s="1" t="s">
        <v>58</v>
      </c>
      <c r="X23" s="20"/>
      <c r="Y23" s="20" t="s">
        <v>56</v>
      </c>
      <c r="Z23" s="20">
        <v>0.25</v>
      </c>
      <c r="AA23" s="20" t="s">
        <v>57</v>
      </c>
      <c r="AB23" s="20">
        <v>0.25</v>
      </c>
      <c r="AE23" s="1" t="s">
        <v>134</v>
      </c>
      <c r="AF23" s="1" t="s">
        <v>136</v>
      </c>
      <c r="AG23" s="1" t="s">
        <v>137</v>
      </c>
      <c r="AJ23" s="6" t="s">
        <v>66</v>
      </c>
      <c r="AK23" s="13">
        <f>IF(F16="NSR 10",AE24,AF24)</f>
        <v>1.45</v>
      </c>
      <c r="AM23" s="20"/>
      <c r="AN23" s="20"/>
      <c r="AO23" s="20"/>
      <c r="AP23" s="21">
        <f t="shared" si="5"/>
        <v>1.0000000000000002</v>
      </c>
      <c r="AQ23" s="21">
        <f t="shared" si="3"/>
        <v>0.76799999999999979</v>
      </c>
      <c r="AR23" s="21"/>
      <c r="AS23" s="21"/>
      <c r="AT23" s="21">
        <f t="shared" si="6"/>
        <v>1.0000000000000002</v>
      </c>
      <c r="AU23" s="21" t="e">
        <f t="shared" si="0"/>
        <v>#N/A</v>
      </c>
      <c r="AV23" s="21" t="e">
        <f t="shared" si="1"/>
        <v>#N/A</v>
      </c>
      <c r="AW23" s="21" t="e">
        <f t="shared" si="4"/>
        <v>#N/A</v>
      </c>
      <c r="AX23" s="21"/>
      <c r="AZ23" s="21">
        <f t="shared" si="7"/>
        <v>1.0000000000000002</v>
      </c>
      <c r="BA23" s="1">
        <f t="shared" si="2"/>
        <v>0.76799999999999979</v>
      </c>
      <c r="BB23" s="21"/>
    </row>
    <row r="24" spans="1:82" x14ac:dyDescent="0.25">
      <c r="A24" s="5"/>
      <c r="B24" s="1" t="s">
        <v>231</v>
      </c>
      <c r="L24" s="6" t="s">
        <v>68</v>
      </c>
      <c r="M24" s="13">
        <f>IF(F16="NSR 10",AE25,AF25)</f>
        <v>3.2</v>
      </c>
      <c r="U24" s="7"/>
      <c r="X24" s="20"/>
      <c r="Y24" s="20" t="s">
        <v>61</v>
      </c>
      <c r="Z24" s="20" t="s">
        <v>66</v>
      </c>
      <c r="AA24" s="20" t="s">
        <v>62</v>
      </c>
      <c r="AB24" s="20" t="s">
        <v>68</v>
      </c>
      <c r="AD24" s="6" t="s">
        <v>66</v>
      </c>
      <c r="AE24" s="15">
        <f>VLOOKUP($F$17,W7:AI11,13,)</f>
        <v>1.45</v>
      </c>
      <c r="AF24" s="1" t="e">
        <f>VLOOKUP($F$17,$W$25:$Z$34,4,)</f>
        <v>#N/A</v>
      </c>
      <c r="AG24" s="1" t="e">
        <f>VLOOKUP($F$17,$W$39:$Z$48,4,)</f>
        <v>#N/A</v>
      </c>
      <c r="AJ24" s="6" t="s">
        <v>68</v>
      </c>
      <c r="AK24" s="13">
        <f>IF(F16="NSR 10",AE25,AF25)</f>
        <v>3.2</v>
      </c>
      <c r="AM24" s="20"/>
      <c r="AN24" s="20"/>
      <c r="AO24" s="20"/>
      <c r="AP24" s="21">
        <f t="shared" si="5"/>
        <v>1.0500000000000003</v>
      </c>
      <c r="AQ24" s="21">
        <f t="shared" si="3"/>
        <v>0.73142857142857121</v>
      </c>
      <c r="AR24" s="21"/>
      <c r="AS24" s="21"/>
      <c r="AT24" s="21">
        <f t="shared" si="6"/>
        <v>1.0500000000000003</v>
      </c>
      <c r="AU24" s="21" t="e">
        <f t="shared" si="0"/>
        <v>#N/A</v>
      </c>
      <c r="AV24" s="21" t="e">
        <f t="shared" si="1"/>
        <v>#N/A</v>
      </c>
      <c r="AW24" s="21" t="e">
        <f t="shared" si="4"/>
        <v>#N/A</v>
      </c>
      <c r="AX24" s="21"/>
      <c r="AZ24" s="21">
        <f t="shared" si="7"/>
        <v>1.0500000000000003</v>
      </c>
      <c r="BA24" s="1">
        <f t="shared" si="2"/>
        <v>0.73142857142857121</v>
      </c>
      <c r="BB24" s="21"/>
    </row>
    <row r="25" spans="1:82" x14ac:dyDescent="0.25">
      <c r="A25" s="5"/>
      <c r="B25" s="1" t="s">
        <v>213</v>
      </c>
      <c r="L25" s="6" t="s">
        <v>61</v>
      </c>
      <c r="M25" s="83">
        <f>IF(F16="NSR 10",AM3,AM8)</f>
        <v>0.84744827586206906</v>
      </c>
      <c r="U25" s="7"/>
      <c r="W25" s="1">
        <v>1</v>
      </c>
      <c r="X25" s="20"/>
      <c r="Y25" s="20">
        <v>0.55000000000000004</v>
      </c>
      <c r="Z25" s="20">
        <v>0.86</v>
      </c>
      <c r="AA25" s="20">
        <v>3</v>
      </c>
      <c r="AB25" s="20">
        <v>0.99</v>
      </c>
      <c r="AD25" s="6" t="s">
        <v>68</v>
      </c>
      <c r="AE25" s="15">
        <f>VLOOKUP($F$17,W16:AI20,13,)</f>
        <v>3.2</v>
      </c>
      <c r="AF25" s="1" t="e">
        <f>VLOOKUP($F$17,$W$25:$AB$34,6,)</f>
        <v>#N/A</v>
      </c>
      <c r="AG25" s="1" t="e">
        <f>VLOOKUP($F$17,$W$39:$AB$48,6,)</f>
        <v>#N/A</v>
      </c>
      <c r="AM25" s="20"/>
      <c r="AN25" s="20"/>
      <c r="AO25" s="20"/>
      <c r="AP25" s="21">
        <f t="shared" si="5"/>
        <v>1.1000000000000003</v>
      </c>
      <c r="AQ25" s="21">
        <f t="shared" si="3"/>
        <v>0.69818181818181801</v>
      </c>
      <c r="AR25" s="21"/>
      <c r="AS25" s="21"/>
      <c r="AT25" s="21">
        <f t="shared" si="6"/>
        <v>1.1000000000000003</v>
      </c>
      <c r="AU25" s="21" t="e">
        <f t="shared" si="0"/>
        <v>#N/A</v>
      </c>
      <c r="AV25" s="21" t="e">
        <f t="shared" si="1"/>
        <v>#N/A</v>
      </c>
      <c r="AW25" s="21" t="e">
        <f t="shared" si="4"/>
        <v>#N/A</v>
      </c>
      <c r="AX25" s="21"/>
      <c r="AZ25" s="21">
        <f t="shared" si="7"/>
        <v>1.1000000000000003</v>
      </c>
      <c r="BA25" s="1">
        <f t="shared" si="2"/>
        <v>0.69818181818181801</v>
      </c>
      <c r="BB25" s="21"/>
    </row>
    <row r="26" spans="1:82" x14ac:dyDescent="0.25">
      <c r="A26" s="5"/>
      <c r="B26" s="1" t="s">
        <v>212</v>
      </c>
      <c r="L26" s="6" t="s">
        <v>138</v>
      </c>
      <c r="M26" s="83">
        <f>IF(F16="NSR 10",AM4,AM9)</f>
        <v>7.68</v>
      </c>
      <c r="U26" s="7"/>
      <c r="W26" s="1">
        <v>2</v>
      </c>
      <c r="X26" s="20"/>
      <c r="Y26" s="20">
        <v>0.45</v>
      </c>
      <c r="Z26" s="20">
        <v>1.2</v>
      </c>
      <c r="AA26" s="20">
        <v>3</v>
      </c>
      <c r="AB26" s="20">
        <v>1.1299999999999999</v>
      </c>
      <c r="AM26" s="20"/>
      <c r="AN26" s="20"/>
      <c r="AO26" s="20"/>
      <c r="AP26" s="21">
        <f t="shared" si="5"/>
        <v>1.1500000000000004</v>
      </c>
      <c r="AQ26" s="21">
        <f t="shared" si="3"/>
        <v>0.66782608695652157</v>
      </c>
      <c r="AR26" s="21"/>
      <c r="AS26" s="21"/>
      <c r="AT26" s="21">
        <f t="shared" si="6"/>
        <v>1.1500000000000004</v>
      </c>
      <c r="AU26" s="21" t="e">
        <f t="shared" si="0"/>
        <v>#N/A</v>
      </c>
      <c r="AV26" s="21" t="e">
        <f t="shared" si="1"/>
        <v>#N/A</v>
      </c>
      <c r="AW26" s="21" t="e">
        <f t="shared" si="4"/>
        <v>#N/A</v>
      </c>
      <c r="AX26" s="21"/>
      <c r="AZ26" s="21">
        <f t="shared" si="7"/>
        <v>1.1500000000000004</v>
      </c>
      <c r="BA26" s="1">
        <f t="shared" si="2"/>
        <v>0.66782608695652157</v>
      </c>
      <c r="BB26" s="21"/>
    </row>
    <row r="27" spans="1:82" ht="13.9" x14ac:dyDescent="0.25">
      <c r="A27" s="5"/>
      <c r="U27" s="7"/>
      <c r="W27" s="1">
        <v>3</v>
      </c>
      <c r="X27" s="20"/>
      <c r="Y27" s="20">
        <v>1.05</v>
      </c>
      <c r="Z27" s="20">
        <v>1.36</v>
      </c>
      <c r="AA27" s="20">
        <v>2</v>
      </c>
      <c r="AB27" s="20">
        <v>2.98</v>
      </c>
      <c r="AM27" s="20"/>
      <c r="AN27" s="20"/>
      <c r="AO27" s="20"/>
      <c r="AP27" s="21">
        <f t="shared" si="5"/>
        <v>1.2000000000000004</v>
      </c>
      <c r="AQ27" s="21">
        <f t="shared" si="3"/>
        <v>0.63999999999999979</v>
      </c>
      <c r="AR27" s="21"/>
      <c r="AS27" s="21"/>
      <c r="AT27" s="21">
        <f t="shared" si="6"/>
        <v>1.2000000000000004</v>
      </c>
      <c r="AU27" s="21" t="e">
        <f t="shared" si="0"/>
        <v>#N/A</v>
      </c>
      <c r="AV27" s="21" t="e">
        <f t="shared" si="1"/>
        <v>#N/A</v>
      </c>
      <c r="AW27" s="21" t="e">
        <f t="shared" si="4"/>
        <v>#N/A</v>
      </c>
      <c r="AX27" s="21"/>
      <c r="AZ27" s="21">
        <f t="shared" si="7"/>
        <v>1.2000000000000004</v>
      </c>
      <c r="BA27" s="1">
        <f t="shared" si="2"/>
        <v>0.63999999999999979</v>
      </c>
      <c r="BB27" s="21"/>
    </row>
    <row r="28" spans="1:82" ht="13.9" x14ac:dyDescent="0.25">
      <c r="A28" s="5"/>
      <c r="U28" s="7"/>
      <c r="W28" s="1" t="s">
        <v>59</v>
      </c>
      <c r="X28" s="20"/>
      <c r="Y28" s="20">
        <v>0.75</v>
      </c>
      <c r="Z28" s="20">
        <v>1.2</v>
      </c>
      <c r="AA28" s="20">
        <v>2</v>
      </c>
      <c r="AB28" s="20">
        <v>1.88</v>
      </c>
      <c r="AM28" s="20"/>
      <c r="AN28" s="20"/>
      <c r="AO28" s="20"/>
      <c r="AP28" s="21">
        <f t="shared" si="5"/>
        <v>1.2500000000000004</v>
      </c>
      <c r="AQ28" s="21">
        <f t="shared" si="3"/>
        <v>0.61439999999999984</v>
      </c>
      <c r="AR28" s="21"/>
      <c r="AS28" s="21"/>
      <c r="AT28" s="21">
        <f t="shared" si="6"/>
        <v>1.2500000000000004</v>
      </c>
      <c r="AU28" s="21" t="e">
        <f t="shared" si="0"/>
        <v>#N/A</v>
      </c>
      <c r="AV28" s="21" t="e">
        <f t="shared" si="1"/>
        <v>#N/A</v>
      </c>
      <c r="AW28" s="21" t="e">
        <f t="shared" si="4"/>
        <v>#N/A</v>
      </c>
      <c r="AX28" s="21"/>
      <c r="AZ28" s="21">
        <f t="shared" si="7"/>
        <v>1.2500000000000004</v>
      </c>
      <c r="BA28" s="1">
        <f t="shared" si="2"/>
        <v>0.61439999999999984</v>
      </c>
      <c r="BB28" s="21"/>
    </row>
    <row r="29" spans="1:82" ht="13.9" x14ac:dyDescent="0.25">
      <c r="A29" s="5"/>
      <c r="U29" s="7"/>
      <c r="W29" s="1" t="s">
        <v>60</v>
      </c>
      <c r="X29" s="20" t="s">
        <v>61</v>
      </c>
      <c r="Y29" s="20">
        <v>0.7</v>
      </c>
      <c r="Z29" s="20">
        <v>1.04</v>
      </c>
      <c r="AA29" s="20">
        <v>2.5</v>
      </c>
      <c r="AB29" s="20">
        <v>1.52</v>
      </c>
      <c r="AM29" s="20"/>
      <c r="AN29" s="20"/>
      <c r="AO29" s="20"/>
      <c r="AP29" s="21">
        <f t="shared" si="5"/>
        <v>1.3000000000000005</v>
      </c>
      <c r="AQ29" s="21">
        <f t="shared" si="3"/>
        <v>0.5907692307692306</v>
      </c>
      <c r="AR29" s="21"/>
      <c r="AS29" s="21"/>
      <c r="AT29" s="21">
        <f t="shared" si="6"/>
        <v>1.3000000000000005</v>
      </c>
      <c r="AU29" s="21" t="e">
        <f t="shared" si="0"/>
        <v>#N/A</v>
      </c>
      <c r="AV29" s="21" t="e">
        <f t="shared" si="1"/>
        <v>#N/A</v>
      </c>
      <c r="AW29" s="21" t="e">
        <f t="shared" si="4"/>
        <v>#N/A</v>
      </c>
      <c r="AX29" s="21"/>
      <c r="AZ29" s="21">
        <f t="shared" si="7"/>
        <v>1.3000000000000005</v>
      </c>
      <c r="BA29" s="1">
        <f t="shared" si="2"/>
        <v>0.5907692307692306</v>
      </c>
      <c r="BB29" s="21"/>
    </row>
    <row r="30" spans="1:82" ht="13.9" x14ac:dyDescent="0.25">
      <c r="A30" s="5"/>
      <c r="U30" s="7"/>
      <c r="W30" s="1" t="s">
        <v>63</v>
      </c>
      <c r="X30" s="20" t="s">
        <v>61</v>
      </c>
      <c r="Y30" s="20">
        <v>0.45</v>
      </c>
      <c r="Z30" s="20">
        <v>1.6</v>
      </c>
      <c r="AA30" s="20">
        <v>2</v>
      </c>
      <c r="AB30" s="20">
        <v>1.5</v>
      </c>
      <c r="AM30" s="20"/>
      <c r="AN30" s="20"/>
      <c r="AO30" s="20"/>
      <c r="AP30" s="21">
        <f t="shared" si="5"/>
        <v>1.3500000000000005</v>
      </c>
      <c r="AQ30" s="21">
        <f t="shared" si="3"/>
        <v>0.56888888888888867</v>
      </c>
      <c r="AR30" s="21"/>
      <c r="AS30" s="21"/>
      <c r="AT30" s="21">
        <f t="shared" si="6"/>
        <v>1.3500000000000005</v>
      </c>
      <c r="AU30" s="21" t="e">
        <f t="shared" si="0"/>
        <v>#N/A</v>
      </c>
      <c r="AV30" s="21" t="e">
        <f t="shared" si="1"/>
        <v>#N/A</v>
      </c>
      <c r="AW30" s="21" t="e">
        <f t="shared" si="4"/>
        <v>#N/A</v>
      </c>
      <c r="AX30" s="21"/>
      <c r="AZ30" s="21">
        <f t="shared" si="7"/>
        <v>1.3500000000000005</v>
      </c>
      <c r="BA30" s="1">
        <f t="shared" si="2"/>
        <v>0.56888888888888867</v>
      </c>
      <c r="BB30" s="21"/>
    </row>
    <row r="31" spans="1:82" ht="13.9" x14ac:dyDescent="0.25">
      <c r="A31" s="5"/>
      <c r="U31" s="7"/>
      <c r="W31" s="1" t="s">
        <v>65</v>
      </c>
      <c r="X31" s="20"/>
      <c r="Y31" s="20">
        <v>1.2</v>
      </c>
      <c r="Z31" s="20">
        <v>0.99</v>
      </c>
      <c r="AA31" s="20">
        <v>2</v>
      </c>
      <c r="AB31" s="20">
        <v>2.48</v>
      </c>
      <c r="AM31" s="20"/>
      <c r="AN31" s="20"/>
      <c r="AO31" s="20"/>
      <c r="AP31" s="21">
        <f t="shared" si="5"/>
        <v>1.4000000000000006</v>
      </c>
      <c r="AQ31" s="21">
        <f t="shared" si="3"/>
        <v>0.54857142857142838</v>
      </c>
      <c r="AR31" s="21"/>
      <c r="AS31" s="21"/>
      <c r="AT31" s="21">
        <f t="shared" si="6"/>
        <v>1.4000000000000006</v>
      </c>
      <c r="AU31" s="21" t="e">
        <f t="shared" si="0"/>
        <v>#N/A</v>
      </c>
      <c r="AV31" s="21" t="e">
        <f t="shared" si="1"/>
        <v>#N/A</v>
      </c>
      <c r="AW31" s="21" t="e">
        <f t="shared" si="4"/>
        <v>#N/A</v>
      </c>
      <c r="AX31" s="21"/>
      <c r="AZ31" s="21">
        <f t="shared" si="7"/>
        <v>1.4000000000000006</v>
      </c>
      <c r="BA31" s="1">
        <f t="shared" si="2"/>
        <v>0.54857142857142838</v>
      </c>
      <c r="BB31" s="21"/>
    </row>
    <row r="32" spans="1:82" ht="13.9" x14ac:dyDescent="0.25">
      <c r="A32" s="5"/>
      <c r="U32" s="7"/>
      <c r="W32" s="1" t="s">
        <v>64</v>
      </c>
      <c r="X32" s="20"/>
      <c r="Y32" s="20">
        <v>0.95</v>
      </c>
      <c r="Z32" s="20">
        <v>0.91</v>
      </c>
      <c r="AA32" s="20">
        <v>3</v>
      </c>
      <c r="AB32" s="20">
        <v>1.81</v>
      </c>
      <c r="AM32" s="20"/>
      <c r="AN32" s="20"/>
      <c r="AO32" s="20"/>
      <c r="AP32" s="21">
        <f t="shared" si="5"/>
        <v>1.4500000000000006</v>
      </c>
      <c r="AQ32" s="21">
        <f t="shared" si="3"/>
        <v>0.5296551724137929</v>
      </c>
      <c r="AR32" s="21"/>
      <c r="AS32" s="21"/>
      <c r="AT32" s="21">
        <f t="shared" si="6"/>
        <v>1.4500000000000006</v>
      </c>
      <c r="AU32" s="21" t="e">
        <f t="shared" si="0"/>
        <v>#N/A</v>
      </c>
      <c r="AV32" s="21" t="e">
        <f t="shared" si="1"/>
        <v>#N/A</v>
      </c>
      <c r="AW32" s="21" t="e">
        <f t="shared" si="4"/>
        <v>#N/A</v>
      </c>
      <c r="AX32" s="21"/>
      <c r="AZ32" s="21">
        <f t="shared" si="7"/>
        <v>1.4500000000000006</v>
      </c>
      <c r="BA32" s="1">
        <f t="shared" si="2"/>
        <v>0.5296551724137929</v>
      </c>
      <c r="BB32" s="21"/>
    </row>
    <row r="33" spans="1:54" ht="13.9" x14ac:dyDescent="0.25">
      <c r="A33" s="5"/>
      <c r="U33" s="7"/>
      <c r="W33" s="1">
        <v>5</v>
      </c>
      <c r="X33" s="20" t="s">
        <v>61</v>
      </c>
      <c r="Y33" s="20">
        <v>0.6</v>
      </c>
      <c r="Z33" s="20">
        <v>1.1200000000000001</v>
      </c>
      <c r="AA33" s="20">
        <v>2.5</v>
      </c>
      <c r="AB33" s="20">
        <v>1.4</v>
      </c>
      <c r="AM33" s="20"/>
      <c r="AN33" s="20"/>
      <c r="AO33" s="20"/>
      <c r="AP33" s="21">
        <f t="shared" si="5"/>
        <v>1.5000000000000007</v>
      </c>
      <c r="AQ33" s="21">
        <f t="shared" si="3"/>
        <v>0.51199999999999979</v>
      </c>
      <c r="AR33" s="21"/>
      <c r="AS33" s="21"/>
      <c r="AT33" s="21">
        <f t="shared" si="6"/>
        <v>1.5000000000000007</v>
      </c>
      <c r="AU33" s="21" t="e">
        <f t="shared" si="0"/>
        <v>#N/A</v>
      </c>
      <c r="AV33" s="21" t="e">
        <f t="shared" si="1"/>
        <v>#N/A</v>
      </c>
      <c r="AW33" s="21" t="e">
        <f t="shared" si="4"/>
        <v>#N/A</v>
      </c>
      <c r="AX33" s="21"/>
      <c r="AZ33" s="21">
        <f t="shared" si="7"/>
        <v>1.5000000000000007</v>
      </c>
      <c r="BA33" s="1">
        <f t="shared" si="2"/>
        <v>0.51199999999999979</v>
      </c>
      <c r="BB33" s="21"/>
    </row>
    <row r="34" spans="1:54" ht="13.9" x14ac:dyDescent="0.25">
      <c r="A34" s="5"/>
      <c r="U34" s="7"/>
      <c r="W34" s="1">
        <v>6</v>
      </c>
      <c r="X34" s="20"/>
      <c r="Y34" s="20">
        <v>1.1499999999999999</v>
      </c>
      <c r="Z34" s="20">
        <v>1.0900000000000001</v>
      </c>
      <c r="AA34" s="20">
        <v>2.5</v>
      </c>
      <c r="AB34" s="20">
        <v>2.61</v>
      </c>
      <c r="AP34" s="21">
        <f t="shared" si="5"/>
        <v>1.5500000000000007</v>
      </c>
      <c r="AQ34" s="21">
        <f t="shared" si="3"/>
        <v>0.49548387096774171</v>
      </c>
      <c r="AR34" s="21"/>
      <c r="AS34" s="21"/>
      <c r="AT34" s="21">
        <f t="shared" si="6"/>
        <v>1.5500000000000007</v>
      </c>
      <c r="AU34" s="21" t="e">
        <f t="shared" si="0"/>
        <v>#N/A</v>
      </c>
      <c r="AV34" s="21" t="e">
        <f t="shared" si="1"/>
        <v>#N/A</v>
      </c>
      <c r="AW34" s="21" t="e">
        <f t="shared" si="4"/>
        <v>#N/A</v>
      </c>
      <c r="AX34" s="21"/>
      <c r="AZ34" s="21">
        <f t="shared" si="7"/>
        <v>1.5500000000000007</v>
      </c>
      <c r="BA34" s="1">
        <f t="shared" si="2"/>
        <v>0.49548387096774171</v>
      </c>
      <c r="BB34" s="21"/>
    </row>
    <row r="35" spans="1:54" ht="13.9" x14ac:dyDescent="0.25">
      <c r="A35" s="5"/>
      <c r="U35" s="7"/>
      <c r="X35" s="20"/>
      <c r="Y35" s="20"/>
      <c r="Z35" s="20"/>
      <c r="AA35" s="20"/>
      <c r="AB35" s="20"/>
      <c r="AP35" s="21">
        <f t="shared" si="5"/>
        <v>1.6000000000000008</v>
      </c>
      <c r="AQ35" s="21">
        <f t="shared" si="3"/>
        <v>0.47999999999999976</v>
      </c>
      <c r="AR35" s="21"/>
      <c r="AS35" s="21"/>
      <c r="AT35" s="21">
        <f t="shared" si="6"/>
        <v>1.6000000000000008</v>
      </c>
      <c r="AU35" s="21" t="e">
        <f t="shared" ref="AU35:AU66" si="17">IF(AT35&lt;$AM$8,2.5*$M$20*$M$23*$F$18,IF(AND(AT35&gt;=$AM$8,AT35&lt;$AM$9),1.2*$M$21*$M$24*$F$18/AT35,1.2*$M$21*$M$24*$AM$9*$F$18/AT35^2))</f>
        <v>#N/A</v>
      </c>
      <c r="AV35" s="21" t="e">
        <f t="shared" ref="AV35:AV66" si="18">IF(AT35&lt;$AN$8,2.5*$M$20*$AH$76*$F$18,IF(AND(AT35&gt;=$AN$8,AT35&lt;$AN$9),1.2*$M$21*$AH$77*$F$18/AT35,1.2*$M$21*$AH$77*$AN$9*$F$18/AT35^2))</f>
        <v>#N/A</v>
      </c>
      <c r="AW35" s="21" t="e">
        <f t="shared" si="4"/>
        <v>#N/A</v>
      </c>
      <c r="AX35" s="21"/>
      <c r="AZ35" s="21">
        <f t="shared" si="7"/>
        <v>1.6000000000000008</v>
      </c>
      <c r="BA35" s="1">
        <f t="shared" ref="BA35:BA66" si="19">IF($F$16="NSR 10",AQ35,AW35)</f>
        <v>0.47999999999999976</v>
      </c>
      <c r="BB35" s="21"/>
    </row>
    <row r="36" spans="1:54" ht="13.9" x14ac:dyDescent="0.25">
      <c r="A36" s="5"/>
      <c r="U36" s="7"/>
      <c r="W36" s="1" t="s">
        <v>69</v>
      </c>
      <c r="X36" s="20"/>
      <c r="Y36" s="20"/>
      <c r="Z36" s="20"/>
      <c r="AA36" s="20"/>
      <c r="AB36" s="20"/>
      <c r="AP36" s="21">
        <f t="shared" si="5"/>
        <v>1.6500000000000008</v>
      </c>
      <c r="AQ36" s="21">
        <f t="shared" si="3"/>
        <v>0.46545454545454523</v>
      </c>
      <c r="AR36" s="21"/>
      <c r="AS36" s="21"/>
      <c r="AT36" s="21">
        <f t="shared" si="6"/>
        <v>1.6500000000000008</v>
      </c>
      <c r="AU36" s="21" t="e">
        <f t="shared" si="17"/>
        <v>#N/A</v>
      </c>
      <c r="AV36" s="21" t="e">
        <f t="shared" si="18"/>
        <v>#N/A</v>
      </c>
      <c r="AW36" s="21" t="e">
        <f t="shared" si="4"/>
        <v>#N/A</v>
      </c>
      <c r="AX36" s="21"/>
      <c r="AZ36" s="21">
        <f t="shared" si="7"/>
        <v>1.6500000000000008</v>
      </c>
      <c r="BA36" s="1">
        <f t="shared" si="19"/>
        <v>0.46545454545454523</v>
      </c>
      <c r="BB36" s="21"/>
    </row>
    <row r="37" spans="1:54" ht="13.9" x14ac:dyDescent="0.25">
      <c r="A37" s="5"/>
      <c r="U37" s="7"/>
      <c r="W37" s="1" t="s">
        <v>58</v>
      </c>
      <c r="X37" s="20"/>
      <c r="Y37" s="20" t="s">
        <v>56</v>
      </c>
      <c r="Z37" s="20">
        <v>0.25</v>
      </c>
      <c r="AA37" s="20" t="s">
        <v>57</v>
      </c>
      <c r="AB37" s="20">
        <v>0.25</v>
      </c>
      <c r="AP37" s="21">
        <f t="shared" si="5"/>
        <v>1.7000000000000008</v>
      </c>
      <c r="AQ37" s="21">
        <f t="shared" si="3"/>
        <v>0.45176470588235274</v>
      </c>
      <c r="AR37" s="21"/>
      <c r="AS37" s="21"/>
      <c r="AT37" s="21">
        <f t="shared" si="6"/>
        <v>1.7000000000000008</v>
      </c>
      <c r="AU37" s="21" t="e">
        <f t="shared" si="17"/>
        <v>#N/A</v>
      </c>
      <c r="AV37" s="21" t="e">
        <f t="shared" si="18"/>
        <v>#N/A</v>
      </c>
      <c r="AW37" s="21" t="e">
        <f t="shared" si="4"/>
        <v>#N/A</v>
      </c>
      <c r="AX37" s="21"/>
      <c r="AZ37" s="21">
        <f t="shared" si="7"/>
        <v>1.7000000000000008</v>
      </c>
      <c r="BA37" s="1">
        <f t="shared" si="19"/>
        <v>0.45176470588235274</v>
      </c>
      <c r="BB37" s="21"/>
    </row>
    <row r="38" spans="1:54" ht="13.9" x14ac:dyDescent="0.25">
      <c r="A38" s="5"/>
      <c r="U38" s="7"/>
      <c r="X38" s="20"/>
      <c r="Y38" s="20" t="s">
        <v>61</v>
      </c>
      <c r="Z38" s="20" t="s">
        <v>66</v>
      </c>
      <c r="AA38" s="20" t="s">
        <v>62</v>
      </c>
      <c r="AB38" s="20" t="s">
        <v>68</v>
      </c>
      <c r="AP38" s="21">
        <f t="shared" si="5"/>
        <v>1.7500000000000009</v>
      </c>
      <c r="AQ38" s="21">
        <f t="shared" si="3"/>
        <v>0.43885714285714267</v>
      </c>
      <c r="AR38" s="21"/>
      <c r="AS38" s="21"/>
      <c r="AT38" s="21">
        <f t="shared" si="6"/>
        <v>1.7500000000000009</v>
      </c>
      <c r="AU38" s="21" t="e">
        <f t="shared" si="17"/>
        <v>#N/A</v>
      </c>
      <c r="AV38" s="21" t="e">
        <f t="shared" si="18"/>
        <v>#N/A</v>
      </c>
      <c r="AW38" s="21" t="e">
        <f t="shared" si="4"/>
        <v>#N/A</v>
      </c>
      <c r="AX38" s="21"/>
      <c r="AZ38" s="21">
        <f t="shared" si="7"/>
        <v>1.7500000000000009</v>
      </c>
      <c r="BA38" s="1">
        <f t="shared" si="19"/>
        <v>0.43885714285714267</v>
      </c>
      <c r="BB38" s="21"/>
    </row>
    <row r="39" spans="1:54" ht="13.9" x14ac:dyDescent="0.25">
      <c r="A39" s="5"/>
      <c r="U39" s="7"/>
      <c r="W39" s="1">
        <v>1</v>
      </c>
      <c r="X39" s="20"/>
      <c r="Y39" s="20">
        <v>0.55000000000000004</v>
      </c>
      <c r="Z39" s="20">
        <v>0.86</v>
      </c>
      <c r="AA39" s="20">
        <v>3</v>
      </c>
      <c r="AB39" s="20">
        <v>0.99</v>
      </c>
      <c r="AP39" s="21">
        <f t="shared" si="5"/>
        <v>1.8000000000000009</v>
      </c>
      <c r="AQ39" s="21">
        <f t="shared" si="3"/>
        <v>0.42666666666666647</v>
      </c>
      <c r="AR39" s="21"/>
      <c r="AS39" s="21"/>
      <c r="AT39" s="21">
        <f t="shared" si="6"/>
        <v>1.8000000000000009</v>
      </c>
      <c r="AU39" s="21" t="e">
        <f t="shared" si="17"/>
        <v>#N/A</v>
      </c>
      <c r="AV39" s="21" t="e">
        <f t="shared" si="18"/>
        <v>#N/A</v>
      </c>
      <c r="AW39" s="21" t="e">
        <f t="shared" si="4"/>
        <v>#N/A</v>
      </c>
      <c r="AX39" s="21"/>
      <c r="AZ39" s="21">
        <f t="shared" si="7"/>
        <v>1.8000000000000009</v>
      </c>
      <c r="BA39" s="1">
        <f t="shared" si="19"/>
        <v>0.42666666666666647</v>
      </c>
      <c r="BB39" s="21"/>
    </row>
    <row r="40" spans="1:54" ht="13.9" x14ac:dyDescent="0.25">
      <c r="A40" s="5"/>
      <c r="U40" s="7"/>
      <c r="W40" s="1">
        <v>2</v>
      </c>
      <c r="X40" s="20"/>
      <c r="Y40" s="20">
        <v>0.45</v>
      </c>
      <c r="Z40" s="20">
        <v>1.2</v>
      </c>
      <c r="AA40" s="20">
        <v>3</v>
      </c>
      <c r="AB40" s="20">
        <v>1.1299999999999999</v>
      </c>
      <c r="AP40" s="21">
        <f t="shared" si="5"/>
        <v>1.850000000000001</v>
      </c>
      <c r="AQ40" s="21">
        <f t="shared" si="3"/>
        <v>0.41513513513513495</v>
      </c>
      <c r="AR40" s="21"/>
      <c r="AS40" s="21"/>
      <c r="AT40" s="21">
        <f t="shared" si="6"/>
        <v>1.850000000000001</v>
      </c>
      <c r="AU40" s="21" t="e">
        <f t="shared" si="17"/>
        <v>#N/A</v>
      </c>
      <c r="AV40" s="21" t="e">
        <f t="shared" si="18"/>
        <v>#N/A</v>
      </c>
      <c r="AW40" s="21" t="e">
        <f t="shared" si="4"/>
        <v>#N/A</v>
      </c>
      <c r="AX40" s="21"/>
      <c r="AZ40" s="21">
        <f t="shared" si="7"/>
        <v>1.850000000000001</v>
      </c>
      <c r="BA40" s="1">
        <f t="shared" si="19"/>
        <v>0.41513513513513495</v>
      </c>
      <c r="BB40" s="21"/>
    </row>
    <row r="41" spans="1:54" ht="13.9" x14ac:dyDescent="0.25">
      <c r="A41" s="5"/>
      <c r="U41" s="7"/>
      <c r="W41" s="1">
        <v>3</v>
      </c>
      <c r="X41" s="20"/>
      <c r="Y41" s="20">
        <v>1.05</v>
      </c>
      <c r="Z41" s="20">
        <v>1.36</v>
      </c>
      <c r="AA41" s="20">
        <v>2</v>
      </c>
      <c r="AB41" s="20">
        <v>2.98</v>
      </c>
      <c r="AP41" s="21">
        <f t="shared" si="5"/>
        <v>1.900000000000001</v>
      </c>
      <c r="AQ41" s="21">
        <f t="shared" si="3"/>
        <v>0.40421052631578924</v>
      </c>
      <c r="AR41" s="21"/>
      <c r="AS41" s="21"/>
      <c r="AT41" s="21">
        <f t="shared" si="6"/>
        <v>1.900000000000001</v>
      </c>
      <c r="AU41" s="21" t="e">
        <f t="shared" si="17"/>
        <v>#N/A</v>
      </c>
      <c r="AV41" s="21" t="e">
        <f t="shared" si="18"/>
        <v>#N/A</v>
      </c>
      <c r="AW41" s="21" t="e">
        <f t="shared" si="4"/>
        <v>#N/A</v>
      </c>
      <c r="AX41" s="21"/>
      <c r="AZ41" s="21">
        <f t="shared" si="7"/>
        <v>1.900000000000001</v>
      </c>
      <c r="BA41" s="1">
        <f t="shared" si="19"/>
        <v>0.40421052631578924</v>
      </c>
      <c r="BB41" s="21"/>
    </row>
    <row r="42" spans="1:54" ht="13.9" x14ac:dyDescent="0.25">
      <c r="A42" s="5"/>
      <c r="U42" s="7"/>
      <c r="W42" s="1" t="s">
        <v>59</v>
      </c>
      <c r="X42" s="20"/>
      <c r="Y42" s="20">
        <v>0.75</v>
      </c>
      <c r="Z42" s="20">
        <v>1.2</v>
      </c>
      <c r="AA42" s="20">
        <v>2</v>
      </c>
      <c r="AB42" s="20">
        <v>1.88</v>
      </c>
      <c r="AP42" s="21">
        <f t="shared" si="5"/>
        <v>1.9500000000000011</v>
      </c>
      <c r="AQ42" s="21">
        <f t="shared" si="3"/>
        <v>0.39384615384615362</v>
      </c>
      <c r="AR42" s="21"/>
      <c r="AS42" s="21"/>
      <c r="AT42" s="21">
        <f t="shared" si="6"/>
        <v>1.9500000000000011</v>
      </c>
      <c r="AU42" s="21" t="e">
        <f t="shared" si="17"/>
        <v>#N/A</v>
      </c>
      <c r="AV42" s="21" t="e">
        <f t="shared" si="18"/>
        <v>#N/A</v>
      </c>
      <c r="AW42" s="21" t="e">
        <f t="shared" si="4"/>
        <v>#N/A</v>
      </c>
      <c r="AX42" s="21"/>
      <c r="AZ42" s="21">
        <f t="shared" si="7"/>
        <v>1.9500000000000011</v>
      </c>
      <c r="BA42" s="1">
        <f t="shared" si="19"/>
        <v>0.39384615384615362</v>
      </c>
      <c r="BB42" s="21"/>
    </row>
    <row r="43" spans="1:54" ht="13.9" x14ac:dyDescent="0.25">
      <c r="A43" s="5"/>
      <c r="U43" s="7"/>
      <c r="W43" s="1" t="s">
        <v>60</v>
      </c>
      <c r="X43" s="20" t="s">
        <v>62</v>
      </c>
      <c r="Y43" s="20">
        <v>1.6</v>
      </c>
      <c r="Z43" s="20">
        <v>0.8</v>
      </c>
      <c r="AA43" s="20">
        <v>2.5</v>
      </c>
      <c r="AB43" s="20">
        <v>2.67</v>
      </c>
      <c r="AP43" s="21">
        <f t="shared" si="5"/>
        <v>2.0000000000000009</v>
      </c>
      <c r="AQ43" s="21">
        <f t="shared" si="3"/>
        <v>0.38399999999999984</v>
      </c>
      <c r="AR43" s="21"/>
      <c r="AS43" s="21"/>
      <c r="AT43" s="21">
        <f t="shared" si="6"/>
        <v>2.0000000000000009</v>
      </c>
      <c r="AU43" s="21" t="e">
        <f t="shared" si="17"/>
        <v>#N/A</v>
      </c>
      <c r="AV43" s="21" t="e">
        <f t="shared" si="18"/>
        <v>#N/A</v>
      </c>
      <c r="AW43" s="21" t="e">
        <f t="shared" si="4"/>
        <v>#N/A</v>
      </c>
      <c r="AX43" s="21"/>
      <c r="AZ43" s="21">
        <f t="shared" si="7"/>
        <v>2.0000000000000009</v>
      </c>
      <c r="BA43" s="1">
        <f t="shared" si="19"/>
        <v>0.38399999999999984</v>
      </c>
      <c r="BB43" s="21"/>
    </row>
    <row r="44" spans="1:54" ht="13.9" x14ac:dyDescent="0.25">
      <c r="A44" s="5"/>
      <c r="U44" s="7"/>
      <c r="W44" s="1" t="s">
        <v>63</v>
      </c>
      <c r="X44" s="20" t="s">
        <v>62</v>
      </c>
      <c r="Y44" s="20">
        <v>1.5</v>
      </c>
      <c r="Z44" s="20">
        <v>1.04</v>
      </c>
      <c r="AA44" s="20">
        <v>2.1</v>
      </c>
      <c r="AB44" s="20">
        <v>3.25</v>
      </c>
      <c r="AP44" s="21">
        <f t="shared" si="5"/>
        <v>2.0500000000000007</v>
      </c>
      <c r="AQ44" s="21">
        <f t="shared" si="3"/>
        <v>0.3746341463414633</v>
      </c>
      <c r="AR44" s="21"/>
      <c r="AS44" s="21"/>
      <c r="AT44" s="21">
        <f t="shared" si="6"/>
        <v>2.0500000000000007</v>
      </c>
      <c r="AU44" s="21" t="e">
        <f t="shared" si="17"/>
        <v>#N/A</v>
      </c>
      <c r="AV44" s="21" t="e">
        <f t="shared" si="18"/>
        <v>#N/A</v>
      </c>
      <c r="AW44" s="21" t="e">
        <f t="shared" si="4"/>
        <v>#N/A</v>
      </c>
      <c r="AX44" s="21"/>
      <c r="AZ44" s="21">
        <f t="shared" si="7"/>
        <v>2.0500000000000007</v>
      </c>
      <c r="BA44" s="1">
        <f t="shared" si="19"/>
        <v>0.3746341463414633</v>
      </c>
      <c r="BB44" s="21"/>
    </row>
    <row r="45" spans="1:54" ht="13.9" x14ac:dyDescent="0.25">
      <c r="A45" s="5"/>
      <c r="U45" s="7"/>
      <c r="W45" s="1" t="s">
        <v>65</v>
      </c>
      <c r="X45" s="20"/>
      <c r="Y45" s="20">
        <v>1.2</v>
      </c>
      <c r="Z45" s="20">
        <v>0.99</v>
      </c>
      <c r="AA45" s="20">
        <v>2</v>
      </c>
      <c r="AB45" s="20">
        <v>2.48</v>
      </c>
      <c r="AP45" s="21">
        <f t="shared" si="5"/>
        <v>2.1000000000000005</v>
      </c>
      <c r="AQ45" s="21">
        <f t="shared" si="3"/>
        <v>0.3657142857142856</v>
      </c>
      <c r="AR45" s="21"/>
      <c r="AS45" s="21"/>
      <c r="AT45" s="21">
        <f t="shared" si="6"/>
        <v>2.1000000000000005</v>
      </c>
      <c r="AU45" s="21" t="e">
        <f t="shared" si="17"/>
        <v>#N/A</v>
      </c>
      <c r="AV45" s="21" t="e">
        <f t="shared" si="18"/>
        <v>#N/A</v>
      </c>
      <c r="AW45" s="21" t="e">
        <f t="shared" si="4"/>
        <v>#N/A</v>
      </c>
      <c r="AX45" s="21"/>
      <c r="AZ45" s="21">
        <f t="shared" si="7"/>
        <v>2.1000000000000005</v>
      </c>
      <c r="BA45" s="1">
        <f t="shared" si="19"/>
        <v>0.3657142857142856</v>
      </c>
      <c r="BB45" s="21"/>
    </row>
    <row r="46" spans="1:54" ht="15" customHeight="1" x14ac:dyDescent="0.25">
      <c r="A46" s="5"/>
      <c r="U46" s="7"/>
      <c r="W46" s="1" t="s">
        <v>64</v>
      </c>
      <c r="X46" s="20"/>
      <c r="Y46" s="20">
        <v>0.95</v>
      </c>
      <c r="Z46" s="20">
        <v>0.91</v>
      </c>
      <c r="AA46" s="20">
        <v>3</v>
      </c>
      <c r="AB46" s="20">
        <v>1.81</v>
      </c>
      <c r="AP46" s="21">
        <f t="shared" si="5"/>
        <v>2.1500000000000004</v>
      </c>
      <c r="AQ46" s="21">
        <f t="shared" si="3"/>
        <v>0.35720930232558135</v>
      </c>
      <c r="AR46" s="21"/>
      <c r="AS46" s="21"/>
      <c r="AT46" s="21">
        <f t="shared" si="6"/>
        <v>2.1500000000000004</v>
      </c>
      <c r="AU46" s="21" t="e">
        <f t="shared" si="17"/>
        <v>#N/A</v>
      </c>
      <c r="AV46" s="21" t="e">
        <f t="shared" si="18"/>
        <v>#N/A</v>
      </c>
      <c r="AW46" s="21" t="e">
        <f t="shared" si="4"/>
        <v>#N/A</v>
      </c>
      <c r="AX46" s="21"/>
      <c r="AZ46" s="21">
        <f t="shared" si="7"/>
        <v>2.1500000000000004</v>
      </c>
      <c r="BA46" s="1">
        <f t="shared" si="19"/>
        <v>0.35720930232558135</v>
      </c>
      <c r="BB46" s="21"/>
    </row>
    <row r="47" spans="1:54" ht="13.9" x14ac:dyDescent="0.25">
      <c r="A47" s="5"/>
      <c r="U47" s="7"/>
      <c r="W47" s="1">
        <v>5</v>
      </c>
      <c r="X47" s="20" t="s">
        <v>62</v>
      </c>
      <c r="Y47" s="20">
        <v>1.35</v>
      </c>
      <c r="Z47" s="20">
        <v>0.83</v>
      </c>
      <c r="AA47" s="20">
        <v>2.5</v>
      </c>
      <c r="AB47" s="20">
        <v>2.34</v>
      </c>
      <c r="AP47" s="21">
        <f t="shared" si="5"/>
        <v>2.2000000000000002</v>
      </c>
      <c r="AQ47" s="21">
        <f t="shared" si="3"/>
        <v>0.34909090909090906</v>
      </c>
      <c r="AR47" s="21"/>
      <c r="AS47" s="21"/>
      <c r="AT47" s="21">
        <f t="shared" si="6"/>
        <v>2.2000000000000002</v>
      </c>
      <c r="AU47" s="21" t="e">
        <f t="shared" si="17"/>
        <v>#N/A</v>
      </c>
      <c r="AV47" s="21" t="e">
        <f t="shared" si="18"/>
        <v>#N/A</v>
      </c>
      <c r="AW47" s="21" t="e">
        <f t="shared" si="4"/>
        <v>#N/A</v>
      </c>
      <c r="AX47" s="21"/>
      <c r="AZ47" s="21">
        <f t="shared" si="7"/>
        <v>2.2000000000000002</v>
      </c>
      <c r="BA47" s="1">
        <f t="shared" si="19"/>
        <v>0.34909090909090906</v>
      </c>
      <c r="BB47" s="21"/>
    </row>
    <row r="48" spans="1:54" ht="13.9" x14ac:dyDescent="0.25">
      <c r="A48" s="5"/>
      <c r="U48" s="7"/>
      <c r="W48" s="1">
        <v>6</v>
      </c>
      <c r="X48" s="20"/>
      <c r="Y48" s="20">
        <v>1.1499999999999999</v>
      </c>
      <c r="Z48" s="20">
        <v>1.0900000000000001</v>
      </c>
      <c r="AA48" s="20">
        <v>2.5</v>
      </c>
      <c r="AB48" s="20">
        <v>2.61</v>
      </c>
      <c r="AP48" s="21">
        <f t="shared" si="5"/>
        <v>2.25</v>
      </c>
      <c r="AQ48" s="21">
        <f t="shared" si="3"/>
        <v>0.34133333333333332</v>
      </c>
      <c r="AR48" s="21"/>
      <c r="AS48" s="21"/>
      <c r="AT48" s="21">
        <f t="shared" si="6"/>
        <v>2.25</v>
      </c>
      <c r="AU48" s="21" t="e">
        <f t="shared" si="17"/>
        <v>#N/A</v>
      </c>
      <c r="AV48" s="21" t="e">
        <f t="shared" si="18"/>
        <v>#N/A</v>
      </c>
      <c r="AW48" s="21" t="e">
        <f t="shared" si="4"/>
        <v>#N/A</v>
      </c>
      <c r="AX48" s="21"/>
      <c r="AZ48" s="21">
        <f t="shared" si="7"/>
        <v>2.25</v>
      </c>
      <c r="BA48" s="1">
        <f t="shared" si="19"/>
        <v>0.34133333333333332</v>
      </c>
      <c r="BB48" s="21"/>
    </row>
    <row r="49" spans="1:54" x14ac:dyDescent="0.25">
      <c r="A49" s="5"/>
      <c r="B49" s="236" t="s">
        <v>242</v>
      </c>
      <c r="C49" s="236"/>
      <c r="D49" s="236"/>
      <c r="E49" s="236"/>
      <c r="F49" s="236"/>
      <c r="G49" s="236"/>
      <c r="H49" s="53" t="s">
        <v>243</v>
      </c>
      <c r="I49" s="186">
        <f>'7. FHE Y AJUSTE DE SISMO'!M16</f>
        <v>0.370608709262856</v>
      </c>
      <c r="J49" s="53" t="s">
        <v>236</v>
      </c>
      <c r="U49" s="7"/>
      <c r="AP49" s="21">
        <f t="shared" si="5"/>
        <v>2.2999999999999998</v>
      </c>
      <c r="AQ49" s="21">
        <f t="shared" si="3"/>
        <v>0.3339130434782609</v>
      </c>
      <c r="AR49" s="21"/>
      <c r="AS49" s="21"/>
      <c r="AT49" s="21">
        <f t="shared" si="6"/>
        <v>2.2999999999999998</v>
      </c>
      <c r="AU49" s="21" t="e">
        <f t="shared" si="17"/>
        <v>#N/A</v>
      </c>
      <c r="AV49" s="21" t="e">
        <f t="shared" si="18"/>
        <v>#N/A</v>
      </c>
      <c r="AW49" s="21" t="e">
        <f t="shared" si="4"/>
        <v>#N/A</v>
      </c>
      <c r="AX49" s="21"/>
      <c r="AZ49" s="21">
        <f t="shared" si="7"/>
        <v>2.2999999999999998</v>
      </c>
      <c r="BA49" s="1">
        <f t="shared" si="19"/>
        <v>0.3339130434782609</v>
      </c>
      <c r="BB49" s="21"/>
    </row>
    <row r="50" spans="1:54" x14ac:dyDescent="0.25">
      <c r="A50" s="5"/>
      <c r="B50" s="236"/>
      <c r="C50" s="236"/>
      <c r="D50" s="236"/>
      <c r="E50" s="236"/>
      <c r="F50" s="236"/>
      <c r="G50" s="236"/>
      <c r="H50" s="53" t="s">
        <v>244</v>
      </c>
      <c r="I50" s="186">
        <f>'7. FHE Y AJUSTE DE SISMO'!M17</f>
        <v>0.370608709262856</v>
      </c>
      <c r="J50" s="53" t="s">
        <v>236</v>
      </c>
      <c r="U50" s="7"/>
      <c r="W50" s="1" t="s">
        <v>363</v>
      </c>
      <c r="Z50" s="1" t="s">
        <v>364</v>
      </c>
      <c r="AP50" s="21">
        <f t="shared" si="5"/>
        <v>2.3499999999999996</v>
      </c>
      <c r="AQ50" s="21">
        <f t="shared" si="3"/>
        <v>0.32680851063829791</v>
      </c>
      <c r="AR50" s="21"/>
      <c r="AS50" s="21"/>
      <c r="AT50" s="21">
        <f t="shared" si="6"/>
        <v>2.3499999999999996</v>
      </c>
      <c r="AU50" s="21" t="e">
        <f t="shared" si="17"/>
        <v>#N/A</v>
      </c>
      <c r="AV50" s="21" t="e">
        <f t="shared" si="18"/>
        <v>#N/A</v>
      </c>
      <c r="AW50" s="21" t="e">
        <f t="shared" si="4"/>
        <v>#N/A</v>
      </c>
      <c r="AX50" s="21"/>
      <c r="AZ50" s="21">
        <f t="shared" si="7"/>
        <v>2.3499999999999996</v>
      </c>
      <c r="BA50" s="1">
        <f t="shared" si="19"/>
        <v>0.32680851063829791</v>
      </c>
      <c r="BB50" s="21"/>
    </row>
    <row r="51" spans="1:54" ht="13.9" x14ac:dyDescent="0.25">
      <c r="A51" s="5"/>
      <c r="H51" s="13"/>
      <c r="I51" s="13"/>
      <c r="J51" s="13"/>
      <c r="U51" s="7"/>
      <c r="W51" s="1" t="s">
        <v>243</v>
      </c>
      <c r="X51" s="1" t="s">
        <v>141</v>
      </c>
      <c r="Z51" s="1" t="s">
        <v>244</v>
      </c>
      <c r="AA51" s="1" t="s">
        <v>141</v>
      </c>
      <c r="AP51" s="21">
        <f t="shared" si="5"/>
        <v>2.3999999999999995</v>
      </c>
      <c r="AQ51" s="21">
        <f t="shared" si="3"/>
        <v>0.32000000000000006</v>
      </c>
      <c r="AR51" s="21"/>
      <c r="AS51" s="21"/>
      <c r="AT51" s="21">
        <f t="shared" si="6"/>
        <v>2.3999999999999995</v>
      </c>
      <c r="AU51" s="21" t="e">
        <f t="shared" si="17"/>
        <v>#N/A</v>
      </c>
      <c r="AV51" s="21" t="e">
        <f t="shared" si="18"/>
        <v>#N/A</v>
      </c>
      <c r="AW51" s="21" t="e">
        <f t="shared" si="4"/>
        <v>#N/A</v>
      </c>
      <c r="AX51" s="21"/>
      <c r="AZ51" s="21">
        <f t="shared" si="7"/>
        <v>2.3999999999999995</v>
      </c>
      <c r="BA51" s="1">
        <f t="shared" si="19"/>
        <v>0.32000000000000006</v>
      </c>
      <c r="BB51" s="21"/>
    </row>
    <row r="52" spans="1:54" x14ac:dyDescent="0.25">
      <c r="A52" s="5"/>
      <c r="B52" s="236" t="s">
        <v>534</v>
      </c>
      <c r="C52" s="236"/>
      <c r="D52" s="236"/>
      <c r="E52" s="236"/>
      <c r="F52" s="236"/>
      <c r="G52" s="236"/>
      <c r="H52" s="53" t="s">
        <v>245</v>
      </c>
      <c r="I52" s="276">
        <f>VLOOKUP(I49,$AZ$3:$BA$163,2,1)</f>
        <v>0.90625</v>
      </c>
      <c r="J52" s="276"/>
      <c r="U52" s="7"/>
      <c r="W52" s="1">
        <f>W54</f>
        <v>0.370608709262856</v>
      </c>
      <c r="X52" s="1">
        <v>0</v>
      </c>
      <c r="Z52" s="1">
        <f>Z54</f>
        <v>0.370608709262856</v>
      </c>
      <c r="AA52" s="1">
        <v>0</v>
      </c>
      <c r="AP52" s="21">
        <f t="shared" si="5"/>
        <v>2.4499999999999993</v>
      </c>
      <c r="AQ52" s="21">
        <f t="shared" si="3"/>
        <v>0.31346938775510214</v>
      </c>
      <c r="AR52" s="21"/>
      <c r="AS52" s="21"/>
      <c r="AT52" s="21">
        <f t="shared" si="6"/>
        <v>2.4499999999999993</v>
      </c>
      <c r="AU52" s="21" t="e">
        <f t="shared" si="17"/>
        <v>#N/A</v>
      </c>
      <c r="AV52" s="21" t="e">
        <f t="shared" si="18"/>
        <v>#N/A</v>
      </c>
      <c r="AW52" s="21" t="e">
        <f t="shared" si="4"/>
        <v>#N/A</v>
      </c>
      <c r="AX52" s="21"/>
      <c r="AZ52" s="21">
        <f t="shared" si="7"/>
        <v>2.4499999999999993</v>
      </c>
      <c r="BA52" s="1">
        <f t="shared" si="19"/>
        <v>0.31346938775510214</v>
      </c>
      <c r="BB52" s="21"/>
    </row>
    <row r="53" spans="1:54" x14ac:dyDescent="0.25">
      <c r="A53" s="5"/>
      <c r="B53" s="236"/>
      <c r="C53" s="236"/>
      <c r="D53" s="236"/>
      <c r="E53" s="236"/>
      <c r="F53" s="236"/>
      <c r="G53" s="236"/>
      <c r="H53" s="53" t="s">
        <v>246</v>
      </c>
      <c r="I53" s="276">
        <f>VLOOKUP(I50,$AZ$3:$BA$163,2,1)</f>
        <v>0.90625</v>
      </c>
      <c r="J53" s="276"/>
      <c r="U53" s="7"/>
      <c r="W53" s="1">
        <f>W54</f>
        <v>0.370608709262856</v>
      </c>
      <c r="X53" s="21">
        <f>I62</f>
        <v>0</v>
      </c>
      <c r="Z53" s="1">
        <f>Z54</f>
        <v>0.370608709262856</v>
      </c>
      <c r="AA53" s="21">
        <f>I63</f>
        <v>0</v>
      </c>
      <c r="AP53" s="21">
        <f t="shared" si="5"/>
        <v>2.4999999999999991</v>
      </c>
      <c r="AQ53" s="21">
        <f t="shared" si="3"/>
        <v>0.30720000000000014</v>
      </c>
      <c r="AR53" s="21"/>
      <c r="AS53" s="21"/>
      <c r="AT53" s="21">
        <f t="shared" si="6"/>
        <v>2.4999999999999991</v>
      </c>
      <c r="AU53" s="21" t="e">
        <f t="shared" si="17"/>
        <v>#N/A</v>
      </c>
      <c r="AV53" s="21" t="e">
        <f t="shared" si="18"/>
        <v>#N/A</v>
      </c>
      <c r="AW53" s="21" t="e">
        <f t="shared" si="4"/>
        <v>#N/A</v>
      </c>
      <c r="AX53" s="21"/>
      <c r="AZ53" s="21">
        <f t="shared" si="7"/>
        <v>2.4999999999999991</v>
      </c>
      <c r="BA53" s="1">
        <f t="shared" si="19"/>
        <v>0.30720000000000014</v>
      </c>
      <c r="BB53" s="21"/>
    </row>
    <row r="54" spans="1:54" ht="13.9" x14ac:dyDescent="0.25">
      <c r="A54" s="5"/>
      <c r="U54" s="7"/>
      <c r="W54" s="1">
        <f>I49</f>
        <v>0.370608709262856</v>
      </c>
      <c r="X54" s="21">
        <f>I52</f>
        <v>0.90625</v>
      </c>
      <c r="Z54" s="1">
        <f>I50</f>
        <v>0.370608709262856</v>
      </c>
      <c r="AA54" s="21">
        <f>I53</f>
        <v>0.90625</v>
      </c>
      <c r="AP54" s="21">
        <f t="shared" si="5"/>
        <v>2.5499999999999989</v>
      </c>
      <c r="AQ54" s="21">
        <f t="shared" si="3"/>
        <v>0.30117647058823543</v>
      </c>
      <c r="AR54" s="21"/>
      <c r="AS54" s="21"/>
      <c r="AT54" s="21">
        <f t="shared" si="6"/>
        <v>2.5499999999999989</v>
      </c>
      <c r="AU54" s="21" t="e">
        <f t="shared" si="17"/>
        <v>#N/A</v>
      </c>
      <c r="AV54" s="21" t="e">
        <f t="shared" si="18"/>
        <v>#N/A</v>
      </c>
      <c r="AW54" s="21" t="e">
        <f t="shared" si="4"/>
        <v>#N/A</v>
      </c>
      <c r="AX54" s="21"/>
      <c r="AZ54" s="21">
        <f t="shared" si="7"/>
        <v>2.5499999999999989</v>
      </c>
      <c r="BA54" s="1">
        <f t="shared" si="19"/>
        <v>0.30117647058823543</v>
      </c>
      <c r="BB54" s="21"/>
    </row>
    <row r="55" spans="1:54" ht="13.9" x14ac:dyDescent="0.25">
      <c r="A55" s="5"/>
      <c r="U55" s="7"/>
      <c r="AP55" s="21">
        <f t="shared" si="5"/>
        <v>2.5999999999999988</v>
      </c>
      <c r="AQ55" s="21">
        <f t="shared" si="3"/>
        <v>0.29538461538461552</v>
      </c>
      <c r="AR55" s="21"/>
      <c r="AS55" s="21"/>
      <c r="AT55" s="21">
        <f t="shared" si="6"/>
        <v>2.5999999999999988</v>
      </c>
      <c r="AU55" s="21" t="e">
        <f t="shared" si="17"/>
        <v>#N/A</v>
      </c>
      <c r="AV55" s="21" t="e">
        <f t="shared" si="18"/>
        <v>#N/A</v>
      </c>
      <c r="AW55" s="21" t="e">
        <f t="shared" si="4"/>
        <v>#N/A</v>
      </c>
      <c r="AX55" s="21"/>
      <c r="AZ55" s="21">
        <f t="shared" si="7"/>
        <v>2.5999999999999988</v>
      </c>
      <c r="BA55" s="1">
        <f t="shared" si="19"/>
        <v>0.29538461538461552</v>
      </c>
      <c r="BB55" s="21"/>
    </row>
    <row r="56" spans="1:54" ht="13.9" x14ac:dyDescent="0.25">
      <c r="A56" s="5"/>
      <c r="U56" s="7"/>
      <c r="AP56" s="21">
        <f t="shared" si="5"/>
        <v>2.6499999999999986</v>
      </c>
      <c r="AQ56" s="21">
        <f t="shared" si="3"/>
        <v>0.28981132075471716</v>
      </c>
      <c r="AR56" s="21"/>
      <c r="AS56" s="21"/>
      <c r="AT56" s="21">
        <f t="shared" si="6"/>
        <v>2.6499999999999986</v>
      </c>
      <c r="AU56" s="21" t="e">
        <f t="shared" si="17"/>
        <v>#N/A</v>
      </c>
      <c r="AV56" s="21" t="e">
        <f t="shared" si="18"/>
        <v>#N/A</v>
      </c>
      <c r="AW56" s="21" t="e">
        <f t="shared" si="4"/>
        <v>#N/A</v>
      </c>
      <c r="AX56" s="21"/>
      <c r="AZ56" s="21">
        <f t="shared" si="7"/>
        <v>2.6499999999999986</v>
      </c>
      <c r="BA56" s="1">
        <f t="shared" si="19"/>
        <v>0.28981132075471716</v>
      </c>
      <c r="BB56" s="21"/>
    </row>
    <row r="57" spans="1:54" ht="13.9" x14ac:dyDescent="0.25">
      <c r="A57" s="5"/>
      <c r="U57" s="7"/>
      <c r="AP57" s="21">
        <f t="shared" si="5"/>
        <v>2.6999999999999984</v>
      </c>
      <c r="AQ57" s="21">
        <f t="shared" si="3"/>
        <v>0.28444444444444461</v>
      </c>
      <c r="AR57" s="21"/>
      <c r="AS57" s="21"/>
      <c r="AT57" s="21">
        <f t="shared" si="6"/>
        <v>2.6999999999999984</v>
      </c>
      <c r="AU57" s="21" t="e">
        <f t="shared" si="17"/>
        <v>#N/A</v>
      </c>
      <c r="AV57" s="21" t="e">
        <f t="shared" si="18"/>
        <v>#N/A</v>
      </c>
      <c r="AW57" s="21" t="e">
        <f t="shared" si="4"/>
        <v>#N/A</v>
      </c>
      <c r="AX57" s="21"/>
      <c r="AZ57" s="21">
        <f t="shared" si="7"/>
        <v>2.6999999999999984</v>
      </c>
      <c r="BA57" s="1">
        <f t="shared" si="19"/>
        <v>0.28444444444444461</v>
      </c>
      <c r="BB57" s="21"/>
    </row>
    <row r="58" spans="1:54" ht="13.9" x14ac:dyDescent="0.25">
      <c r="A58" s="5"/>
      <c r="U58" s="7"/>
      <c r="AP58" s="21">
        <f t="shared" si="5"/>
        <v>2.7499999999999982</v>
      </c>
      <c r="AQ58" s="21">
        <f t="shared" si="3"/>
        <v>0.27927272727272745</v>
      </c>
      <c r="AR58" s="21"/>
      <c r="AS58" s="21"/>
      <c r="AT58" s="21">
        <f t="shared" si="6"/>
        <v>2.7499999999999982</v>
      </c>
      <c r="AU58" s="21" t="e">
        <f t="shared" si="17"/>
        <v>#N/A</v>
      </c>
      <c r="AV58" s="21" t="e">
        <f t="shared" si="18"/>
        <v>#N/A</v>
      </c>
      <c r="AW58" s="21" t="e">
        <f t="shared" si="4"/>
        <v>#N/A</v>
      </c>
      <c r="AX58" s="21"/>
      <c r="AZ58" s="21">
        <f t="shared" si="7"/>
        <v>2.7499999999999982</v>
      </c>
      <c r="BA58" s="1">
        <f t="shared" si="19"/>
        <v>0.27927272727272745</v>
      </c>
      <c r="BB58" s="21"/>
    </row>
    <row r="59" spans="1:54" ht="13.9" x14ac:dyDescent="0.25">
      <c r="A59" s="5"/>
      <c r="U59" s="7"/>
      <c r="AP59" s="21">
        <f t="shared" si="5"/>
        <v>2.799999999999998</v>
      </c>
      <c r="AQ59" s="21">
        <f t="shared" si="3"/>
        <v>0.27428571428571447</v>
      </c>
      <c r="AR59" s="21"/>
      <c r="AS59" s="21"/>
      <c r="AT59" s="21">
        <f t="shared" si="6"/>
        <v>2.799999999999998</v>
      </c>
      <c r="AU59" s="21" t="e">
        <f t="shared" si="17"/>
        <v>#N/A</v>
      </c>
      <c r="AV59" s="21" t="e">
        <f t="shared" si="18"/>
        <v>#N/A</v>
      </c>
      <c r="AW59" s="21" t="e">
        <f t="shared" si="4"/>
        <v>#N/A</v>
      </c>
      <c r="AX59" s="21"/>
      <c r="AZ59" s="21">
        <f t="shared" si="7"/>
        <v>2.799999999999998</v>
      </c>
      <c r="BA59" s="1">
        <f t="shared" si="19"/>
        <v>0.27428571428571447</v>
      </c>
      <c r="BB59" s="21"/>
    </row>
    <row r="60" spans="1:54" ht="13.9" x14ac:dyDescent="0.25">
      <c r="A60" s="5"/>
      <c r="U60" s="7"/>
      <c r="AP60" s="21">
        <f t="shared" si="5"/>
        <v>2.8499999999999979</v>
      </c>
      <c r="AQ60" s="21">
        <f t="shared" si="3"/>
        <v>0.26947368421052653</v>
      </c>
      <c r="AR60" s="21"/>
      <c r="AS60" s="21"/>
      <c r="AT60" s="21">
        <f t="shared" si="6"/>
        <v>2.8499999999999979</v>
      </c>
      <c r="AU60" s="21" t="e">
        <f t="shared" si="17"/>
        <v>#N/A</v>
      </c>
      <c r="AV60" s="21" t="e">
        <f t="shared" si="18"/>
        <v>#N/A</v>
      </c>
      <c r="AW60" s="21" t="e">
        <f t="shared" si="4"/>
        <v>#N/A</v>
      </c>
      <c r="AX60" s="21"/>
      <c r="AZ60" s="21">
        <f t="shared" si="7"/>
        <v>2.8499999999999979</v>
      </c>
      <c r="BA60" s="1">
        <f t="shared" si="19"/>
        <v>0.26947368421052653</v>
      </c>
      <c r="BB60" s="21"/>
    </row>
    <row r="61" spans="1:54" ht="13.9" x14ac:dyDescent="0.25">
      <c r="A61" s="5"/>
      <c r="H61" s="13"/>
      <c r="I61" s="88"/>
      <c r="J61" s="88"/>
      <c r="U61" s="7"/>
      <c r="AP61" s="21">
        <f t="shared" si="5"/>
        <v>2.8999999999999977</v>
      </c>
      <c r="AQ61" s="21">
        <f t="shared" si="3"/>
        <v>0.26482758620689678</v>
      </c>
      <c r="AR61" s="21"/>
      <c r="AS61" s="21"/>
      <c r="AT61" s="21">
        <f t="shared" si="6"/>
        <v>2.8999999999999977</v>
      </c>
      <c r="AU61" s="21" t="e">
        <f t="shared" si="17"/>
        <v>#N/A</v>
      </c>
      <c r="AV61" s="21" t="e">
        <f t="shared" si="18"/>
        <v>#N/A</v>
      </c>
      <c r="AW61" s="21" t="e">
        <f t="shared" si="4"/>
        <v>#N/A</v>
      </c>
      <c r="AX61" s="21"/>
      <c r="AZ61" s="21">
        <f t="shared" si="7"/>
        <v>2.8999999999999977</v>
      </c>
      <c r="BA61" s="1">
        <f t="shared" si="19"/>
        <v>0.26482758620689678</v>
      </c>
      <c r="BB61" s="21"/>
    </row>
    <row r="62" spans="1:54" ht="13.9" x14ac:dyDescent="0.25">
      <c r="A62" s="5"/>
      <c r="U62" s="7"/>
      <c r="AP62" s="21">
        <f t="shared" si="5"/>
        <v>2.9499999999999975</v>
      </c>
      <c r="AQ62" s="21">
        <f t="shared" si="3"/>
        <v>0.26033898305084768</v>
      </c>
      <c r="AR62" s="21"/>
      <c r="AS62" s="21"/>
      <c r="AT62" s="21">
        <f t="shared" si="6"/>
        <v>2.9499999999999975</v>
      </c>
      <c r="AU62" s="21" t="e">
        <f t="shared" si="17"/>
        <v>#N/A</v>
      </c>
      <c r="AV62" s="21" t="e">
        <f t="shared" si="18"/>
        <v>#N/A</v>
      </c>
      <c r="AW62" s="21" t="e">
        <f t="shared" si="4"/>
        <v>#N/A</v>
      </c>
      <c r="AX62" s="21"/>
      <c r="AZ62" s="21">
        <f t="shared" si="7"/>
        <v>2.9499999999999975</v>
      </c>
      <c r="BA62" s="1">
        <f t="shared" si="19"/>
        <v>0.26033898305084768</v>
      </c>
      <c r="BB62" s="21"/>
    </row>
    <row r="63" spans="1:54" ht="13.9" x14ac:dyDescent="0.25">
      <c r="A63" s="5"/>
      <c r="U63" s="7"/>
      <c r="AP63" s="21">
        <f t="shared" si="5"/>
        <v>2.9999999999999973</v>
      </c>
      <c r="AQ63" s="21">
        <f t="shared" si="3"/>
        <v>0.25600000000000023</v>
      </c>
      <c r="AR63" s="21"/>
      <c r="AS63" s="21"/>
      <c r="AT63" s="21">
        <f t="shared" si="6"/>
        <v>2.9999999999999973</v>
      </c>
      <c r="AU63" s="21" t="e">
        <f t="shared" si="17"/>
        <v>#N/A</v>
      </c>
      <c r="AV63" s="21" t="e">
        <f t="shared" si="18"/>
        <v>#N/A</v>
      </c>
      <c r="AW63" s="21" t="e">
        <f t="shared" si="4"/>
        <v>#N/A</v>
      </c>
      <c r="AX63" s="21"/>
      <c r="AZ63" s="21">
        <f t="shared" si="7"/>
        <v>2.9999999999999973</v>
      </c>
      <c r="BA63" s="1">
        <f t="shared" si="19"/>
        <v>0.25600000000000023</v>
      </c>
      <c r="BB63" s="21"/>
    </row>
    <row r="64" spans="1:54" ht="13.9" x14ac:dyDescent="0.25">
      <c r="A64" s="5"/>
      <c r="U64" s="7"/>
      <c r="AP64" s="21">
        <f t="shared" si="5"/>
        <v>3.0499999999999972</v>
      </c>
      <c r="AQ64" s="21">
        <f t="shared" si="3"/>
        <v>0.25180327868852481</v>
      </c>
      <c r="AR64" s="21"/>
      <c r="AS64" s="21"/>
      <c r="AT64" s="21">
        <f t="shared" si="6"/>
        <v>3.0499999999999972</v>
      </c>
      <c r="AU64" s="21" t="e">
        <f t="shared" si="17"/>
        <v>#N/A</v>
      </c>
      <c r="AV64" s="21" t="e">
        <f t="shared" si="18"/>
        <v>#N/A</v>
      </c>
      <c r="AW64" s="21" t="e">
        <f t="shared" si="4"/>
        <v>#N/A</v>
      </c>
      <c r="AX64" s="21"/>
      <c r="AZ64" s="21">
        <f t="shared" si="7"/>
        <v>3.0499999999999972</v>
      </c>
      <c r="BA64" s="1">
        <f t="shared" si="19"/>
        <v>0.25180327868852481</v>
      </c>
      <c r="BB64" s="21"/>
    </row>
    <row r="65" spans="1:54" ht="13.9" x14ac:dyDescent="0.25">
      <c r="A65" s="9"/>
      <c r="B65" s="10"/>
      <c r="C65" s="10"/>
      <c r="D65" s="10"/>
      <c r="E65" s="10"/>
      <c r="F65" s="10"/>
      <c r="G65" s="10"/>
      <c r="H65" s="10"/>
      <c r="I65" s="10"/>
      <c r="J65" s="10"/>
      <c r="K65" s="10"/>
      <c r="L65" s="10"/>
      <c r="M65" s="10"/>
      <c r="N65" s="10"/>
      <c r="O65" s="10"/>
      <c r="P65" s="10"/>
      <c r="Q65" s="10"/>
      <c r="R65" s="10"/>
      <c r="S65" s="10"/>
      <c r="T65" s="10"/>
      <c r="U65" s="11"/>
      <c r="AP65" s="21">
        <f t="shared" si="5"/>
        <v>3.099999999999997</v>
      </c>
      <c r="AQ65" s="21">
        <f t="shared" si="3"/>
        <v>0.24774193548387122</v>
      </c>
      <c r="AR65" s="21"/>
      <c r="AS65" s="21"/>
      <c r="AT65" s="21">
        <f t="shared" si="6"/>
        <v>3.099999999999997</v>
      </c>
      <c r="AU65" s="21" t="e">
        <f t="shared" si="17"/>
        <v>#N/A</v>
      </c>
      <c r="AV65" s="21" t="e">
        <f t="shared" si="18"/>
        <v>#N/A</v>
      </c>
      <c r="AW65" s="21" t="e">
        <f t="shared" si="4"/>
        <v>#N/A</v>
      </c>
      <c r="AX65" s="21"/>
      <c r="AZ65" s="21">
        <f t="shared" si="7"/>
        <v>3.099999999999997</v>
      </c>
      <c r="BA65" s="1">
        <f t="shared" si="19"/>
        <v>0.24774193548387122</v>
      </c>
      <c r="BB65" s="21"/>
    </row>
    <row r="66" spans="1:54" ht="13.9" x14ac:dyDescent="0.25">
      <c r="A66" s="5"/>
      <c r="AP66" s="21">
        <f t="shared" si="5"/>
        <v>3.1499999999999968</v>
      </c>
      <c r="AQ66" s="21">
        <f t="shared" si="3"/>
        <v>0.24380952380952406</v>
      </c>
      <c r="AR66" s="21"/>
      <c r="AS66" s="21"/>
      <c r="AT66" s="21">
        <f t="shared" si="6"/>
        <v>3.1499999999999968</v>
      </c>
      <c r="AU66" s="21" t="e">
        <f t="shared" si="17"/>
        <v>#N/A</v>
      </c>
      <c r="AV66" s="21" t="e">
        <f t="shared" si="18"/>
        <v>#N/A</v>
      </c>
      <c r="AW66" s="21" t="e">
        <f t="shared" si="4"/>
        <v>#N/A</v>
      </c>
      <c r="AX66" s="21"/>
      <c r="AZ66" s="21">
        <f t="shared" si="7"/>
        <v>3.1499999999999968</v>
      </c>
      <c r="BA66" s="1">
        <f t="shared" si="19"/>
        <v>0.24380952380952406</v>
      </c>
      <c r="BB66" s="21"/>
    </row>
    <row r="67" spans="1:54" ht="13.9" x14ac:dyDescent="0.25">
      <c r="A67" s="5"/>
      <c r="AP67" s="21">
        <f t="shared" si="5"/>
        <v>3.1999999999999966</v>
      </c>
      <c r="AQ67" s="21">
        <f t="shared" si="3"/>
        <v>0.24000000000000027</v>
      </c>
      <c r="AR67" s="21"/>
      <c r="AS67" s="21"/>
      <c r="AT67" s="21">
        <f t="shared" si="6"/>
        <v>3.1999999999999966</v>
      </c>
      <c r="AU67" s="21" t="e">
        <f t="shared" ref="AU67:AU98" si="20">IF(AT67&lt;$AM$8,2.5*$M$20*$M$23*$F$18,IF(AND(AT67&gt;=$AM$8,AT67&lt;$AM$9),1.2*$M$21*$M$24*$F$18/AT67,1.2*$M$21*$M$24*$AM$9*$F$18/AT67^2))</f>
        <v>#N/A</v>
      </c>
      <c r="AV67" s="21" t="e">
        <f t="shared" ref="AV67:AV98" si="21">IF(AT67&lt;$AN$8,2.5*$M$20*$AH$76*$F$18,IF(AND(AT67&gt;=$AN$8,AT67&lt;$AN$9),1.2*$M$21*$AH$77*$F$18/AT67,1.2*$M$21*$AH$77*$AN$9*$F$18/AT67^2))</f>
        <v>#N/A</v>
      </c>
      <c r="AW67" s="21" t="e">
        <f t="shared" si="4"/>
        <v>#N/A</v>
      </c>
      <c r="AX67" s="21"/>
      <c r="AZ67" s="21">
        <f t="shared" si="7"/>
        <v>3.1999999999999966</v>
      </c>
      <c r="BA67" s="1">
        <f t="shared" ref="BA67:BA98" si="22">IF($F$16="NSR 10",AQ67,AW67)</f>
        <v>0.24000000000000027</v>
      </c>
      <c r="BB67" s="21"/>
    </row>
    <row r="68" spans="1:54" ht="13.9" x14ac:dyDescent="0.25">
      <c r="A68" s="5"/>
      <c r="AP68" s="21">
        <f t="shared" si="5"/>
        <v>3.2499999999999964</v>
      </c>
      <c r="AQ68" s="21">
        <f t="shared" ref="AQ68:AQ131" si="23">IF(AP68&lt;$AM$3,2.5*$M$20*$M$23,IF(AND(AP68&gt;=$AM$3,AP68&lt;$AM$4),1.2*$M$21*$M$24/AP68,1.2*$M$21*$M$24*$AM$4/AP68^2))</f>
        <v>0.23630769230769258</v>
      </c>
      <c r="AR68" s="21"/>
      <c r="AS68" s="21"/>
      <c r="AT68" s="21">
        <f t="shared" si="6"/>
        <v>3.2499999999999964</v>
      </c>
      <c r="AU68" s="21" t="e">
        <f t="shared" si="20"/>
        <v>#N/A</v>
      </c>
      <c r="AV68" s="21" t="e">
        <f t="shared" si="21"/>
        <v>#N/A</v>
      </c>
      <c r="AW68" s="21" t="e">
        <f t="shared" ref="AW68:AW131" si="24">MAX(AU68:AV68)</f>
        <v>#N/A</v>
      </c>
      <c r="AX68" s="21"/>
      <c r="AZ68" s="21">
        <f t="shared" si="7"/>
        <v>3.2499999999999964</v>
      </c>
      <c r="BA68" s="1">
        <f t="shared" si="22"/>
        <v>0.23630769230769258</v>
      </c>
      <c r="BB68" s="21"/>
    </row>
    <row r="69" spans="1:54" ht="13.9" x14ac:dyDescent="0.25">
      <c r="A69" s="5"/>
      <c r="AP69" s="21">
        <f t="shared" ref="AP69:AP114" si="25">AP68+0.05</f>
        <v>3.2999999999999963</v>
      </c>
      <c r="AQ69" s="21">
        <f t="shared" si="23"/>
        <v>0.232727272727273</v>
      </c>
      <c r="AR69" s="21"/>
      <c r="AS69" s="21"/>
      <c r="AT69" s="21">
        <f t="shared" ref="AT69:AT114" si="26">AT68+0.05</f>
        <v>3.2999999999999963</v>
      </c>
      <c r="AU69" s="21" t="e">
        <f t="shared" si="20"/>
        <v>#N/A</v>
      </c>
      <c r="AV69" s="21" t="e">
        <f t="shared" si="21"/>
        <v>#N/A</v>
      </c>
      <c r="AW69" s="21" t="e">
        <f t="shared" si="24"/>
        <v>#N/A</v>
      </c>
      <c r="AX69" s="21"/>
      <c r="AZ69" s="21">
        <f t="shared" ref="AZ69:AZ114" si="27">AZ68+0.05</f>
        <v>3.2999999999999963</v>
      </c>
      <c r="BA69" s="1">
        <f t="shared" si="22"/>
        <v>0.232727272727273</v>
      </c>
      <c r="BB69" s="21"/>
    </row>
    <row r="70" spans="1:54" ht="13.9" x14ac:dyDescent="0.25">
      <c r="A70" s="5"/>
      <c r="AP70" s="21">
        <f t="shared" si="25"/>
        <v>3.3499999999999961</v>
      </c>
      <c r="AQ70" s="21">
        <f t="shared" si="23"/>
        <v>0.22925373134328386</v>
      </c>
      <c r="AR70" s="21"/>
      <c r="AS70" s="21"/>
      <c r="AT70" s="21">
        <f t="shared" si="26"/>
        <v>3.3499999999999961</v>
      </c>
      <c r="AU70" s="21" t="e">
        <f t="shared" si="20"/>
        <v>#N/A</v>
      </c>
      <c r="AV70" s="21" t="e">
        <f t="shared" si="21"/>
        <v>#N/A</v>
      </c>
      <c r="AW70" s="21" t="e">
        <f t="shared" si="24"/>
        <v>#N/A</v>
      </c>
      <c r="AX70" s="21"/>
      <c r="AZ70" s="21">
        <f t="shared" si="27"/>
        <v>3.3499999999999961</v>
      </c>
      <c r="BA70" s="1">
        <f t="shared" si="22"/>
        <v>0.22925373134328386</v>
      </c>
      <c r="BB70" s="21"/>
    </row>
    <row r="71" spans="1:54" ht="13.9" x14ac:dyDescent="0.25">
      <c r="A71" s="5"/>
      <c r="AP71" s="21">
        <f t="shared" si="25"/>
        <v>3.3999999999999959</v>
      </c>
      <c r="AQ71" s="21">
        <f t="shared" si="23"/>
        <v>0.22588235294117676</v>
      </c>
      <c r="AR71" s="21"/>
      <c r="AS71" s="21"/>
      <c r="AT71" s="21">
        <f t="shared" si="26"/>
        <v>3.3999999999999959</v>
      </c>
      <c r="AU71" s="21" t="e">
        <f t="shared" si="20"/>
        <v>#N/A</v>
      </c>
      <c r="AV71" s="21" t="e">
        <f t="shared" si="21"/>
        <v>#N/A</v>
      </c>
      <c r="AW71" s="21" t="e">
        <f t="shared" si="24"/>
        <v>#N/A</v>
      </c>
      <c r="AX71" s="21"/>
      <c r="AZ71" s="21">
        <f t="shared" si="27"/>
        <v>3.3999999999999959</v>
      </c>
      <c r="BA71" s="1">
        <f t="shared" si="22"/>
        <v>0.22588235294117676</v>
      </c>
      <c r="BB71" s="21"/>
    </row>
    <row r="72" spans="1:54" x14ac:dyDescent="0.25">
      <c r="A72" s="5"/>
      <c r="AP72" s="21">
        <f t="shared" si="25"/>
        <v>3.4499999999999957</v>
      </c>
      <c r="AQ72" s="21">
        <f t="shared" si="23"/>
        <v>0.2226086956521742</v>
      </c>
      <c r="AR72" s="21"/>
      <c r="AS72" s="21"/>
      <c r="AT72" s="21">
        <f t="shared" si="26"/>
        <v>3.4499999999999957</v>
      </c>
      <c r="AU72" s="21" t="e">
        <f t="shared" si="20"/>
        <v>#N/A</v>
      </c>
      <c r="AV72" s="21" t="e">
        <f t="shared" si="21"/>
        <v>#N/A</v>
      </c>
      <c r="AW72" s="21" t="e">
        <f t="shared" si="24"/>
        <v>#N/A</v>
      </c>
      <c r="AX72" s="21"/>
      <c r="AZ72" s="21">
        <f t="shared" si="27"/>
        <v>3.4499999999999957</v>
      </c>
      <c r="BA72" s="1">
        <f t="shared" si="22"/>
        <v>0.2226086956521742</v>
      </c>
      <c r="BB72" s="21"/>
    </row>
    <row r="73" spans="1:54" x14ac:dyDescent="0.25">
      <c r="A73" s="5"/>
      <c r="AH73" s="6"/>
      <c r="AP73" s="21">
        <f t="shared" si="25"/>
        <v>3.4999999999999956</v>
      </c>
      <c r="AQ73" s="21">
        <f t="shared" si="23"/>
        <v>0.21942857142857172</v>
      </c>
      <c r="AR73" s="21"/>
      <c r="AS73" s="21"/>
      <c r="AT73" s="21">
        <f t="shared" si="26"/>
        <v>3.4999999999999956</v>
      </c>
      <c r="AU73" s="21" t="e">
        <f t="shared" si="20"/>
        <v>#N/A</v>
      </c>
      <c r="AV73" s="21" t="e">
        <f t="shared" si="21"/>
        <v>#N/A</v>
      </c>
      <c r="AW73" s="21" t="e">
        <f t="shared" si="24"/>
        <v>#N/A</v>
      </c>
      <c r="AX73" s="21"/>
      <c r="AZ73" s="21">
        <f t="shared" si="27"/>
        <v>3.4999999999999956</v>
      </c>
      <c r="BA73" s="1">
        <f t="shared" si="22"/>
        <v>0.21942857142857172</v>
      </c>
      <c r="BB73" s="21"/>
    </row>
    <row r="74" spans="1:54" x14ac:dyDescent="0.25">
      <c r="A74" s="5"/>
      <c r="AH74" s="6"/>
      <c r="AP74" s="21">
        <f t="shared" si="25"/>
        <v>3.5499999999999954</v>
      </c>
      <c r="AQ74" s="21">
        <f t="shared" si="23"/>
        <v>0.21633802816901437</v>
      </c>
      <c r="AR74" s="21"/>
      <c r="AS74" s="21"/>
      <c r="AT74" s="21">
        <f t="shared" si="26"/>
        <v>3.5499999999999954</v>
      </c>
      <c r="AU74" s="21" t="e">
        <f t="shared" si="20"/>
        <v>#N/A</v>
      </c>
      <c r="AV74" s="21" t="e">
        <f t="shared" si="21"/>
        <v>#N/A</v>
      </c>
      <c r="AW74" s="21" t="e">
        <f t="shared" si="24"/>
        <v>#N/A</v>
      </c>
      <c r="AX74" s="21"/>
      <c r="AZ74" s="21">
        <f t="shared" si="27"/>
        <v>3.5499999999999954</v>
      </c>
      <c r="BA74" s="1">
        <f t="shared" si="22"/>
        <v>0.21633802816901437</v>
      </c>
      <c r="BB74" s="21"/>
    </row>
    <row r="75" spans="1:54" x14ac:dyDescent="0.25">
      <c r="A75" s="5"/>
      <c r="AP75" s="21">
        <f t="shared" si="25"/>
        <v>3.5999999999999952</v>
      </c>
      <c r="AQ75" s="21">
        <f t="shared" si="23"/>
        <v>0.21333333333333362</v>
      </c>
      <c r="AR75" s="21"/>
      <c r="AS75" s="21"/>
      <c r="AT75" s="21">
        <f t="shared" si="26"/>
        <v>3.5999999999999952</v>
      </c>
      <c r="AU75" s="21" t="e">
        <f t="shared" si="20"/>
        <v>#N/A</v>
      </c>
      <c r="AV75" s="21" t="e">
        <f t="shared" si="21"/>
        <v>#N/A</v>
      </c>
      <c r="AW75" s="21" t="e">
        <f t="shared" si="24"/>
        <v>#N/A</v>
      </c>
      <c r="AX75" s="21"/>
      <c r="AZ75" s="21">
        <f t="shared" si="27"/>
        <v>3.5999999999999952</v>
      </c>
      <c r="BA75" s="1">
        <f t="shared" si="22"/>
        <v>0.21333333333333362</v>
      </c>
      <c r="BB75" s="21"/>
    </row>
    <row r="76" spans="1:54" x14ac:dyDescent="0.25">
      <c r="A76" s="5"/>
      <c r="AH76" s="1" t="str">
        <f>IF(F16="MZSC 14",AG24,"")</f>
        <v/>
      </c>
      <c r="AP76" s="21">
        <f t="shared" si="25"/>
        <v>3.649999999999995</v>
      </c>
      <c r="AQ76" s="21">
        <f t="shared" si="23"/>
        <v>0.21041095890410988</v>
      </c>
      <c r="AR76" s="21"/>
      <c r="AS76" s="21"/>
      <c r="AT76" s="21">
        <f t="shared" si="26"/>
        <v>3.649999999999995</v>
      </c>
      <c r="AU76" s="21" t="e">
        <f t="shared" si="20"/>
        <v>#N/A</v>
      </c>
      <c r="AV76" s="21" t="e">
        <f t="shared" si="21"/>
        <v>#N/A</v>
      </c>
      <c r="AW76" s="21" t="e">
        <f t="shared" si="24"/>
        <v>#N/A</v>
      </c>
      <c r="AX76" s="21"/>
      <c r="AZ76" s="21">
        <f t="shared" si="27"/>
        <v>3.649999999999995</v>
      </c>
      <c r="BA76" s="1">
        <f t="shared" si="22"/>
        <v>0.21041095890410988</v>
      </c>
      <c r="BB76" s="21"/>
    </row>
    <row r="77" spans="1:54" x14ac:dyDescent="0.25">
      <c r="A77" s="5"/>
      <c r="AH77" s="1" t="str">
        <f>IF(F16="MZSC 14",AG25,"")</f>
        <v/>
      </c>
      <c r="AP77" s="21">
        <f t="shared" si="25"/>
        <v>3.6999999999999948</v>
      </c>
      <c r="AQ77" s="21">
        <f t="shared" si="23"/>
        <v>0.20756756756756786</v>
      </c>
      <c r="AR77" s="21"/>
      <c r="AS77" s="21"/>
      <c r="AT77" s="21">
        <f t="shared" si="26"/>
        <v>3.6999999999999948</v>
      </c>
      <c r="AU77" s="21" t="e">
        <f t="shared" si="20"/>
        <v>#N/A</v>
      </c>
      <c r="AV77" s="21" t="e">
        <f t="shared" si="21"/>
        <v>#N/A</v>
      </c>
      <c r="AW77" s="21" t="e">
        <f t="shared" si="24"/>
        <v>#N/A</v>
      </c>
      <c r="AX77" s="21"/>
      <c r="AZ77" s="21">
        <f t="shared" si="27"/>
        <v>3.6999999999999948</v>
      </c>
      <c r="BA77" s="1">
        <f t="shared" si="22"/>
        <v>0.20756756756756786</v>
      </c>
      <c r="BB77" s="21"/>
    </row>
    <row r="78" spans="1:54" x14ac:dyDescent="0.25">
      <c r="A78" s="5"/>
      <c r="AP78" s="21">
        <f t="shared" si="25"/>
        <v>3.7499999999999947</v>
      </c>
      <c r="AQ78" s="21">
        <f t="shared" si="23"/>
        <v>0.20480000000000029</v>
      </c>
      <c r="AR78" s="21"/>
      <c r="AS78" s="21"/>
      <c r="AT78" s="21">
        <f t="shared" si="26"/>
        <v>3.7499999999999947</v>
      </c>
      <c r="AU78" s="21" t="e">
        <f t="shared" si="20"/>
        <v>#N/A</v>
      </c>
      <c r="AV78" s="21" t="e">
        <f t="shared" si="21"/>
        <v>#N/A</v>
      </c>
      <c r="AW78" s="21" t="e">
        <f t="shared" si="24"/>
        <v>#N/A</v>
      </c>
      <c r="AX78" s="21"/>
      <c r="AZ78" s="21">
        <f t="shared" si="27"/>
        <v>3.7499999999999947</v>
      </c>
      <c r="BA78" s="1">
        <f t="shared" si="22"/>
        <v>0.20480000000000029</v>
      </c>
      <c r="BB78" s="21"/>
    </row>
    <row r="79" spans="1:54" x14ac:dyDescent="0.25">
      <c r="A79" s="5"/>
      <c r="AH79" s="1" t="str">
        <f>IF(F16="MZSC 14",AN8,"")</f>
        <v/>
      </c>
      <c r="AP79" s="21">
        <f t="shared" si="25"/>
        <v>3.7999999999999945</v>
      </c>
      <c r="AQ79" s="21">
        <f t="shared" si="23"/>
        <v>0.20210526315789504</v>
      </c>
      <c r="AR79" s="21"/>
      <c r="AS79" s="21"/>
      <c r="AT79" s="21">
        <f t="shared" si="26"/>
        <v>3.7999999999999945</v>
      </c>
      <c r="AU79" s="21" t="e">
        <f t="shared" si="20"/>
        <v>#N/A</v>
      </c>
      <c r="AV79" s="21" t="e">
        <f t="shared" si="21"/>
        <v>#N/A</v>
      </c>
      <c r="AW79" s="21" t="e">
        <f t="shared" si="24"/>
        <v>#N/A</v>
      </c>
      <c r="AX79" s="21"/>
      <c r="AZ79" s="21">
        <f t="shared" si="27"/>
        <v>3.7999999999999945</v>
      </c>
      <c r="BA79" s="1">
        <f t="shared" si="22"/>
        <v>0.20210526315789504</v>
      </c>
      <c r="BB79" s="21"/>
    </row>
    <row r="80" spans="1:54" x14ac:dyDescent="0.25">
      <c r="A80" s="5"/>
      <c r="AH80" s="1" t="str">
        <f>IF(F16="MZSC 14",AN9,"")</f>
        <v/>
      </c>
      <c r="AP80" s="21">
        <f t="shared" si="25"/>
        <v>3.8499999999999943</v>
      </c>
      <c r="AQ80" s="21">
        <f t="shared" si="23"/>
        <v>0.19948051948051979</v>
      </c>
      <c r="AR80" s="21"/>
      <c r="AS80" s="21"/>
      <c r="AT80" s="21">
        <f t="shared" si="26"/>
        <v>3.8499999999999943</v>
      </c>
      <c r="AU80" s="21" t="e">
        <f t="shared" si="20"/>
        <v>#N/A</v>
      </c>
      <c r="AV80" s="21" t="e">
        <f t="shared" si="21"/>
        <v>#N/A</v>
      </c>
      <c r="AW80" s="21" t="e">
        <f t="shared" si="24"/>
        <v>#N/A</v>
      </c>
      <c r="AX80" s="21"/>
      <c r="AZ80" s="21">
        <f t="shared" si="27"/>
        <v>3.8499999999999943</v>
      </c>
      <c r="BA80" s="1">
        <f t="shared" si="22"/>
        <v>0.19948051948051979</v>
      </c>
      <c r="BB80" s="21"/>
    </row>
    <row r="81" spans="1:54" x14ac:dyDescent="0.25">
      <c r="A81" s="5"/>
      <c r="AP81" s="21">
        <f t="shared" si="25"/>
        <v>3.8999999999999941</v>
      </c>
      <c r="AQ81" s="21">
        <f t="shared" si="23"/>
        <v>0.19692307692307723</v>
      </c>
      <c r="AR81" s="21"/>
      <c r="AS81" s="21"/>
      <c r="AT81" s="21">
        <f t="shared" si="26"/>
        <v>3.8999999999999941</v>
      </c>
      <c r="AU81" s="21" t="e">
        <f t="shared" si="20"/>
        <v>#N/A</v>
      </c>
      <c r="AV81" s="21" t="e">
        <f t="shared" si="21"/>
        <v>#N/A</v>
      </c>
      <c r="AW81" s="21" t="e">
        <f t="shared" si="24"/>
        <v>#N/A</v>
      </c>
      <c r="AX81" s="21"/>
      <c r="AZ81" s="21">
        <f t="shared" si="27"/>
        <v>3.8999999999999941</v>
      </c>
      <c r="BA81" s="1">
        <f t="shared" si="22"/>
        <v>0.19692307692307723</v>
      </c>
      <c r="BB81" s="21"/>
    </row>
    <row r="82" spans="1:54" x14ac:dyDescent="0.25">
      <c r="A82" s="5"/>
      <c r="AP82" s="21">
        <f t="shared" si="25"/>
        <v>3.949999999999994</v>
      </c>
      <c r="AQ82" s="21">
        <f t="shared" si="23"/>
        <v>0.19443037974683575</v>
      </c>
      <c r="AR82" s="21"/>
      <c r="AS82" s="21"/>
      <c r="AT82" s="21">
        <f t="shared" si="26"/>
        <v>3.949999999999994</v>
      </c>
      <c r="AU82" s="21" t="e">
        <f t="shared" si="20"/>
        <v>#N/A</v>
      </c>
      <c r="AV82" s="21" t="e">
        <f t="shared" si="21"/>
        <v>#N/A</v>
      </c>
      <c r="AW82" s="21" t="e">
        <f t="shared" si="24"/>
        <v>#N/A</v>
      </c>
      <c r="AX82" s="21"/>
      <c r="AZ82" s="21">
        <f t="shared" si="27"/>
        <v>3.949999999999994</v>
      </c>
      <c r="BA82" s="1">
        <f t="shared" si="22"/>
        <v>0.19443037974683575</v>
      </c>
      <c r="BB82" s="21"/>
    </row>
    <row r="83" spans="1:54" x14ac:dyDescent="0.25">
      <c r="A83" s="5"/>
      <c r="AP83" s="21">
        <f t="shared" si="25"/>
        <v>3.9999999999999938</v>
      </c>
      <c r="AQ83" s="21">
        <f t="shared" si="23"/>
        <v>0.19200000000000031</v>
      </c>
      <c r="AR83" s="21"/>
      <c r="AS83" s="21"/>
      <c r="AT83" s="21">
        <f t="shared" si="26"/>
        <v>3.9999999999999938</v>
      </c>
      <c r="AU83" s="21" t="e">
        <f t="shared" si="20"/>
        <v>#N/A</v>
      </c>
      <c r="AV83" s="21" t="e">
        <f t="shared" si="21"/>
        <v>#N/A</v>
      </c>
      <c r="AW83" s="21" t="e">
        <f t="shared" si="24"/>
        <v>#N/A</v>
      </c>
      <c r="AX83" s="21"/>
      <c r="AZ83" s="21">
        <f t="shared" si="27"/>
        <v>3.9999999999999938</v>
      </c>
      <c r="BA83" s="1">
        <f t="shared" si="22"/>
        <v>0.19200000000000031</v>
      </c>
      <c r="BB83" s="21"/>
    </row>
    <row r="84" spans="1:54" x14ac:dyDescent="0.25">
      <c r="A84" s="5"/>
      <c r="AP84" s="21">
        <f t="shared" si="25"/>
        <v>4.0499999999999936</v>
      </c>
      <c r="AQ84" s="21">
        <f t="shared" si="23"/>
        <v>0.18962962962962993</v>
      </c>
      <c r="AR84" s="21"/>
      <c r="AS84" s="21"/>
      <c r="AT84" s="21">
        <f t="shared" si="26"/>
        <v>4.0499999999999936</v>
      </c>
      <c r="AU84" s="21" t="e">
        <f t="shared" si="20"/>
        <v>#N/A</v>
      </c>
      <c r="AV84" s="21" t="e">
        <f t="shared" si="21"/>
        <v>#N/A</v>
      </c>
      <c r="AW84" s="21" t="e">
        <f t="shared" si="24"/>
        <v>#N/A</v>
      </c>
      <c r="AX84" s="21"/>
      <c r="AZ84" s="21">
        <f t="shared" si="27"/>
        <v>4.0499999999999936</v>
      </c>
      <c r="BA84" s="1">
        <f t="shared" si="22"/>
        <v>0.18962962962962993</v>
      </c>
      <c r="BB84" s="21"/>
    </row>
    <row r="85" spans="1:54" x14ac:dyDescent="0.25">
      <c r="A85" s="5"/>
      <c r="V85" s="6"/>
      <c r="W85" s="6"/>
      <c r="X85" s="6"/>
      <c r="Y85" s="6"/>
      <c r="Z85" s="6"/>
      <c r="AA85" s="6"/>
      <c r="AB85" s="6"/>
      <c r="AC85" s="6"/>
      <c r="AD85" s="6"/>
      <c r="AP85" s="21">
        <f t="shared" si="25"/>
        <v>4.0999999999999934</v>
      </c>
      <c r="AQ85" s="21">
        <f t="shared" si="23"/>
        <v>0.18731707317073201</v>
      </c>
      <c r="AR85" s="21"/>
      <c r="AS85" s="21"/>
      <c r="AT85" s="21">
        <f t="shared" si="26"/>
        <v>4.0999999999999934</v>
      </c>
      <c r="AU85" s="21" t="e">
        <f t="shared" si="20"/>
        <v>#N/A</v>
      </c>
      <c r="AV85" s="21" t="e">
        <f t="shared" si="21"/>
        <v>#N/A</v>
      </c>
      <c r="AW85" s="21" t="e">
        <f t="shared" si="24"/>
        <v>#N/A</v>
      </c>
      <c r="AX85" s="21"/>
      <c r="AZ85" s="21">
        <f t="shared" si="27"/>
        <v>4.0999999999999934</v>
      </c>
      <c r="BA85" s="1">
        <f t="shared" si="22"/>
        <v>0.18731707317073201</v>
      </c>
      <c r="BB85" s="21"/>
    </row>
    <row r="86" spans="1:54" x14ac:dyDescent="0.25">
      <c r="A86" s="5"/>
      <c r="AA86" s="6"/>
      <c r="AB86" s="6"/>
      <c r="AC86" s="6"/>
      <c r="AD86" s="6"/>
      <c r="AP86" s="21">
        <f t="shared" si="25"/>
        <v>4.1499999999999932</v>
      </c>
      <c r="AQ86" s="21">
        <f t="shared" si="23"/>
        <v>0.18506024096385573</v>
      </c>
      <c r="AR86" s="21"/>
      <c r="AS86" s="21"/>
      <c r="AT86" s="21">
        <f t="shared" si="26"/>
        <v>4.1499999999999932</v>
      </c>
      <c r="AU86" s="21" t="e">
        <f t="shared" si="20"/>
        <v>#N/A</v>
      </c>
      <c r="AV86" s="21" t="e">
        <f t="shared" si="21"/>
        <v>#N/A</v>
      </c>
      <c r="AW86" s="21" t="e">
        <f t="shared" si="24"/>
        <v>#N/A</v>
      </c>
      <c r="AX86" s="21"/>
      <c r="AZ86" s="21">
        <f t="shared" si="27"/>
        <v>4.1499999999999932</v>
      </c>
      <c r="BA86" s="1">
        <f t="shared" si="22"/>
        <v>0.18506024096385573</v>
      </c>
      <c r="BB86" s="21"/>
    </row>
    <row r="87" spans="1:54" x14ac:dyDescent="0.25">
      <c r="A87" s="5"/>
      <c r="AA87" s="6"/>
      <c r="AB87" s="6"/>
      <c r="AC87" s="6"/>
      <c r="AD87" s="6"/>
      <c r="AP87" s="21">
        <f t="shared" si="25"/>
        <v>4.1999999999999931</v>
      </c>
      <c r="AQ87" s="21">
        <f t="shared" si="23"/>
        <v>0.18285714285714316</v>
      </c>
      <c r="AR87" s="21"/>
      <c r="AS87" s="21"/>
      <c r="AT87" s="21">
        <f t="shared" si="26"/>
        <v>4.1999999999999931</v>
      </c>
      <c r="AU87" s="21" t="e">
        <f t="shared" si="20"/>
        <v>#N/A</v>
      </c>
      <c r="AV87" s="21" t="e">
        <f t="shared" si="21"/>
        <v>#N/A</v>
      </c>
      <c r="AW87" s="21" t="e">
        <f t="shared" si="24"/>
        <v>#N/A</v>
      </c>
      <c r="AX87" s="21"/>
      <c r="AZ87" s="21">
        <f t="shared" si="27"/>
        <v>4.1999999999999931</v>
      </c>
      <c r="BA87" s="1">
        <f t="shared" si="22"/>
        <v>0.18285714285714316</v>
      </c>
      <c r="BB87" s="21"/>
    </row>
    <row r="88" spans="1:54" x14ac:dyDescent="0.25">
      <c r="A88" s="5"/>
      <c r="AA88" s="6"/>
      <c r="AB88" s="6"/>
      <c r="AC88" s="6"/>
      <c r="AD88" s="6"/>
      <c r="AP88" s="21">
        <f t="shared" si="25"/>
        <v>4.2499999999999929</v>
      </c>
      <c r="AQ88" s="21">
        <f t="shared" si="23"/>
        <v>0.18070588235294149</v>
      </c>
      <c r="AR88" s="21"/>
      <c r="AS88" s="21"/>
      <c r="AT88" s="21">
        <f t="shared" si="26"/>
        <v>4.2499999999999929</v>
      </c>
      <c r="AU88" s="21" t="e">
        <f t="shared" si="20"/>
        <v>#N/A</v>
      </c>
      <c r="AV88" s="21" t="e">
        <f t="shared" si="21"/>
        <v>#N/A</v>
      </c>
      <c r="AW88" s="21" t="e">
        <f t="shared" si="24"/>
        <v>#N/A</v>
      </c>
      <c r="AX88" s="21"/>
      <c r="AZ88" s="21">
        <f t="shared" si="27"/>
        <v>4.2499999999999929</v>
      </c>
      <c r="BA88" s="1">
        <f t="shared" si="22"/>
        <v>0.18070588235294149</v>
      </c>
      <c r="BB88" s="21"/>
    </row>
    <row r="89" spans="1:54" x14ac:dyDescent="0.25">
      <c r="A89" s="5"/>
      <c r="V89" s="6"/>
      <c r="Y89" s="6"/>
      <c r="Z89" s="6"/>
      <c r="AA89" s="6"/>
      <c r="AB89" s="6"/>
      <c r="AC89" s="6"/>
      <c r="AD89" s="6"/>
      <c r="AP89" s="21">
        <f t="shared" si="25"/>
        <v>4.2999999999999927</v>
      </c>
      <c r="AQ89" s="21">
        <f t="shared" si="23"/>
        <v>0.17860465116279101</v>
      </c>
      <c r="AR89" s="21"/>
      <c r="AS89" s="21"/>
      <c r="AT89" s="21">
        <f t="shared" si="26"/>
        <v>4.2999999999999927</v>
      </c>
      <c r="AU89" s="21" t="e">
        <f t="shared" si="20"/>
        <v>#N/A</v>
      </c>
      <c r="AV89" s="21" t="e">
        <f t="shared" si="21"/>
        <v>#N/A</v>
      </c>
      <c r="AW89" s="21" t="e">
        <f t="shared" si="24"/>
        <v>#N/A</v>
      </c>
      <c r="AX89" s="21"/>
      <c r="AZ89" s="21">
        <f t="shared" si="27"/>
        <v>4.2999999999999927</v>
      </c>
      <c r="BA89" s="1">
        <f t="shared" si="22"/>
        <v>0.17860465116279101</v>
      </c>
      <c r="BB89" s="21"/>
    </row>
    <row r="90" spans="1:54" x14ac:dyDescent="0.25">
      <c r="A90" s="5"/>
      <c r="V90" s="6"/>
      <c r="Y90" s="6"/>
      <c r="Z90" s="6"/>
      <c r="AA90" s="6"/>
      <c r="AB90" s="6"/>
      <c r="AC90" s="6"/>
      <c r="AD90" s="6"/>
      <c r="AP90" s="21">
        <f t="shared" si="25"/>
        <v>4.3499999999999925</v>
      </c>
      <c r="AQ90" s="21">
        <f t="shared" si="23"/>
        <v>0.17655172413793135</v>
      </c>
      <c r="AR90" s="21"/>
      <c r="AS90" s="21"/>
      <c r="AT90" s="21">
        <f t="shared" si="26"/>
        <v>4.3499999999999925</v>
      </c>
      <c r="AU90" s="21" t="e">
        <f t="shared" si="20"/>
        <v>#N/A</v>
      </c>
      <c r="AV90" s="21" t="e">
        <f t="shared" si="21"/>
        <v>#N/A</v>
      </c>
      <c r="AW90" s="21" t="e">
        <f t="shared" si="24"/>
        <v>#N/A</v>
      </c>
      <c r="AX90" s="21"/>
      <c r="AZ90" s="21">
        <f t="shared" si="27"/>
        <v>4.3499999999999925</v>
      </c>
      <c r="BA90" s="1">
        <f t="shared" si="22"/>
        <v>0.17655172413793135</v>
      </c>
      <c r="BB90" s="21"/>
    </row>
    <row r="91" spans="1:54" x14ac:dyDescent="0.25">
      <c r="A91" s="5"/>
      <c r="V91" s="6"/>
      <c r="Z91" s="6"/>
      <c r="AA91" s="6"/>
      <c r="AB91" s="6"/>
      <c r="AC91" s="6"/>
      <c r="AD91" s="6"/>
      <c r="AP91" s="21">
        <f t="shared" si="25"/>
        <v>4.3999999999999924</v>
      </c>
      <c r="AQ91" s="21">
        <f t="shared" si="23"/>
        <v>0.17454545454545486</v>
      </c>
      <c r="AR91" s="21"/>
      <c r="AS91" s="21"/>
      <c r="AT91" s="21">
        <f t="shared" si="26"/>
        <v>4.3999999999999924</v>
      </c>
      <c r="AU91" s="21" t="e">
        <f t="shared" si="20"/>
        <v>#N/A</v>
      </c>
      <c r="AV91" s="21" t="e">
        <f t="shared" si="21"/>
        <v>#N/A</v>
      </c>
      <c r="AW91" s="21" t="e">
        <f t="shared" si="24"/>
        <v>#N/A</v>
      </c>
      <c r="AX91" s="21"/>
      <c r="AZ91" s="21">
        <f t="shared" si="27"/>
        <v>4.3999999999999924</v>
      </c>
      <c r="BA91" s="1">
        <f t="shared" si="22"/>
        <v>0.17454545454545486</v>
      </c>
      <c r="BB91" s="21"/>
    </row>
    <row r="92" spans="1:54" x14ac:dyDescent="0.25">
      <c r="A92" s="5"/>
      <c r="V92" s="6"/>
      <c r="Z92" s="6"/>
      <c r="AA92" s="6"/>
      <c r="AB92" s="6"/>
      <c r="AC92" s="6"/>
      <c r="AD92" s="6"/>
      <c r="AP92" s="21">
        <f t="shared" si="25"/>
        <v>4.4499999999999922</v>
      </c>
      <c r="AQ92" s="21">
        <f t="shared" si="23"/>
        <v>0.17258426966292165</v>
      </c>
      <c r="AR92" s="21"/>
      <c r="AS92" s="21"/>
      <c r="AT92" s="21">
        <f t="shared" si="26"/>
        <v>4.4499999999999922</v>
      </c>
      <c r="AU92" s="21" t="e">
        <f t="shared" si="20"/>
        <v>#N/A</v>
      </c>
      <c r="AV92" s="21" t="e">
        <f t="shared" si="21"/>
        <v>#N/A</v>
      </c>
      <c r="AW92" s="21" t="e">
        <f t="shared" si="24"/>
        <v>#N/A</v>
      </c>
      <c r="AX92" s="21"/>
      <c r="AZ92" s="21">
        <f t="shared" si="27"/>
        <v>4.4499999999999922</v>
      </c>
      <c r="BA92" s="1">
        <f t="shared" si="22"/>
        <v>0.17258426966292165</v>
      </c>
      <c r="BB92" s="21"/>
    </row>
    <row r="93" spans="1:54" x14ac:dyDescent="0.25">
      <c r="A93" s="5"/>
      <c r="X93" s="6"/>
      <c r="Y93" s="6"/>
      <c r="Z93" s="6"/>
      <c r="AA93" s="6"/>
      <c r="AB93" s="6"/>
      <c r="AC93" s="6"/>
      <c r="AD93" s="6"/>
      <c r="AP93" s="21">
        <f t="shared" si="25"/>
        <v>4.499999999999992</v>
      </c>
      <c r="AQ93" s="21">
        <f t="shared" si="23"/>
        <v>0.17066666666666697</v>
      </c>
      <c r="AR93" s="21"/>
      <c r="AS93" s="21"/>
      <c r="AT93" s="21">
        <f t="shared" si="26"/>
        <v>4.499999999999992</v>
      </c>
      <c r="AU93" s="21" t="e">
        <f t="shared" si="20"/>
        <v>#N/A</v>
      </c>
      <c r="AV93" s="21" t="e">
        <f t="shared" si="21"/>
        <v>#N/A</v>
      </c>
      <c r="AW93" s="21" t="e">
        <f t="shared" si="24"/>
        <v>#N/A</v>
      </c>
      <c r="AX93" s="21"/>
      <c r="AZ93" s="21">
        <f t="shared" si="27"/>
        <v>4.499999999999992</v>
      </c>
      <c r="BA93" s="1">
        <f t="shared" si="22"/>
        <v>0.17066666666666697</v>
      </c>
      <c r="BB93" s="21"/>
    </row>
    <row r="94" spans="1:54" x14ac:dyDescent="0.25">
      <c r="A94" s="5"/>
      <c r="Y94" s="6"/>
      <c r="Z94" s="6"/>
      <c r="AA94" s="6"/>
      <c r="AB94" s="6"/>
      <c r="AC94" s="6"/>
      <c r="AD94" s="6"/>
      <c r="AP94" s="21">
        <f t="shared" si="25"/>
        <v>4.5499999999999918</v>
      </c>
      <c r="AQ94" s="21">
        <f t="shared" si="23"/>
        <v>0.1687912087912091</v>
      </c>
      <c r="AR94" s="21"/>
      <c r="AS94" s="21"/>
      <c r="AT94" s="21">
        <f t="shared" si="26"/>
        <v>4.5499999999999918</v>
      </c>
      <c r="AU94" s="21" t="e">
        <f t="shared" si="20"/>
        <v>#N/A</v>
      </c>
      <c r="AV94" s="21" t="e">
        <f t="shared" si="21"/>
        <v>#N/A</v>
      </c>
      <c r="AW94" s="21" t="e">
        <f t="shared" si="24"/>
        <v>#N/A</v>
      </c>
      <c r="AX94" s="21"/>
      <c r="AZ94" s="21">
        <f t="shared" si="27"/>
        <v>4.5499999999999918</v>
      </c>
      <c r="BA94" s="1">
        <f t="shared" si="22"/>
        <v>0.1687912087912091</v>
      </c>
      <c r="BB94" s="21"/>
    </row>
    <row r="95" spans="1:54" x14ac:dyDescent="0.25">
      <c r="A95" s="5"/>
      <c r="Y95" s="6"/>
      <c r="Z95" s="6"/>
      <c r="AA95" s="6"/>
      <c r="AB95" s="6"/>
      <c r="AC95" s="6"/>
      <c r="AD95" s="6"/>
      <c r="AP95" s="21">
        <f t="shared" si="25"/>
        <v>4.5999999999999917</v>
      </c>
      <c r="AQ95" s="21">
        <f t="shared" si="23"/>
        <v>0.16695652173913075</v>
      </c>
      <c r="AR95" s="21"/>
      <c r="AS95" s="21"/>
      <c r="AT95" s="21">
        <f t="shared" si="26"/>
        <v>4.5999999999999917</v>
      </c>
      <c r="AU95" s="21" t="e">
        <f t="shared" si="20"/>
        <v>#N/A</v>
      </c>
      <c r="AV95" s="21" t="e">
        <f t="shared" si="21"/>
        <v>#N/A</v>
      </c>
      <c r="AW95" s="21" t="e">
        <f t="shared" si="24"/>
        <v>#N/A</v>
      </c>
      <c r="AX95" s="21"/>
      <c r="AZ95" s="21">
        <f t="shared" si="27"/>
        <v>4.5999999999999917</v>
      </c>
      <c r="BA95" s="1">
        <f t="shared" si="22"/>
        <v>0.16695652173913075</v>
      </c>
      <c r="BB95" s="21"/>
    </row>
    <row r="96" spans="1:54" x14ac:dyDescent="0.25">
      <c r="A96" s="5"/>
      <c r="X96" s="6"/>
      <c r="Y96" s="6"/>
      <c r="Z96" s="6"/>
      <c r="AA96" s="6"/>
      <c r="AB96" s="6"/>
      <c r="AC96" s="6"/>
      <c r="AD96" s="6"/>
      <c r="AP96" s="21">
        <f t="shared" si="25"/>
        <v>4.6499999999999915</v>
      </c>
      <c r="AQ96" s="21">
        <f t="shared" si="23"/>
        <v>0.16516129032258095</v>
      </c>
      <c r="AR96" s="21"/>
      <c r="AS96" s="21"/>
      <c r="AT96" s="21">
        <f t="shared" si="26"/>
        <v>4.6499999999999915</v>
      </c>
      <c r="AU96" s="21" t="e">
        <f t="shared" si="20"/>
        <v>#N/A</v>
      </c>
      <c r="AV96" s="21" t="e">
        <f t="shared" si="21"/>
        <v>#N/A</v>
      </c>
      <c r="AW96" s="21" t="e">
        <f t="shared" si="24"/>
        <v>#N/A</v>
      </c>
      <c r="AX96" s="21"/>
      <c r="AZ96" s="21">
        <f t="shared" si="27"/>
        <v>4.6499999999999915</v>
      </c>
      <c r="BA96" s="1">
        <f t="shared" si="22"/>
        <v>0.16516129032258095</v>
      </c>
      <c r="BB96" s="21"/>
    </row>
    <row r="97" spans="1:54" x14ac:dyDescent="0.25">
      <c r="A97" s="5"/>
      <c r="V97" s="6"/>
      <c r="X97" s="6"/>
      <c r="Y97" s="6"/>
      <c r="Z97" s="6"/>
      <c r="AA97" s="6"/>
      <c r="AB97" s="6"/>
      <c r="AC97" s="6"/>
      <c r="AD97" s="6"/>
      <c r="AP97" s="21">
        <f t="shared" si="25"/>
        <v>4.6999999999999913</v>
      </c>
      <c r="AQ97" s="21">
        <f t="shared" si="23"/>
        <v>0.16340425531914923</v>
      </c>
      <c r="AR97" s="21"/>
      <c r="AS97" s="21"/>
      <c r="AT97" s="21">
        <f t="shared" si="26"/>
        <v>4.6999999999999913</v>
      </c>
      <c r="AU97" s="21" t="e">
        <f t="shared" si="20"/>
        <v>#N/A</v>
      </c>
      <c r="AV97" s="21" t="e">
        <f t="shared" si="21"/>
        <v>#N/A</v>
      </c>
      <c r="AW97" s="21" t="e">
        <f t="shared" si="24"/>
        <v>#N/A</v>
      </c>
      <c r="AX97" s="21"/>
      <c r="AZ97" s="21">
        <f t="shared" si="27"/>
        <v>4.6999999999999913</v>
      </c>
      <c r="BA97" s="1">
        <f t="shared" si="22"/>
        <v>0.16340425531914923</v>
      </c>
      <c r="BB97" s="21"/>
    </row>
    <row r="98" spans="1:54" x14ac:dyDescent="0.25">
      <c r="A98" s="5"/>
      <c r="V98" s="6"/>
      <c r="W98" s="6"/>
      <c r="X98" s="6"/>
      <c r="Y98" s="6"/>
      <c r="Z98" s="6"/>
      <c r="AA98" s="6"/>
      <c r="AB98" s="6"/>
      <c r="AC98" s="6"/>
      <c r="AD98" s="6"/>
      <c r="AP98" s="21">
        <f t="shared" si="25"/>
        <v>4.7499999999999911</v>
      </c>
      <c r="AQ98" s="21">
        <f t="shared" si="23"/>
        <v>0.1616842105263161</v>
      </c>
      <c r="AR98" s="21"/>
      <c r="AS98" s="21"/>
      <c r="AT98" s="21">
        <f t="shared" si="26"/>
        <v>4.7499999999999911</v>
      </c>
      <c r="AU98" s="21" t="e">
        <f t="shared" si="20"/>
        <v>#N/A</v>
      </c>
      <c r="AV98" s="21" t="e">
        <f t="shared" si="21"/>
        <v>#N/A</v>
      </c>
      <c r="AW98" s="21" t="e">
        <f t="shared" si="24"/>
        <v>#N/A</v>
      </c>
      <c r="AX98" s="21"/>
      <c r="AZ98" s="21">
        <f t="shared" si="27"/>
        <v>4.7499999999999911</v>
      </c>
      <c r="BA98" s="1">
        <f t="shared" si="22"/>
        <v>0.1616842105263161</v>
      </c>
      <c r="BB98" s="21"/>
    </row>
    <row r="99" spans="1:54" x14ac:dyDescent="0.25">
      <c r="A99" s="5"/>
      <c r="V99" s="6"/>
      <c r="W99" s="6"/>
      <c r="X99" s="6"/>
      <c r="Y99" s="6"/>
      <c r="Z99" s="6"/>
      <c r="AA99" s="6"/>
      <c r="AB99" s="6"/>
      <c r="AC99" s="6"/>
      <c r="AD99" s="6"/>
      <c r="AP99" s="21">
        <f t="shared" si="25"/>
        <v>4.7999999999999909</v>
      </c>
      <c r="AQ99" s="21">
        <f t="shared" si="23"/>
        <v>0.16000000000000031</v>
      </c>
      <c r="AR99" s="21"/>
      <c r="AS99" s="21"/>
      <c r="AT99" s="21">
        <f t="shared" si="26"/>
        <v>4.7999999999999909</v>
      </c>
      <c r="AU99" s="21" t="e">
        <f t="shared" ref="AU99:AU130" si="28">IF(AT99&lt;$AM$8,2.5*$M$20*$M$23*$F$18,IF(AND(AT99&gt;=$AM$8,AT99&lt;$AM$9),1.2*$M$21*$M$24*$F$18/AT99,1.2*$M$21*$M$24*$AM$9*$F$18/AT99^2))</f>
        <v>#N/A</v>
      </c>
      <c r="AV99" s="21" t="e">
        <f t="shared" ref="AV99:AV130" si="29">IF(AT99&lt;$AN$8,2.5*$M$20*$AH$76*$F$18,IF(AND(AT99&gt;=$AN$8,AT99&lt;$AN$9),1.2*$M$21*$AH$77*$F$18/AT99,1.2*$M$21*$AH$77*$AN$9*$F$18/AT99^2))</f>
        <v>#N/A</v>
      </c>
      <c r="AW99" s="21" t="e">
        <f t="shared" si="24"/>
        <v>#N/A</v>
      </c>
      <c r="AX99" s="21"/>
      <c r="AZ99" s="21">
        <f t="shared" si="27"/>
        <v>4.7999999999999909</v>
      </c>
      <c r="BA99" s="1">
        <f t="shared" ref="BA99:BA130" si="30">IF($F$16="NSR 10",AQ99,AW99)</f>
        <v>0.16000000000000031</v>
      </c>
      <c r="BB99" s="21"/>
    </row>
    <row r="100" spans="1:54" x14ac:dyDescent="0.25">
      <c r="A100" s="5"/>
      <c r="V100" s="6"/>
      <c r="W100" s="6"/>
      <c r="X100" s="6"/>
      <c r="Y100" s="6"/>
      <c r="Z100" s="6"/>
      <c r="AA100" s="6"/>
      <c r="AB100" s="6"/>
      <c r="AC100" s="6"/>
      <c r="AD100" s="6"/>
      <c r="AP100" s="21">
        <f t="shared" si="25"/>
        <v>4.8499999999999908</v>
      </c>
      <c r="AQ100" s="21">
        <f t="shared" si="23"/>
        <v>0.15835051546391782</v>
      </c>
      <c r="AR100" s="21"/>
      <c r="AS100" s="21"/>
      <c r="AT100" s="21">
        <f t="shared" si="26"/>
        <v>4.8499999999999908</v>
      </c>
      <c r="AU100" s="21" t="e">
        <f t="shared" si="28"/>
        <v>#N/A</v>
      </c>
      <c r="AV100" s="21" t="e">
        <f t="shared" si="29"/>
        <v>#N/A</v>
      </c>
      <c r="AW100" s="21" t="e">
        <f t="shared" si="24"/>
        <v>#N/A</v>
      </c>
      <c r="AX100" s="21"/>
      <c r="AZ100" s="21">
        <f t="shared" si="27"/>
        <v>4.8499999999999908</v>
      </c>
      <c r="BA100" s="1">
        <f t="shared" si="30"/>
        <v>0.15835051546391782</v>
      </c>
      <c r="BB100" s="21"/>
    </row>
    <row r="101" spans="1:54" x14ac:dyDescent="0.25">
      <c r="A101" s="5"/>
      <c r="V101" s="6"/>
      <c r="W101" s="6"/>
      <c r="X101" s="6"/>
      <c r="Y101" s="6"/>
      <c r="Z101" s="6"/>
      <c r="AA101" s="6"/>
      <c r="AB101" s="6"/>
      <c r="AC101" s="6"/>
      <c r="AD101" s="6"/>
      <c r="AP101" s="21">
        <f t="shared" si="25"/>
        <v>4.8999999999999906</v>
      </c>
      <c r="AQ101" s="21">
        <f t="shared" si="23"/>
        <v>0.15673469387755132</v>
      </c>
      <c r="AR101" s="21"/>
      <c r="AS101" s="21"/>
      <c r="AT101" s="21">
        <f t="shared" si="26"/>
        <v>4.8999999999999906</v>
      </c>
      <c r="AU101" s="21" t="e">
        <f t="shared" si="28"/>
        <v>#N/A</v>
      </c>
      <c r="AV101" s="21" t="e">
        <f t="shared" si="29"/>
        <v>#N/A</v>
      </c>
      <c r="AW101" s="21" t="e">
        <f t="shared" si="24"/>
        <v>#N/A</v>
      </c>
      <c r="AX101" s="21"/>
      <c r="AZ101" s="21">
        <f t="shared" si="27"/>
        <v>4.8999999999999906</v>
      </c>
      <c r="BA101" s="1">
        <f t="shared" si="30"/>
        <v>0.15673469387755132</v>
      </c>
      <c r="BB101" s="21"/>
    </row>
    <row r="102" spans="1:54" x14ac:dyDescent="0.25">
      <c r="A102" s="5"/>
      <c r="V102" s="6"/>
      <c r="W102" s="6"/>
      <c r="X102" s="6"/>
      <c r="Y102" s="6"/>
      <c r="Z102" s="6"/>
      <c r="AA102" s="6"/>
      <c r="AB102" s="6"/>
      <c r="AC102" s="6"/>
      <c r="AD102" s="6"/>
      <c r="AP102" s="21">
        <f t="shared" si="25"/>
        <v>4.9499999999999904</v>
      </c>
      <c r="AQ102" s="21">
        <f t="shared" si="23"/>
        <v>0.15515151515151546</v>
      </c>
      <c r="AR102" s="21"/>
      <c r="AS102" s="21"/>
      <c r="AT102" s="21">
        <f t="shared" si="26"/>
        <v>4.9499999999999904</v>
      </c>
      <c r="AU102" s="21" t="e">
        <f t="shared" si="28"/>
        <v>#N/A</v>
      </c>
      <c r="AV102" s="21" t="e">
        <f t="shared" si="29"/>
        <v>#N/A</v>
      </c>
      <c r="AW102" s="21" t="e">
        <f t="shared" si="24"/>
        <v>#N/A</v>
      </c>
      <c r="AX102" s="21"/>
      <c r="AZ102" s="21">
        <f t="shared" si="27"/>
        <v>4.9499999999999904</v>
      </c>
      <c r="BA102" s="1">
        <f t="shared" si="30"/>
        <v>0.15515151515151546</v>
      </c>
      <c r="BB102" s="21"/>
    </row>
    <row r="103" spans="1:54" x14ac:dyDescent="0.25">
      <c r="A103" s="5"/>
      <c r="AP103" s="21">
        <f t="shared" si="25"/>
        <v>4.9999999999999902</v>
      </c>
      <c r="AQ103" s="21">
        <f t="shared" si="23"/>
        <v>0.15360000000000029</v>
      </c>
      <c r="AR103" s="21"/>
      <c r="AS103" s="21"/>
      <c r="AT103" s="21">
        <f t="shared" si="26"/>
        <v>4.9999999999999902</v>
      </c>
      <c r="AU103" s="21" t="e">
        <f t="shared" si="28"/>
        <v>#N/A</v>
      </c>
      <c r="AV103" s="21" t="e">
        <f t="shared" si="29"/>
        <v>#N/A</v>
      </c>
      <c r="AW103" s="21" t="e">
        <f t="shared" si="24"/>
        <v>#N/A</v>
      </c>
      <c r="AX103" s="21"/>
      <c r="AZ103" s="21">
        <f t="shared" si="27"/>
        <v>4.9999999999999902</v>
      </c>
      <c r="BA103" s="1">
        <f t="shared" si="30"/>
        <v>0.15360000000000029</v>
      </c>
      <c r="BB103" s="21"/>
    </row>
    <row r="104" spans="1:54" x14ac:dyDescent="0.25">
      <c r="A104" s="5"/>
      <c r="AP104" s="21">
        <f t="shared" si="25"/>
        <v>5.0499999999999901</v>
      </c>
      <c r="AQ104" s="21">
        <f t="shared" si="23"/>
        <v>0.15207920792079238</v>
      </c>
      <c r="AR104" s="21"/>
      <c r="AS104" s="21"/>
      <c r="AT104" s="21">
        <f t="shared" si="26"/>
        <v>5.0499999999999901</v>
      </c>
      <c r="AU104" s="21" t="e">
        <f t="shared" si="28"/>
        <v>#N/A</v>
      </c>
      <c r="AV104" s="21" t="e">
        <f t="shared" si="29"/>
        <v>#N/A</v>
      </c>
      <c r="AW104" s="21" t="e">
        <f t="shared" si="24"/>
        <v>#N/A</v>
      </c>
      <c r="AX104" s="21"/>
      <c r="AZ104" s="21">
        <f t="shared" si="27"/>
        <v>5.0499999999999901</v>
      </c>
      <c r="BA104" s="1">
        <f t="shared" si="30"/>
        <v>0.15207920792079238</v>
      </c>
      <c r="BB104" s="21"/>
    </row>
    <row r="105" spans="1:54" x14ac:dyDescent="0.25">
      <c r="A105" s="5"/>
      <c r="AP105" s="21">
        <f t="shared" si="25"/>
        <v>5.0999999999999899</v>
      </c>
      <c r="AQ105" s="21">
        <f t="shared" si="23"/>
        <v>0.15058823529411794</v>
      </c>
      <c r="AR105" s="21"/>
      <c r="AS105" s="21"/>
      <c r="AT105" s="21">
        <f t="shared" si="26"/>
        <v>5.0999999999999899</v>
      </c>
      <c r="AU105" s="21" t="e">
        <f t="shared" si="28"/>
        <v>#N/A</v>
      </c>
      <c r="AV105" s="21" t="e">
        <f t="shared" si="29"/>
        <v>#N/A</v>
      </c>
      <c r="AW105" s="21" t="e">
        <f t="shared" si="24"/>
        <v>#N/A</v>
      </c>
      <c r="AX105" s="21"/>
      <c r="AZ105" s="21">
        <f t="shared" si="27"/>
        <v>5.0999999999999899</v>
      </c>
      <c r="BA105" s="1">
        <f t="shared" si="30"/>
        <v>0.15058823529411794</v>
      </c>
      <c r="BB105" s="21"/>
    </row>
    <row r="106" spans="1:54" x14ac:dyDescent="0.25">
      <c r="A106" s="5"/>
      <c r="AP106" s="21">
        <f t="shared" si="25"/>
        <v>5.1499999999999897</v>
      </c>
      <c r="AQ106" s="21">
        <f t="shared" si="23"/>
        <v>0.1491262135922333</v>
      </c>
      <c r="AR106" s="21"/>
      <c r="AS106" s="21"/>
      <c r="AT106" s="21">
        <f t="shared" si="26"/>
        <v>5.1499999999999897</v>
      </c>
      <c r="AU106" s="21" t="e">
        <f t="shared" si="28"/>
        <v>#N/A</v>
      </c>
      <c r="AV106" s="21" t="e">
        <f t="shared" si="29"/>
        <v>#N/A</v>
      </c>
      <c r="AW106" s="21" t="e">
        <f t="shared" si="24"/>
        <v>#N/A</v>
      </c>
      <c r="AX106" s="21"/>
      <c r="AZ106" s="21">
        <f t="shared" si="27"/>
        <v>5.1499999999999897</v>
      </c>
      <c r="BA106" s="1">
        <f t="shared" si="30"/>
        <v>0.1491262135922333</v>
      </c>
      <c r="BB106" s="21"/>
    </row>
    <row r="107" spans="1:54" x14ac:dyDescent="0.25">
      <c r="A107" s="5"/>
      <c r="AP107" s="21">
        <f t="shared" si="25"/>
        <v>5.1999999999999895</v>
      </c>
      <c r="AQ107" s="21">
        <f t="shared" si="23"/>
        <v>0.14769230769230798</v>
      </c>
      <c r="AR107" s="21"/>
      <c r="AS107" s="21"/>
      <c r="AT107" s="21">
        <f t="shared" si="26"/>
        <v>5.1999999999999895</v>
      </c>
      <c r="AU107" s="21" t="e">
        <f t="shared" si="28"/>
        <v>#N/A</v>
      </c>
      <c r="AV107" s="21" t="e">
        <f t="shared" si="29"/>
        <v>#N/A</v>
      </c>
      <c r="AW107" s="21" t="e">
        <f t="shared" si="24"/>
        <v>#N/A</v>
      </c>
      <c r="AX107" s="21"/>
      <c r="AZ107" s="21">
        <f t="shared" si="27"/>
        <v>5.1999999999999895</v>
      </c>
      <c r="BA107" s="1">
        <f t="shared" si="30"/>
        <v>0.14769230769230798</v>
      </c>
      <c r="BB107" s="21"/>
    </row>
    <row r="108" spans="1:54" x14ac:dyDescent="0.25">
      <c r="A108" s="5"/>
      <c r="AP108" s="21">
        <f t="shared" si="25"/>
        <v>5.2499999999999893</v>
      </c>
      <c r="AQ108" s="21">
        <f t="shared" si="23"/>
        <v>0.14628571428571457</v>
      </c>
      <c r="AR108" s="21"/>
      <c r="AS108" s="21"/>
      <c r="AT108" s="21">
        <f t="shared" si="26"/>
        <v>5.2499999999999893</v>
      </c>
      <c r="AU108" s="21" t="e">
        <f t="shared" si="28"/>
        <v>#N/A</v>
      </c>
      <c r="AV108" s="21" t="e">
        <f t="shared" si="29"/>
        <v>#N/A</v>
      </c>
      <c r="AW108" s="21" t="e">
        <f t="shared" si="24"/>
        <v>#N/A</v>
      </c>
      <c r="AX108" s="21"/>
      <c r="AZ108" s="21">
        <f t="shared" si="27"/>
        <v>5.2499999999999893</v>
      </c>
      <c r="BA108" s="1">
        <f t="shared" si="30"/>
        <v>0.14628571428571457</v>
      </c>
      <c r="BB108" s="21"/>
    </row>
    <row r="109" spans="1:54" x14ac:dyDescent="0.25">
      <c r="A109" s="5"/>
      <c r="AP109" s="21">
        <f t="shared" si="25"/>
        <v>5.2999999999999892</v>
      </c>
      <c r="AQ109" s="21">
        <f t="shared" si="23"/>
        <v>0.1449056603773588</v>
      </c>
      <c r="AR109" s="21"/>
      <c r="AS109" s="21"/>
      <c r="AT109" s="21">
        <f t="shared" si="26"/>
        <v>5.2999999999999892</v>
      </c>
      <c r="AU109" s="21" t="e">
        <f t="shared" si="28"/>
        <v>#N/A</v>
      </c>
      <c r="AV109" s="21" t="e">
        <f t="shared" si="29"/>
        <v>#N/A</v>
      </c>
      <c r="AW109" s="21" t="e">
        <f t="shared" si="24"/>
        <v>#N/A</v>
      </c>
      <c r="AX109" s="21"/>
      <c r="AZ109" s="21">
        <f t="shared" si="27"/>
        <v>5.2999999999999892</v>
      </c>
      <c r="BA109" s="1">
        <f t="shared" si="30"/>
        <v>0.1449056603773588</v>
      </c>
      <c r="BB109" s="21"/>
    </row>
    <row r="110" spans="1:54" x14ac:dyDescent="0.25">
      <c r="A110" s="5"/>
      <c r="AP110" s="21">
        <f t="shared" si="25"/>
        <v>5.349999999999989</v>
      </c>
      <c r="AQ110" s="21">
        <f t="shared" si="23"/>
        <v>0.14355140186915918</v>
      </c>
      <c r="AR110" s="21"/>
      <c r="AS110" s="21"/>
      <c r="AT110" s="21">
        <f t="shared" si="26"/>
        <v>5.349999999999989</v>
      </c>
      <c r="AU110" s="21" t="e">
        <f t="shared" si="28"/>
        <v>#N/A</v>
      </c>
      <c r="AV110" s="21" t="e">
        <f t="shared" si="29"/>
        <v>#N/A</v>
      </c>
      <c r="AW110" s="21" t="e">
        <f t="shared" si="24"/>
        <v>#N/A</v>
      </c>
      <c r="AX110" s="21"/>
      <c r="AZ110" s="21">
        <f t="shared" si="27"/>
        <v>5.349999999999989</v>
      </c>
      <c r="BA110" s="1">
        <f t="shared" si="30"/>
        <v>0.14355140186915918</v>
      </c>
      <c r="BB110" s="21"/>
    </row>
    <row r="111" spans="1:54" x14ac:dyDescent="0.25">
      <c r="A111" s="5"/>
      <c r="AP111" s="21">
        <f t="shared" si="25"/>
        <v>5.3999999999999888</v>
      </c>
      <c r="AQ111" s="21">
        <f t="shared" si="23"/>
        <v>0.14222222222222253</v>
      </c>
      <c r="AR111" s="21"/>
      <c r="AS111" s="21"/>
      <c r="AT111" s="21">
        <f t="shared" si="26"/>
        <v>5.3999999999999888</v>
      </c>
      <c r="AU111" s="21" t="e">
        <f t="shared" si="28"/>
        <v>#N/A</v>
      </c>
      <c r="AV111" s="21" t="e">
        <f t="shared" si="29"/>
        <v>#N/A</v>
      </c>
      <c r="AW111" s="21" t="e">
        <f t="shared" si="24"/>
        <v>#N/A</v>
      </c>
      <c r="AX111" s="21"/>
      <c r="AZ111" s="21">
        <f t="shared" si="27"/>
        <v>5.3999999999999888</v>
      </c>
      <c r="BA111" s="1">
        <f t="shared" si="30"/>
        <v>0.14222222222222253</v>
      </c>
      <c r="BB111" s="21"/>
    </row>
    <row r="112" spans="1:54" x14ac:dyDescent="0.25">
      <c r="A112" s="5"/>
      <c r="AP112" s="21">
        <f t="shared" si="25"/>
        <v>5.4499999999999886</v>
      </c>
      <c r="AQ112" s="21">
        <f t="shared" si="23"/>
        <v>0.14091743119266084</v>
      </c>
      <c r="AR112" s="21"/>
      <c r="AS112" s="21"/>
      <c r="AT112" s="21">
        <f t="shared" si="26"/>
        <v>5.4499999999999886</v>
      </c>
      <c r="AU112" s="21" t="e">
        <f t="shared" si="28"/>
        <v>#N/A</v>
      </c>
      <c r="AV112" s="21" t="e">
        <f t="shared" si="29"/>
        <v>#N/A</v>
      </c>
      <c r="AW112" s="21" t="e">
        <f t="shared" si="24"/>
        <v>#N/A</v>
      </c>
      <c r="AX112" s="21"/>
      <c r="AZ112" s="21">
        <f t="shared" si="27"/>
        <v>5.4499999999999886</v>
      </c>
      <c r="BA112" s="1">
        <f t="shared" si="30"/>
        <v>0.14091743119266084</v>
      </c>
      <c r="BB112" s="21"/>
    </row>
    <row r="113" spans="1:54" x14ac:dyDescent="0.25">
      <c r="A113" s="5"/>
      <c r="AP113" s="21">
        <f t="shared" si="25"/>
        <v>5.4999999999999885</v>
      </c>
      <c r="AQ113" s="21">
        <f t="shared" si="23"/>
        <v>0.13963636363636392</v>
      </c>
      <c r="AR113" s="21"/>
      <c r="AS113" s="21"/>
      <c r="AT113" s="21">
        <f t="shared" si="26"/>
        <v>5.4999999999999885</v>
      </c>
      <c r="AU113" s="21" t="e">
        <f t="shared" si="28"/>
        <v>#N/A</v>
      </c>
      <c r="AV113" s="21" t="e">
        <f t="shared" si="29"/>
        <v>#N/A</v>
      </c>
      <c r="AW113" s="21" t="e">
        <f t="shared" si="24"/>
        <v>#N/A</v>
      </c>
      <c r="AX113" s="21"/>
      <c r="AZ113" s="21">
        <f t="shared" si="27"/>
        <v>5.4999999999999885</v>
      </c>
      <c r="BA113" s="1">
        <f t="shared" si="30"/>
        <v>0.13963636363636392</v>
      </c>
      <c r="BB113" s="21"/>
    </row>
    <row r="114" spans="1:54" x14ac:dyDescent="0.25">
      <c r="A114" s="5"/>
      <c r="AP114" s="21">
        <f t="shared" si="25"/>
        <v>5.5499999999999883</v>
      </c>
      <c r="AQ114" s="21">
        <f t="shared" si="23"/>
        <v>0.13837837837837869</v>
      </c>
      <c r="AR114" s="21"/>
      <c r="AS114" s="21"/>
      <c r="AT114" s="21">
        <f t="shared" si="26"/>
        <v>5.5499999999999883</v>
      </c>
      <c r="AU114" s="21" t="e">
        <f t="shared" si="28"/>
        <v>#N/A</v>
      </c>
      <c r="AV114" s="21" t="e">
        <f t="shared" si="29"/>
        <v>#N/A</v>
      </c>
      <c r="AW114" s="21" t="e">
        <f t="shared" si="24"/>
        <v>#N/A</v>
      </c>
      <c r="AX114" s="21"/>
      <c r="AZ114" s="21">
        <f t="shared" si="27"/>
        <v>5.5499999999999883</v>
      </c>
      <c r="BA114" s="1">
        <f t="shared" si="30"/>
        <v>0.13837837837837869</v>
      </c>
      <c r="BB114" s="21"/>
    </row>
    <row r="115" spans="1:54" x14ac:dyDescent="0.25">
      <c r="A115" s="5"/>
      <c r="V115" s="6"/>
      <c r="W115" s="6"/>
      <c r="X115" s="6"/>
      <c r="Y115" s="6"/>
      <c r="Z115" s="6"/>
      <c r="AA115" s="6"/>
      <c r="AB115" s="6"/>
      <c r="AC115" s="6"/>
      <c r="AD115" s="6"/>
      <c r="AP115" s="21">
        <f>AP114+0.05</f>
        <v>5.5999999999999881</v>
      </c>
      <c r="AQ115" s="21">
        <f t="shared" si="23"/>
        <v>0.13714285714285743</v>
      </c>
      <c r="AR115" s="21"/>
      <c r="AS115" s="21"/>
      <c r="AT115" s="21">
        <f>AT114+0.05</f>
        <v>5.5999999999999881</v>
      </c>
      <c r="AU115" s="21" t="e">
        <f t="shared" si="28"/>
        <v>#N/A</v>
      </c>
      <c r="AV115" s="21" t="e">
        <f t="shared" si="29"/>
        <v>#N/A</v>
      </c>
      <c r="AW115" s="21" t="e">
        <f t="shared" si="24"/>
        <v>#N/A</v>
      </c>
      <c r="AX115" s="21"/>
      <c r="AZ115" s="21">
        <f>AZ114+0.05</f>
        <v>5.5999999999999881</v>
      </c>
      <c r="BA115" s="1">
        <f t="shared" si="30"/>
        <v>0.13714285714285743</v>
      </c>
      <c r="BB115" s="21"/>
    </row>
    <row r="116" spans="1:54" x14ac:dyDescent="0.25">
      <c r="A116" s="5"/>
      <c r="V116" s="6"/>
      <c r="W116" s="6"/>
      <c r="X116" s="6"/>
      <c r="Y116" s="6"/>
      <c r="Z116" s="6"/>
      <c r="AA116" s="6"/>
      <c r="AB116" s="6"/>
      <c r="AC116" s="6"/>
      <c r="AD116" s="6"/>
      <c r="AP116" s="21">
        <f t="shared" ref="AP116:AP134" si="31">AP115+0.05</f>
        <v>5.6499999999999879</v>
      </c>
      <c r="AQ116" s="21">
        <f t="shared" si="23"/>
        <v>0.1359292035398233</v>
      </c>
      <c r="AR116" s="21"/>
      <c r="AS116" s="21"/>
      <c r="AT116" s="21">
        <f t="shared" ref="AT116:AT134" si="32">AT115+0.05</f>
        <v>5.6499999999999879</v>
      </c>
      <c r="AU116" s="21" t="e">
        <f t="shared" si="28"/>
        <v>#N/A</v>
      </c>
      <c r="AV116" s="21" t="e">
        <f t="shared" si="29"/>
        <v>#N/A</v>
      </c>
      <c r="AW116" s="21" t="e">
        <f t="shared" si="24"/>
        <v>#N/A</v>
      </c>
      <c r="AX116" s="21"/>
      <c r="AZ116" s="21">
        <f t="shared" ref="AZ116:AZ134" si="33">AZ115+0.05</f>
        <v>5.6499999999999879</v>
      </c>
      <c r="BA116" s="1">
        <f t="shared" si="30"/>
        <v>0.1359292035398233</v>
      </c>
      <c r="BB116" s="21"/>
    </row>
    <row r="117" spans="1:54" x14ac:dyDescent="0.25">
      <c r="A117" s="5"/>
      <c r="AP117" s="21">
        <f t="shared" si="31"/>
        <v>5.6999999999999877</v>
      </c>
      <c r="AQ117" s="21">
        <f t="shared" si="23"/>
        <v>0.13473684210526346</v>
      </c>
      <c r="AR117" s="21"/>
      <c r="AS117" s="21"/>
      <c r="AT117" s="21">
        <f t="shared" si="32"/>
        <v>5.6999999999999877</v>
      </c>
      <c r="AU117" s="21" t="e">
        <f t="shared" si="28"/>
        <v>#N/A</v>
      </c>
      <c r="AV117" s="21" t="e">
        <f t="shared" si="29"/>
        <v>#N/A</v>
      </c>
      <c r="AW117" s="21" t="e">
        <f t="shared" si="24"/>
        <v>#N/A</v>
      </c>
      <c r="AX117" s="21"/>
      <c r="AZ117" s="21">
        <f t="shared" si="33"/>
        <v>5.6999999999999877</v>
      </c>
      <c r="BA117" s="1">
        <f t="shared" si="30"/>
        <v>0.13473684210526346</v>
      </c>
      <c r="BB117" s="21"/>
    </row>
    <row r="118" spans="1:54" x14ac:dyDescent="0.25">
      <c r="A118" s="5"/>
      <c r="AP118" s="21">
        <f t="shared" si="31"/>
        <v>5.7499999999999876</v>
      </c>
      <c r="AQ118" s="21">
        <f t="shared" si="23"/>
        <v>0.13356521739130464</v>
      </c>
      <c r="AR118" s="21"/>
      <c r="AS118" s="21"/>
      <c r="AT118" s="21">
        <f t="shared" si="32"/>
        <v>5.7499999999999876</v>
      </c>
      <c r="AU118" s="21" t="e">
        <f t="shared" si="28"/>
        <v>#N/A</v>
      </c>
      <c r="AV118" s="21" t="e">
        <f t="shared" si="29"/>
        <v>#N/A</v>
      </c>
      <c r="AW118" s="21" t="e">
        <f t="shared" si="24"/>
        <v>#N/A</v>
      </c>
      <c r="AX118" s="21"/>
      <c r="AZ118" s="21">
        <f t="shared" si="33"/>
        <v>5.7499999999999876</v>
      </c>
      <c r="BA118" s="1">
        <f t="shared" si="30"/>
        <v>0.13356521739130464</v>
      </c>
      <c r="BB118" s="21"/>
    </row>
    <row r="119" spans="1:54" x14ac:dyDescent="0.25">
      <c r="A119" s="5"/>
      <c r="AP119" s="21">
        <f t="shared" si="31"/>
        <v>5.7999999999999874</v>
      </c>
      <c r="AQ119" s="21">
        <f t="shared" si="23"/>
        <v>0.13241379310344856</v>
      </c>
      <c r="AR119" s="21"/>
      <c r="AS119" s="21"/>
      <c r="AT119" s="21">
        <f t="shared" si="32"/>
        <v>5.7999999999999874</v>
      </c>
      <c r="AU119" s="21" t="e">
        <f t="shared" si="28"/>
        <v>#N/A</v>
      </c>
      <c r="AV119" s="21" t="e">
        <f t="shared" si="29"/>
        <v>#N/A</v>
      </c>
      <c r="AW119" s="21" t="e">
        <f t="shared" si="24"/>
        <v>#N/A</v>
      </c>
      <c r="AX119" s="21"/>
      <c r="AZ119" s="21">
        <f t="shared" si="33"/>
        <v>5.7999999999999874</v>
      </c>
      <c r="BA119" s="1">
        <f t="shared" si="30"/>
        <v>0.13241379310344856</v>
      </c>
      <c r="BB119" s="21"/>
    </row>
    <row r="120" spans="1:54" x14ac:dyDescent="0.25">
      <c r="A120" s="5"/>
      <c r="AP120" s="21">
        <f t="shared" si="31"/>
        <v>5.8499999999999872</v>
      </c>
      <c r="AQ120" s="21">
        <f t="shared" si="23"/>
        <v>0.13128205128205156</v>
      </c>
      <c r="AR120" s="21"/>
      <c r="AS120" s="21"/>
      <c r="AT120" s="21">
        <f t="shared" si="32"/>
        <v>5.8499999999999872</v>
      </c>
      <c r="AU120" s="21" t="e">
        <f t="shared" si="28"/>
        <v>#N/A</v>
      </c>
      <c r="AV120" s="21" t="e">
        <f t="shared" si="29"/>
        <v>#N/A</v>
      </c>
      <c r="AW120" s="21" t="e">
        <f t="shared" si="24"/>
        <v>#N/A</v>
      </c>
      <c r="AX120" s="21"/>
      <c r="AZ120" s="21">
        <f t="shared" si="33"/>
        <v>5.8499999999999872</v>
      </c>
      <c r="BA120" s="1">
        <f t="shared" si="30"/>
        <v>0.13128205128205156</v>
      </c>
      <c r="BB120" s="21"/>
    </row>
    <row r="121" spans="1:54" x14ac:dyDescent="0.25">
      <c r="A121" s="9"/>
      <c r="AP121" s="21">
        <f t="shared" si="31"/>
        <v>5.899999999999987</v>
      </c>
      <c r="AQ121" s="21">
        <f t="shared" si="23"/>
        <v>0.13016949152542401</v>
      </c>
      <c r="AR121" s="21"/>
      <c r="AS121" s="21"/>
      <c r="AT121" s="21">
        <f t="shared" si="32"/>
        <v>5.899999999999987</v>
      </c>
      <c r="AU121" s="21" t="e">
        <f t="shared" si="28"/>
        <v>#N/A</v>
      </c>
      <c r="AV121" s="21" t="e">
        <f t="shared" si="29"/>
        <v>#N/A</v>
      </c>
      <c r="AW121" s="21" t="e">
        <f t="shared" si="24"/>
        <v>#N/A</v>
      </c>
      <c r="AX121" s="21"/>
      <c r="AZ121" s="21">
        <f t="shared" si="33"/>
        <v>5.899999999999987</v>
      </c>
      <c r="BA121" s="1">
        <f t="shared" si="30"/>
        <v>0.13016949152542401</v>
      </c>
      <c r="BB121" s="21"/>
    </row>
    <row r="122" spans="1:54" x14ac:dyDescent="0.25">
      <c r="AP122" s="21">
        <f t="shared" si="31"/>
        <v>5.9499999999999869</v>
      </c>
      <c r="AQ122" s="21">
        <f t="shared" si="23"/>
        <v>0.12907563025210111</v>
      </c>
      <c r="AR122" s="21"/>
      <c r="AS122" s="21"/>
      <c r="AT122" s="21">
        <f t="shared" si="32"/>
        <v>5.9499999999999869</v>
      </c>
      <c r="AU122" s="21" t="e">
        <f t="shared" si="28"/>
        <v>#N/A</v>
      </c>
      <c r="AV122" s="21" t="e">
        <f t="shared" si="29"/>
        <v>#N/A</v>
      </c>
      <c r="AW122" s="21" t="e">
        <f t="shared" si="24"/>
        <v>#N/A</v>
      </c>
      <c r="AX122" s="21"/>
      <c r="AZ122" s="21">
        <f t="shared" si="33"/>
        <v>5.9499999999999869</v>
      </c>
      <c r="BA122" s="1">
        <f t="shared" si="30"/>
        <v>0.12907563025210111</v>
      </c>
      <c r="BB122" s="21"/>
    </row>
    <row r="123" spans="1:54" x14ac:dyDescent="0.25">
      <c r="AP123" s="21">
        <f t="shared" si="31"/>
        <v>5.9999999999999867</v>
      </c>
      <c r="AQ123" s="21">
        <f t="shared" si="23"/>
        <v>0.12800000000000028</v>
      </c>
      <c r="AR123" s="21"/>
      <c r="AS123" s="21"/>
      <c r="AT123" s="21">
        <f t="shared" si="32"/>
        <v>5.9999999999999867</v>
      </c>
      <c r="AU123" s="21" t="e">
        <f t="shared" si="28"/>
        <v>#N/A</v>
      </c>
      <c r="AV123" s="21" t="e">
        <f t="shared" si="29"/>
        <v>#N/A</v>
      </c>
      <c r="AW123" s="21" t="e">
        <f t="shared" si="24"/>
        <v>#N/A</v>
      </c>
      <c r="AX123" s="21"/>
      <c r="AZ123" s="21">
        <f t="shared" si="33"/>
        <v>5.9999999999999867</v>
      </c>
      <c r="BA123" s="1">
        <f t="shared" si="30"/>
        <v>0.12800000000000028</v>
      </c>
      <c r="BB123" s="21"/>
    </row>
    <row r="124" spans="1:54" x14ac:dyDescent="0.25">
      <c r="AP124" s="21">
        <f t="shared" si="31"/>
        <v>6.0499999999999865</v>
      </c>
      <c r="AQ124" s="21">
        <f t="shared" si="23"/>
        <v>0.12694214876033086</v>
      </c>
      <c r="AR124" s="21"/>
      <c r="AS124" s="21"/>
      <c r="AT124" s="21">
        <f t="shared" si="32"/>
        <v>6.0499999999999865</v>
      </c>
      <c r="AU124" s="21" t="e">
        <f t="shared" si="28"/>
        <v>#N/A</v>
      </c>
      <c r="AV124" s="21" t="e">
        <f t="shared" si="29"/>
        <v>#N/A</v>
      </c>
      <c r="AW124" s="21" t="e">
        <f t="shared" si="24"/>
        <v>#N/A</v>
      </c>
      <c r="AX124" s="21"/>
      <c r="AZ124" s="21">
        <f t="shared" si="33"/>
        <v>6.0499999999999865</v>
      </c>
      <c r="BA124" s="1">
        <f t="shared" si="30"/>
        <v>0.12694214876033086</v>
      </c>
      <c r="BB124" s="21"/>
    </row>
    <row r="125" spans="1:54" x14ac:dyDescent="0.25">
      <c r="AP125" s="21">
        <f t="shared" si="31"/>
        <v>6.0999999999999863</v>
      </c>
      <c r="AQ125" s="21">
        <f t="shared" si="23"/>
        <v>0.12590163934426257</v>
      </c>
      <c r="AR125" s="21"/>
      <c r="AS125" s="21"/>
      <c r="AT125" s="21">
        <f t="shared" si="32"/>
        <v>6.0999999999999863</v>
      </c>
      <c r="AU125" s="21" t="e">
        <f t="shared" si="28"/>
        <v>#N/A</v>
      </c>
      <c r="AV125" s="21" t="e">
        <f t="shared" si="29"/>
        <v>#N/A</v>
      </c>
      <c r="AW125" s="21" t="e">
        <f t="shared" si="24"/>
        <v>#N/A</v>
      </c>
      <c r="AX125" s="21"/>
      <c r="AZ125" s="21">
        <f t="shared" si="33"/>
        <v>6.0999999999999863</v>
      </c>
      <c r="BA125" s="1">
        <f t="shared" si="30"/>
        <v>0.12590163934426257</v>
      </c>
      <c r="BB125" s="21"/>
    </row>
    <row r="126" spans="1:54" x14ac:dyDescent="0.25">
      <c r="AP126" s="21">
        <f t="shared" si="31"/>
        <v>6.1499999999999861</v>
      </c>
      <c r="AQ126" s="21">
        <f t="shared" si="23"/>
        <v>0.12487804878048808</v>
      </c>
      <c r="AR126" s="21"/>
      <c r="AS126" s="21"/>
      <c r="AT126" s="21">
        <f t="shared" si="32"/>
        <v>6.1499999999999861</v>
      </c>
      <c r="AU126" s="21" t="e">
        <f t="shared" si="28"/>
        <v>#N/A</v>
      </c>
      <c r="AV126" s="21" t="e">
        <f t="shared" si="29"/>
        <v>#N/A</v>
      </c>
      <c r="AW126" s="21" t="e">
        <f t="shared" si="24"/>
        <v>#N/A</v>
      </c>
      <c r="AX126" s="21"/>
      <c r="AZ126" s="21">
        <f t="shared" si="33"/>
        <v>6.1499999999999861</v>
      </c>
      <c r="BA126" s="1">
        <f t="shared" si="30"/>
        <v>0.12487804878048808</v>
      </c>
      <c r="BB126" s="21"/>
    </row>
    <row r="127" spans="1:54" x14ac:dyDescent="0.25">
      <c r="AP127" s="21">
        <f t="shared" si="31"/>
        <v>6.199999999999986</v>
      </c>
      <c r="AQ127" s="21">
        <f t="shared" si="23"/>
        <v>0.12387096774193576</v>
      </c>
      <c r="AR127" s="21"/>
      <c r="AS127" s="21"/>
      <c r="AT127" s="21">
        <f t="shared" si="32"/>
        <v>6.199999999999986</v>
      </c>
      <c r="AU127" s="21" t="e">
        <f t="shared" si="28"/>
        <v>#N/A</v>
      </c>
      <c r="AV127" s="21" t="e">
        <f t="shared" si="29"/>
        <v>#N/A</v>
      </c>
      <c r="AW127" s="21" t="e">
        <f t="shared" si="24"/>
        <v>#N/A</v>
      </c>
      <c r="AX127" s="21"/>
      <c r="AZ127" s="21">
        <f t="shared" si="33"/>
        <v>6.199999999999986</v>
      </c>
      <c r="BA127" s="1">
        <f t="shared" si="30"/>
        <v>0.12387096774193576</v>
      </c>
      <c r="BB127" s="21"/>
    </row>
    <row r="128" spans="1:54" x14ac:dyDescent="0.25">
      <c r="AP128" s="21">
        <f t="shared" si="31"/>
        <v>6.2499999999999858</v>
      </c>
      <c r="AQ128" s="21">
        <f t="shared" si="23"/>
        <v>0.12288000000000028</v>
      </c>
      <c r="AR128" s="21"/>
      <c r="AS128" s="21"/>
      <c r="AT128" s="21">
        <f t="shared" si="32"/>
        <v>6.2499999999999858</v>
      </c>
      <c r="AU128" s="21" t="e">
        <f t="shared" si="28"/>
        <v>#N/A</v>
      </c>
      <c r="AV128" s="21" t="e">
        <f t="shared" si="29"/>
        <v>#N/A</v>
      </c>
      <c r="AW128" s="21" t="e">
        <f t="shared" si="24"/>
        <v>#N/A</v>
      </c>
      <c r="AX128" s="21"/>
      <c r="AZ128" s="21">
        <f t="shared" si="33"/>
        <v>6.2499999999999858</v>
      </c>
      <c r="BA128" s="1">
        <f t="shared" si="30"/>
        <v>0.12288000000000028</v>
      </c>
      <c r="BB128" s="21"/>
    </row>
    <row r="129" spans="42:54" x14ac:dyDescent="0.25">
      <c r="AP129" s="21">
        <f t="shared" si="31"/>
        <v>6.2999999999999856</v>
      </c>
      <c r="AQ129" s="21">
        <f t="shared" si="23"/>
        <v>0.12190476190476218</v>
      </c>
      <c r="AR129" s="21"/>
      <c r="AS129" s="21"/>
      <c r="AT129" s="21">
        <f t="shared" si="32"/>
        <v>6.2999999999999856</v>
      </c>
      <c r="AU129" s="21" t="e">
        <f t="shared" si="28"/>
        <v>#N/A</v>
      </c>
      <c r="AV129" s="21" t="e">
        <f t="shared" si="29"/>
        <v>#N/A</v>
      </c>
      <c r="AW129" s="21" t="e">
        <f t="shared" si="24"/>
        <v>#N/A</v>
      </c>
      <c r="AX129" s="21"/>
      <c r="AZ129" s="21">
        <f t="shared" si="33"/>
        <v>6.2999999999999856</v>
      </c>
      <c r="BA129" s="1">
        <f t="shared" si="30"/>
        <v>0.12190476190476218</v>
      </c>
      <c r="BB129" s="21"/>
    </row>
    <row r="130" spans="42:54" x14ac:dyDescent="0.25">
      <c r="AP130" s="21">
        <f t="shared" si="31"/>
        <v>6.3499999999999854</v>
      </c>
      <c r="AQ130" s="21">
        <f t="shared" si="23"/>
        <v>0.12094488188976406</v>
      </c>
      <c r="AR130" s="21"/>
      <c r="AS130" s="21"/>
      <c r="AT130" s="21">
        <f t="shared" si="32"/>
        <v>6.3499999999999854</v>
      </c>
      <c r="AU130" s="21" t="e">
        <f t="shared" si="28"/>
        <v>#N/A</v>
      </c>
      <c r="AV130" s="21" t="e">
        <f t="shared" si="29"/>
        <v>#N/A</v>
      </c>
      <c r="AW130" s="21" t="e">
        <f t="shared" si="24"/>
        <v>#N/A</v>
      </c>
      <c r="AX130" s="21"/>
      <c r="AZ130" s="21">
        <f t="shared" si="33"/>
        <v>6.3499999999999854</v>
      </c>
      <c r="BA130" s="1">
        <f t="shared" si="30"/>
        <v>0.12094488188976406</v>
      </c>
      <c r="BB130" s="21"/>
    </row>
    <row r="131" spans="42:54" x14ac:dyDescent="0.25">
      <c r="AP131" s="21">
        <f t="shared" si="31"/>
        <v>6.3999999999999853</v>
      </c>
      <c r="AQ131" s="21">
        <f t="shared" si="23"/>
        <v>0.12000000000000027</v>
      </c>
      <c r="AR131" s="21"/>
      <c r="AS131" s="21"/>
      <c r="AT131" s="21">
        <f t="shared" si="32"/>
        <v>6.3999999999999853</v>
      </c>
      <c r="AU131" s="21" t="e">
        <f t="shared" ref="AU131:AU162" si="34">IF(AT131&lt;$AM$8,2.5*$M$20*$M$23*$F$18,IF(AND(AT131&gt;=$AM$8,AT131&lt;$AM$9),1.2*$M$21*$M$24*$F$18/AT131,1.2*$M$21*$M$24*$AM$9*$F$18/AT131^2))</f>
        <v>#N/A</v>
      </c>
      <c r="AV131" s="21" t="e">
        <f t="shared" ref="AV131:AV163" si="35">IF(AT131&lt;$AN$8,2.5*$M$20*$AH$76*$F$18,IF(AND(AT131&gt;=$AN$8,AT131&lt;$AN$9),1.2*$M$21*$AH$77*$F$18/AT131,1.2*$M$21*$AH$77*$AN$9*$F$18/AT131^2))</f>
        <v>#N/A</v>
      </c>
      <c r="AW131" s="21" t="e">
        <f t="shared" si="24"/>
        <v>#N/A</v>
      </c>
      <c r="AX131" s="21"/>
      <c r="AZ131" s="21">
        <f t="shared" si="33"/>
        <v>6.3999999999999853</v>
      </c>
      <c r="BA131" s="1">
        <f t="shared" ref="BA131:BA163" si="36">IF($F$16="NSR 10",AQ131,AW131)</f>
        <v>0.12000000000000027</v>
      </c>
      <c r="BB131" s="21"/>
    </row>
    <row r="132" spans="42:54" x14ac:dyDescent="0.25">
      <c r="AP132" s="21">
        <f t="shared" si="31"/>
        <v>6.4499999999999851</v>
      </c>
      <c r="AQ132" s="21">
        <f t="shared" ref="AQ132:AQ163" si="37">IF(AP132&lt;$AM$3,2.5*$M$20*$M$23,IF(AND(AP132&gt;=$AM$3,AP132&lt;$AM$4),1.2*$M$21*$M$24/AP132,1.2*$M$21*$M$24*$AM$4/AP132^2))</f>
        <v>0.11906976744186075</v>
      </c>
      <c r="AR132" s="21"/>
      <c r="AS132" s="21"/>
      <c r="AT132" s="21">
        <f t="shared" si="32"/>
        <v>6.4499999999999851</v>
      </c>
      <c r="AU132" s="21" t="e">
        <f t="shared" si="34"/>
        <v>#N/A</v>
      </c>
      <c r="AV132" s="21" t="e">
        <f t="shared" si="35"/>
        <v>#N/A</v>
      </c>
      <c r="AW132" s="21" t="e">
        <f t="shared" ref="AW132:AW163" si="38">MAX(AU132:AV132)</f>
        <v>#N/A</v>
      </c>
      <c r="AX132" s="21"/>
      <c r="AZ132" s="21">
        <f t="shared" si="33"/>
        <v>6.4499999999999851</v>
      </c>
      <c r="BA132" s="1">
        <f t="shared" si="36"/>
        <v>0.11906976744186075</v>
      </c>
      <c r="BB132" s="21"/>
    </row>
    <row r="133" spans="42:54" x14ac:dyDescent="0.25">
      <c r="AP133" s="21">
        <f t="shared" si="31"/>
        <v>6.4999999999999849</v>
      </c>
      <c r="AQ133" s="21">
        <f t="shared" si="37"/>
        <v>0.11815384615384643</v>
      </c>
      <c r="AR133" s="21"/>
      <c r="AS133" s="21"/>
      <c r="AT133" s="21">
        <f t="shared" si="32"/>
        <v>6.4999999999999849</v>
      </c>
      <c r="AU133" s="21" t="e">
        <f t="shared" si="34"/>
        <v>#N/A</v>
      </c>
      <c r="AV133" s="21" t="e">
        <f t="shared" si="35"/>
        <v>#N/A</v>
      </c>
      <c r="AW133" s="21" t="e">
        <f t="shared" si="38"/>
        <v>#N/A</v>
      </c>
      <c r="AX133" s="21"/>
      <c r="AZ133" s="21">
        <f t="shared" si="33"/>
        <v>6.4999999999999849</v>
      </c>
      <c r="BA133" s="1">
        <f t="shared" si="36"/>
        <v>0.11815384615384643</v>
      </c>
      <c r="BB133" s="21"/>
    </row>
    <row r="134" spans="42:54" x14ac:dyDescent="0.25">
      <c r="AP134" s="21">
        <f t="shared" si="31"/>
        <v>6.5499999999999847</v>
      </c>
      <c r="AQ134" s="21">
        <f t="shared" si="37"/>
        <v>0.11725190839694684</v>
      </c>
      <c r="AR134" s="21"/>
      <c r="AS134" s="21"/>
      <c r="AT134" s="21">
        <f t="shared" si="32"/>
        <v>6.5499999999999847</v>
      </c>
      <c r="AU134" s="21" t="e">
        <f t="shared" si="34"/>
        <v>#N/A</v>
      </c>
      <c r="AV134" s="21" t="e">
        <f t="shared" si="35"/>
        <v>#N/A</v>
      </c>
      <c r="AW134" s="21" t="e">
        <f t="shared" si="38"/>
        <v>#N/A</v>
      </c>
      <c r="AX134" s="21"/>
      <c r="AZ134" s="21">
        <f t="shared" si="33"/>
        <v>6.5499999999999847</v>
      </c>
      <c r="BA134" s="1">
        <f t="shared" si="36"/>
        <v>0.11725190839694684</v>
      </c>
      <c r="BB134" s="21"/>
    </row>
    <row r="135" spans="42:54" x14ac:dyDescent="0.25">
      <c r="AP135" s="21">
        <f>AP134+0.05</f>
        <v>6.5999999999999845</v>
      </c>
      <c r="AQ135" s="21">
        <f t="shared" si="37"/>
        <v>0.11636363636363664</v>
      </c>
      <c r="AR135" s="21"/>
      <c r="AS135" s="21"/>
      <c r="AT135" s="21">
        <f>AT134+0.05</f>
        <v>6.5999999999999845</v>
      </c>
      <c r="AU135" s="21" t="e">
        <f t="shared" si="34"/>
        <v>#N/A</v>
      </c>
      <c r="AV135" s="21" t="e">
        <f t="shared" si="35"/>
        <v>#N/A</v>
      </c>
      <c r="AW135" s="21" t="e">
        <f t="shared" si="38"/>
        <v>#N/A</v>
      </c>
      <c r="AX135" s="21"/>
      <c r="AZ135" s="21">
        <f>AZ134+0.05</f>
        <v>6.5999999999999845</v>
      </c>
      <c r="BA135" s="1">
        <f t="shared" si="36"/>
        <v>0.11636363636363664</v>
      </c>
      <c r="BB135" s="21"/>
    </row>
    <row r="136" spans="42:54" x14ac:dyDescent="0.25">
      <c r="AP136" s="21">
        <f t="shared" ref="AP136:AP153" si="39">AP135+0.05</f>
        <v>6.6499999999999844</v>
      </c>
      <c r="AQ136" s="21">
        <f t="shared" si="37"/>
        <v>0.11548872180451156</v>
      </c>
      <c r="AR136" s="21"/>
      <c r="AS136" s="21"/>
      <c r="AT136" s="21">
        <f t="shared" ref="AT136:AT153" si="40">AT135+0.05</f>
        <v>6.6499999999999844</v>
      </c>
      <c r="AU136" s="21" t="e">
        <f t="shared" si="34"/>
        <v>#N/A</v>
      </c>
      <c r="AV136" s="21" t="e">
        <f t="shared" si="35"/>
        <v>#N/A</v>
      </c>
      <c r="AW136" s="21" t="e">
        <f t="shared" si="38"/>
        <v>#N/A</v>
      </c>
      <c r="AX136" s="21"/>
      <c r="AZ136" s="21">
        <f t="shared" ref="AZ136:AZ153" si="41">AZ135+0.05</f>
        <v>6.6499999999999844</v>
      </c>
      <c r="BA136" s="1">
        <f t="shared" si="36"/>
        <v>0.11548872180451156</v>
      </c>
      <c r="BB136" s="21"/>
    </row>
    <row r="137" spans="42:54" x14ac:dyDescent="0.25">
      <c r="AP137" s="21">
        <f t="shared" si="39"/>
        <v>6.6999999999999842</v>
      </c>
      <c r="AQ137" s="21">
        <f t="shared" si="37"/>
        <v>0.11462686567164207</v>
      </c>
      <c r="AR137" s="21"/>
      <c r="AS137" s="21"/>
      <c r="AT137" s="21">
        <f t="shared" si="40"/>
        <v>6.6999999999999842</v>
      </c>
      <c r="AU137" s="21" t="e">
        <f t="shared" si="34"/>
        <v>#N/A</v>
      </c>
      <c r="AV137" s="21" t="e">
        <f t="shared" si="35"/>
        <v>#N/A</v>
      </c>
      <c r="AW137" s="21" t="e">
        <f t="shared" si="38"/>
        <v>#N/A</v>
      </c>
      <c r="AX137" s="21"/>
      <c r="AZ137" s="21">
        <f t="shared" si="41"/>
        <v>6.6999999999999842</v>
      </c>
      <c r="BA137" s="1">
        <f t="shared" si="36"/>
        <v>0.11462686567164207</v>
      </c>
      <c r="BB137" s="21"/>
    </row>
    <row r="138" spans="42:54" x14ac:dyDescent="0.25">
      <c r="AP138" s="21">
        <f t="shared" si="39"/>
        <v>6.749999999999984</v>
      </c>
      <c r="AQ138" s="21">
        <f t="shared" si="37"/>
        <v>0.11377777777777805</v>
      </c>
      <c r="AR138" s="21"/>
      <c r="AS138" s="21"/>
      <c r="AT138" s="21">
        <f t="shared" si="40"/>
        <v>6.749999999999984</v>
      </c>
      <c r="AU138" s="21" t="e">
        <f t="shared" si="34"/>
        <v>#N/A</v>
      </c>
      <c r="AV138" s="21" t="e">
        <f t="shared" si="35"/>
        <v>#N/A</v>
      </c>
      <c r="AW138" s="21" t="e">
        <f t="shared" si="38"/>
        <v>#N/A</v>
      </c>
      <c r="AX138" s="21"/>
      <c r="AZ138" s="21">
        <f t="shared" si="41"/>
        <v>6.749999999999984</v>
      </c>
      <c r="BA138" s="1">
        <f t="shared" si="36"/>
        <v>0.11377777777777805</v>
      </c>
      <c r="BB138" s="21"/>
    </row>
    <row r="139" spans="42:54" x14ac:dyDescent="0.25">
      <c r="AP139" s="21">
        <f t="shared" si="39"/>
        <v>6.7999999999999838</v>
      </c>
      <c r="AQ139" s="21">
        <f t="shared" si="37"/>
        <v>0.1129411764705885</v>
      </c>
      <c r="AR139" s="21"/>
      <c r="AS139" s="21"/>
      <c r="AT139" s="21">
        <f t="shared" si="40"/>
        <v>6.7999999999999838</v>
      </c>
      <c r="AU139" s="21" t="e">
        <f t="shared" si="34"/>
        <v>#N/A</v>
      </c>
      <c r="AV139" s="21" t="e">
        <f t="shared" si="35"/>
        <v>#N/A</v>
      </c>
      <c r="AW139" s="21" t="e">
        <f t="shared" si="38"/>
        <v>#N/A</v>
      </c>
      <c r="AX139" s="21"/>
      <c r="AZ139" s="21">
        <f t="shared" si="41"/>
        <v>6.7999999999999838</v>
      </c>
      <c r="BA139" s="1">
        <f t="shared" si="36"/>
        <v>0.1129411764705885</v>
      </c>
      <c r="BB139" s="21"/>
    </row>
    <row r="140" spans="42:54" x14ac:dyDescent="0.25">
      <c r="AP140" s="21">
        <f t="shared" si="39"/>
        <v>6.8499999999999837</v>
      </c>
      <c r="AQ140" s="21">
        <f t="shared" si="37"/>
        <v>0.11211678832116816</v>
      </c>
      <c r="AR140" s="21"/>
      <c r="AS140" s="21"/>
      <c r="AT140" s="21">
        <f t="shared" si="40"/>
        <v>6.8499999999999837</v>
      </c>
      <c r="AU140" s="21" t="e">
        <f t="shared" si="34"/>
        <v>#N/A</v>
      </c>
      <c r="AV140" s="21" t="e">
        <f t="shared" si="35"/>
        <v>#N/A</v>
      </c>
      <c r="AW140" s="21" t="e">
        <f t="shared" si="38"/>
        <v>#N/A</v>
      </c>
      <c r="AX140" s="21"/>
      <c r="AZ140" s="21">
        <f t="shared" si="41"/>
        <v>6.8499999999999837</v>
      </c>
      <c r="BA140" s="1">
        <f t="shared" si="36"/>
        <v>0.11211678832116816</v>
      </c>
      <c r="BB140" s="21"/>
    </row>
    <row r="141" spans="42:54" x14ac:dyDescent="0.25">
      <c r="AP141" s="21">
        <f t="shared" si="39"/>
        <v>6.8999999999999835</v>
      </c>
      <c r="AQ141" s="21">
        <f t="shared" si="37"/>
        <v>0.11130434782608722</v>
      </c>
      <c r="AR141" s="21"/>
      <c r="AS141" s="21"/>
      <c r="AT141" s="21">
        <f t="shared" si="40"/>
        <v>6.8999999999999835</v>
      </c>
      <c r="AU141" s="21" t="e">
        <f t="shared" si="34"/>
        <v>#N/A</v>
      </c>
      <c r="AV141" s="21" t="e">
        <f t="shared" si="35"/>
        <v>#N/A</v>
      </c>
      <c r="AW141" s="21" t="e">
        <f t="shared" si="38"/>
        <v>#N/A</v>
      </c>
      <c r="AX141" s="21"/>
      <c r="AZ141" s="21">
        <f t="shared" si="41"/>
        <v>6.8999999999999835</v>
      </c>
      <c r="BA141" s="1">
        <f t="shared" si="36"/>
        <v>0.11130434782608722</v>
      </c>
      <c r="BB141" s="21"/>
    </row>
    <row r="142" spans="42:54" x14ac:dyDescent="0.25">
      <c r="AP142" s="21">
        <f t="shared" si="39"/>
        <v>6.9499999999999833</v>
      </c>
      <c r="AQ142" s="21">
        <f t="shared" si="37"/>
        <v>0.11050359712230243</v>
      </c>
      <c r="AR142" s="21"/>
      <c r="AS142" s="21"/>
      <c r="AT142" s="21">
        <f t="shared" si="40"/>
        <v>6.9499999999999833</v>
      </c>
      <c r="AU142" s="21" t="e">
        <f t="shared" si="34"/>
        <v>#N/A</v>
      </c>
      <c r="AV142" s="21" t="e">
        <f t="shared" si="35"/>
        <v>#N/A</v>
      </c>
      <c r="AW142" s="21" t="e">
        <f t="shared" si="38"/>
        <v>#N/A</v>
      </c>
      <c r="AX142" s="21"/>
      <c r="AZ142" s="21">
        <f t="shared" si="41"/>
        <v>6.9499999999999833</v>
      </c>
      <c r="BA142" s="1">
        <f t="shared" si="36"/>
        <v>0.11050359712230243</v>
      </c>
      <c r="BB142" s="21"/>
    </row>
    <row r="143" spans="42:54" x14ac:dyDescent="0.25">
      <c r="AP143" s="21">
        <f t="shared" si="39"/>
        <v>6.9999999999999831</v>
      </c>
      <c r="AQ143" s="21">
        <f t="shared" si="37"/>
        <v>0.10971428571428599</v>
      </c>
      <c r="AR143" s="21"/>
      <c r="AS143" s="21"/>
      <c r="AT143" s="21">
        <f t="shared" si="40"/>
        <v>6.9999999999999831</v>
      </c>
      <c r="AU143" s="21" t="e">
        <f t="shared" si="34"/>
        <v>#N/A</v>
      </c>
      <c r="AV143" s="21" t="e">
        <f t="shared" si="35"/>
        <v>#N/A</v>
      </c>
      <c r="AW143" s="21" t="e">
        <f t="shared" si="38"/>
        <v>#N/A</v>
      </c>
      <c r="AX143" s="21"/>
      <c r="AZ143" s="21">
        <f t="shared" si="41"/>
        <v>6.9999999999999831</v>
      </c>
      <c r="BA143" s="1">
        <f t="shared" si="36"/>
        <v>0.10971428571428599</v>
      </c>
      <c r="BB143" s="21"/>
    </row>
    <row r="144" spans="42:54" x14ac:dyDescent="0.25">
      <c r="AP144" s="21">
        <f t="shared" si="39"/>
        <v>7.0499999999999829</v>
      </c>
      <c r="AQ144" s="21">
        <f t="shared" si="37"/>
        <v>0.10893617021276622</v>
      </c>
      <c r="AR144" s="21"/>
      <c r="AS144" s="21"/>
      <c r="AT144" s="21">
        <f t="shared" si="40"/>
        <v>7.0499999999999829</v>
      </c>
      <c r="AU144" s="21" t="e">
        <f t="shared" si="34"/>
        <v>#N/A</v>
      </c>
      <c r="AV144" s="21" t="e">
        <f t="shared" si="35"/>
        <v>#N/A</v>
      </c>
      <c r="AW144" s="21" t="e">
        <f t="shared" si="38"/>
        <v>#N/A</v>
      </c>
      <c r="AX144" s="21"/>
      <c r="AZ144" s="21">
        <f t="shared" si="41"/>
        <v>7.0499999999999829</v>
      </c>
      <c r="BA144" s="1">
        <f t="shared" si="36"/>
        <v>0.10893617021276622</v>
      </c>
      <c r="BB144" s="21"/>
    </row>
    <row r="145" spans="42:54" x14ac:dyDescent="0.25">
      <c r="AP145" s="21">
        <f t="shared" si="39"/>
        <v>7.0999999999999828</v>
      </c>
      <c r="AQ145" s="21">
        <f t="shared" si="37"/>
        <v>0.10816901408450731</v>
      </c>
      <c r="AR145" s="21"/>
      <c r="AS145" s="21"/>
      <c r="AT145" s="21">
        <f t="shared" si="40"/>
        <v>7.0999999999999828</v>
      </c>
      <c r="AU145" s="21" t="e">
        <f t="shared" si="34"/>
        <v>#N/A</v>
      </c>
      <c r="AV145" s="21" t="e">
        <f t="shared" si="35"/>
        <v>#N/A</v>
      </c>
      <c r="AW145" s="21" t="e">
        <f t="shared" si="38"/>
        <v>#N/A</v>
      </c>
      <c r="AX145" s="21"/>
      <c r="AZ145" s="21">
        <f t="shared" si="41"/>
        <v>7.0999999999999828</v>
      </c>
      <c r="BA145" s="1">
        <f t="shared" si="36"/>
        <v>0.10816901408450731</v>
      </c>
      <c r="BB145" s="21"/>
    </row>
    <row r="146" spans="42:54" x14ac:dyDescent="0.25">
      <c r="AP146" s="21">
        <f t="shared" si="39"/>
        <v>7.1499999999999826</v>
      </c>
      <c r="AQ146" s="21">
        <f t="shared" si="37"/>
        <v>0.10741258741258768</v>
      </c>
      <c r="AR146" s="21"/>
      <c r="AS146" s="21"/>
      <c r="AT146" s="21">
        <f t="shared" si="40"/>
        <v>7.1499999999999826</v>
      </c>
      <c r="AU146" s="21" t="e">
        <f t="shared" si="34"/>
        <v>#N/A</v>
      </c>
      <c r="AV146" s="21" t="e">
        <f t="shared" si="35"/>
        <v>#N/A</v>
      </c>
      <c r="AW146" s="21" t="e">
        <f t="shared" si="38"/>
        <v>#N/A</v>
      </c>
      <c r="AX146" s="21"/>
      <c r="AZ146" s="21">
        <f t="shared" si="41"/>
        <v>7.1499999999999826</v>
      </c>
      <c r="BA146" s="1">
        <f t="shared" si="36"/>
        <v>0.10741258741258768</v>
      </c>
      <c r="BB146" s="21"/>
    </row>
    <row r="147" spans="42:54" x14ac:dyDescent="0.25">
      <c r="AP147" s="21">
        <f t="shared" si="39"/>
        <v>7.1999999999999824</v>
      </c>
      <c r="AQ147" s="21">
        <f t="shared" si="37"/>
        <v>0.10666666666666692</v>
      </c>
      <c r="AR147" s="21"/>
      <c r="AS147" s="21"/>
      <c r="AT147" s="21">
        <f t="shared" si="40"/>
        <v>7.1999999999999824</v>
      </c>
      <c r="AU147" s="21" t="e">
        <f t="shared" si="34"/>
        <v>#N/A</v>
      </c>
      <c r="AV147" s="21" t="e">
        <f t="shared" si="35"/>
        <v>#N/A</v>
      </c>
      <c r="AW147" s="21" t="e">
        <f t="shared" si="38"/>
        <v>#N/A</v>
      </c>
      <c r="AX147" s="21"/>
      <c r="AZ147" s="21">
        <f t="shared" si="41"/>
        <v>7.1999999999999824</v>
      </c>
      <c r="BA147" s="1">
        <f t="shared" si="36"/>
        <v>0.10666666666666692</v>
      </c>
      <c r="BB147" s="21"/>
    </row>
    <row r="148" spans="42:54" x14ac:dyDescent="0.25">
      <c r="AP148" s="21">
        <f t="shared" si="39"/>
        <v>7.2499999999999822</v>
      </c>
      <c r="AQ148" s="21">
        <f t="shared" si="37"/>
        <v>0.10593103448275888</v>
      </c>
      <c r="AR148" s="21"/>
      <c r="AS148" s="21"/>
      <c r="AT148" s="21">
        <f t="shared" si="40"/>
        <v>7.2499999999999822</v>
      </c>
      <c r="AU148" s="21" t="e">
        <f t="shared" si="34"/>
        <v>#N/A</v>
      </c>
      <c r="AV148" s="21" t="e">
        <f t="shared" si="35"/>
        <v>#N/A</v>
      </c>
      <c r="AW148" s="21" t="e">
        <f t="shared" si="38"/>
        <v>#N/A</v>
      </c>
      <c r="AX148" s="21"/>
      <c r="AZ148" s="21">
        <f t="shared" si="41"/>
        <v>7.2499999999999822</v>
      </c>
      <c r="BA148" s="1">
        <f t="shared" si="36"/>
        <v>0.10593103448275888</v>
      </c>
      <c r="BB148" s="21"/>
    </row>
    <row r="149" spans="42:54" x14ac:dyDescent="0.25">
      <c r="AP149" s="21">
        <f t="shared" si="39"/>
        <v>7.2999999999999821</v>
      </c>
      <c r="AQ149" s="21">
        <f t="shared" si="37"/>
        <v>0.10520547945205505</v>
      </c>
      <c r="AR149" s="21"/>
      <c r="AS149" s="21"/>
      <c r="AT149" s="21">
        <f t="shared" si="40"/>
        <v>7.2999999999999821</v>
      </c>
      <c r="AU149" s="21" t="e">
        <f t="shared" si="34"/>
        <v>#N/A</v>
      </c>
      <c r="AV149" s="21" t="e">
        <f t="shared" si="35"/>
        <v>#N/A</v>
      </c>
      <c r="AW149" s="21" t="e">
        <f t="shared" si="38"/>
        <v>#N/A</v>
      </c>
      <c r="AX149" s="21"/>
      <c r="AZ149" s="21">
        <f t="shared" si="41"/>
        <v>7.2999999999999821</v>
      </c>
      <c r="BA149" s="1">
        <f t="shared" si="36"/>
        <v>0.10520547945205505</v>
      </c>
      <c r="BB149" s="21"/>
    </row>
    <row r="150" spans="42:54" x14ac:dyDescent="0.25">
      <c r="AP150" s="21">
        <f t="shared" si="39"/>
        <v>7.3499999999999819</v>
      </c>
      <c r="AQ150" s="21">
        <f t="shared" si="37"/>
        <v>0.1044897959183676</v>
      </c>
      <c r="AR150" s="21"/>
      <c r="AS150" s="21"/>
      <c r="AT150" s="21">
        <f t="shared" si="40"/>
        <v>7.3499999999999819</v>
      </c>
      <c r="AU150" s="21" t="e">
        <f t="shared" si="34"/>
        <v>#N/A</v>
      </c>
      <c r="AV150" s="21" t="e">
        <f t="shared" si="35"/>
        <v>#N/A</v>
      </c>
      <c r="AW150" s="21" t="e">
        <f t="shared" si="38"/>
        <v>#N/A</v>
      </c>
      <c r="AX150" s="21"/>
      <c r="AZ150" s="21">
        <f t="shared" si="41"/>
        <v>7.3499999999999819</v>
      </c>
      <c r="BA150" s="1">
        <f t="shared" si="36"/>
        <v>0.1044897959183676</v>
      </c>
      <c r="BB150" s="21"/>
    </row>
    <row r="151" spans="42:54" x14ac:dyDescent="0.25">
      <c r="AP151" s="21">
        <f t="shared" si="39"/>
        <v>7.3999999999999817</v>
      </c>
      <c r="AQ151" s="21">
        <f t="shared" si="37"/>
        <v>0.10378378378378404</v>
      </c>
      <c r="AR151" s="21"/>
      <c r="AS151" s="21"/>
      <c r="AT151" s="21">
        <f t="shared" si="40"/>
        <v>7.3999999999999817</v>
      </c>
      <c r="AU151" s="21" t="e">
        <f t="shared" si="34"/>
        <v>#N/A</v>
      </c>
      <c r="AV151" s="21" t="e">
        <f t="shared" si="35"/>
        <v>#N/A</v>
      </c>
      <c r="AW151" s="21" t="e">
        <f t="shared" si="38"/>
        <v>#N/A</v>
      </c>
      <c r="AX151" s="21"/>
      <c r="AZ151" s="21">
        <f t="shared" si="41"/>
        <v>7.3999999999999817</v>
      </c>
      <c r="BA151" s="1">
        <f t="shared" si="36"/>
        <v>0.10378378378378404</v>
      </c>
      <c r="BB151" s="21"/>
    </row>
    <row r="152" spans="42:54" x14ac:dyDescent="0.25">
      <c r="AP152" s="21">
        <f t="shared" si="39"/>
        <v>7.4499999999999815</v>
      </c>
      <c r="AQ152" s="21">
        <f t="shared" si="37"/>
        <v>0.10308724832214791</v>
      </c>
      <c r="AR152" s="21"/>
      <c r="AS152" s="21"/>
      <c r="AT152" s="21">
        <f t="shared" si="40"/>
        <v>7.4499999999999815</v>
      </c>
      <c r="AU152" s="21" t="e">
        <f t="shared" si="34"/>
        <v>#N/A</v>
      </c>
      <c r="AV152" s="21" t="e">
        <f t="shared" si="35"/>
        <v>#N/A</v>
      </c>
      <c r="AW152" s="21" t="e">
        <f t="shared" si="38"/>
        <v>#N/A</v>
      </c>
      <c r="AX152" s="21"/>
      <c r="AZ152" s="21">
        <f t="shared" si="41"/>
        <v>7.4499999999999815</v>
      </c>
      <c r="BA152" s="1">
        <f t="shared" si="36"/>
        <v>0.10308724832214791</v>
      </c>
      <c r="BB152" s="21"/>
    </row>
    <row r="153" spans="42:54" x14ac:dyDescent="0.25">
      <c r="AP153" s="21">
        <f t="shared" si="39"/>
        <v>7.4999999999999813</v>
      </c>
      <c r="AQ153" s="21">
        <f t="shared" si="37"/>
        <v>0.10240000000000025</v>
      </c>
      <c r="AR153" s="21"/>
      <c r="AS153" s="21"/>
      <c r="AT153" s="21">
        <f t="shared" si="40"/>
        <v>7.4999999999999813</v>
      </c>
      <c r="AU153" s="21" t="e">
        <f t="shared" si="34"/>
        <v>#N/A</v>
      </c>
      <c r="AV153" s="21" t="e">
        <f t="shared" si="35"/>
        <v>#N/A</v>
      </c>
      <c r="AW153" s="21" t="e">
        <f t="shared" si="38"/>
        <v>#N/A</v>
      </c>
      <c r="AX153" s="21"/>
      <c r="AZ153" s="21">
        <f t="shared" si="41"/>
        <v>7.4999999999999813</v>
      </c>
      <c r="BA153" s="1">
        <f t="shared" si="36"/>
        <v>0.10240000000000025</v>
      </c>
      <c r="BB153" s="21"/>
    </row>
    <row r="154" spans="42:54" x14ac:dyDescent="0.25">
      <c r="AP154" s="21">
        <f>AP153+0.05</f>
        <v>7.5499999999999812</v>
      </c>
      <c r="AQ154" s="21">
        <f t="shared" si="37"/>
        <v>0.10172185430463601</v>
      </c>
      <c r="AR154" s="21"/>
      <c r="AS154" s="21"/>
      <c r="AT154" s="21">
        <f>AT153+0.05</f>
        <v>7.5499999999999812</v>
      </c>
      <c r="AU154" s="21" t="e">
        <f t="shared" si="34"/>
        <v>#N/A</v>
      </c>
      <c r="AV154" s="21" t="e">
        <f t="shared" si="35"/>
        <v>#N/A</v>
      </c>
      <c r="AW154" s="21" t="e">
        <f t="shared" si="38"/>
        <v>#N/A</v>
      </c>
      <c r="AX154" s="21"/>
      <c r="AZ154" s="21">
        <f>AZ153+0.05</f>
        <v>7.5499999999999812</v>
      </c>
      <c r="BA154" s="1">
        <f t="shared" si="36"/>
        <v>0.10172185430463601</v>
      </c>
      <c r="BB154" s="21"/>
    </row>
    <row r="155" spans="42:54" x14ac:dyDescent="0.25">
      <c r="AP155" s="21">
        <f t="shared" ref="AP155:AP159" si="42">AP154+0.05</f>
        <v>7.599999999999981</v>
      </c>
      <c r="AQ155" s="21">
        <f t="shared" si="37"/>
        <v>0.10105263157894763</v>
      </c>
      <c r="AR155" s="21"/>
      <c r="AS155" s="21"/>
      <c r="AT155" s="21">
        <f t="shared" ref="AT155:AT159" si="43">AT154+0.05</f>
        <v>7.599999999999981</v>
      </c>
      <c r="AU155" s="21" t="e">
        <f t="shared" si="34"/>
        <v>#N/A</v>
      </c>
      <c r="AV155" s="21" t="e">
        <f t="shared" si="35"/>
        <v>#N/A</v>
      </c>
      <c r="AW155" s="21" t="e">
        <f t="shared" si="38"/>
        <v>#N/A</v>
      </c>
      <c r="AX155" s="21"/>
      <c r="AZ155" s="21">
        <f t="shared" ref="AZ155:AZ159" si="44">AZ154+0.05</f>
        <v>7.599999999999981</v>
      </c>
      <c r="BA155" s="1">
        <f t="shared" si="36"/>
        <v>0.10105263157894763</v>
      </c>
      <c r="BB155" s="21"/>
    </row>
    <row r="156" spans="42:54" x14ac:dyDescent="0.25">
      <c r="AP156" s="21">
        <f t="shared" si="42"/>
        <v>7.6499999999999808</v>
      </c>
      <c r="AQ156" s="21">
        <f t="shared" si="37"/>
        <v>0.10039215686274536</v>
      </c>
      <c r="AR156" s="21"/>
      <c r="AS156" s="21"/>
      <c r="AT156" s="21">
        <f t="shared" si="43"/>
        <v>7.6499999999999808</v>
      </c>
      <c r="AU156" s="21" t="e">
        <f t="shared" si="34"/>
        <v>#N/A</v>
      </c>
      <c r="AV156" s="21" t="e">
        <f t="shared" si="35"/>
        <v>#N/A</v>
      </c>
      <c r="AW156" s="21" t="e">
        <f t="shared" si="38"/>
        <v>#N/A</v>
      </c>
      <c r="AX156" s="21"/>
      <c r="AZ156" s="21">
        <f t="shared" si="44"/>
        <v>7.6499999999999808</v>
      </c>
      <c r="BA156" s="1">
        <f t="shared" si="36"/>
        <v>0.10039215686274536</v>
      </c>
      <c r="BB156" s="21"/>
    </row>
    <row r="157" spans="42:54" x14ac:dyDescent="0.25">
      <c r="AP157" s="21">
        <f t="shared" si="42"/>
        <v>7.6999999999999806</v>
      </c>
      <c r="AQ157" s="21">
        <f t="shared" si="37"/>
        <v>9.9481194130545278E-2</v>
      </c>
      <c r="AR157" s="21"/>
      <c r="AS157" s="21"/>
      <c r="AT157" s="21">
        <f t="shared" si="43"/>
        <v>7.6999999999999806</v>
      </c>
      <c r="AU157" s="21" t="e">
        <f t="shared" si="34"/>
        <v>#N/A</v>
      </c>
      <c r="AV157" s="21" t="e">
        <f t="shared" si="35"/>
        <v>#N/A</v>
      </c>
      <c r="AW157" s="21" t="e">
        <f t="shared" si="38"/>
        <v>#N/A</v>
      </c>
      <c r="AX157" s="21"/>
      <c r="AZ157" s="21">
        <f t="shared" si="44"/>
        <v>7.6999999999999806</v>
      </c>
      <c r="BA157" s="1">
        <f t="shared" si="36"/>
        <v>9.9481194130545278E-2</v>
      </c>
      <c r="BB157" s="21"/>
    </row>
    <row r="158" spans="42:54" x14ac:dyDescent="0.25">
      <c r="AP158" s="21">
        <f t="shared" si="42"/>
        <v>7.7499999999999805</v>
      </c>
      <c r="AQ158" s="21">
        <f t="shared" si="37"/>
        <v>9.8201706555671661E-2</v>
      </c>
      <c r="AR158" s="21"/>
      <c r="AS158" s="21"/>
      <c r="AT158" s="21">
        <f t="shared" si="43"/>
        <v>7.7499999999999805</v>
      </c>
      <c r="AU158" s="21" t="e">
        <f t="shared" si="34"/>
        <v>#N/A</v>
      </c>
      <c r="AV158" s="21" t="e">
        <f t="shared" si="35"/>
        <v>#N/A</v>
      </c>
      <c r="AW158" s="21" t="e">
        <f t="shared" si="38"/>
        <v>#N/A</v>
      </c>
      <c r="AX158" s="21"/>
      <c r="AZ158" s="21">
        <f t="shared" si="44"/>
        <v>7.7499999999999805</v>
      </c>
      <c r="BA158" s="1">
        <f t="shared" si="36"/>
        <v>9.8201706555671661E-2</v>
      </c>
      <c r="BB158" s="21"/>
    </row>
    <row r="159" spans="42:54" x14ac:dyDescent="0.25">
      <c r="AP159" s="21">
        <f t="shared" si="42"/>
        <v>7.7999999999999803</v>
      </c>
      <c r="AQ159" s="21">
        <f t="shared" si="37"/>
        <v>9.6946745562130662E-2</v>
      </c>
      <c r="AR159" s="21"/>
      <c r="AS159" s="21"/>
      <c r="AT159" s="21">
        <f t="shared" si="43"/>
        <v>7.7999999999999803</v>
      </c>
      <c r="AU159" s="21" t="e">
        <f t="shared" si="34"/>
        <v>#N/A</v>
      </c>
      <c r="AV159" s="21" t="e">
        <f t="shared" si="35"/>
        <v>#N/A</v>
      </c>
      <c r="AW159" s="21" t="e">
        <f t="shared" si="38"/>
        <v>#N/A</v>
      </c>
      <c r="AX159" s="21"/>
      <c r="AZ159" s="21">
        <f t="shared" si="44"/>
        <v>7.7999999999999803</v>
      </c>
      <c r="BA159" s="1">
        <f t="shared" si="36"/>
        <v>9.6946745562130662E-2</v>
      </c>
      <c r="BB159" s="21"/>
    </row>
    <row r="160" spans="42:54" x14ac:dyDescent="0.25">
      <c r="AP160" s="21">
        <f>AP159+0.05</f>
        <v>7.8499999999999801</v>
      </c>
      <c r="AQ160" s="21">
        <f t="shared" si="37"/>
        <v>9.5715688263216026E-2</v>
      </c>
      <c r="AR160" s="21"/>
      <c r="AS160" s="21"/>
      <c r="AT160" s="21">
        <f>AT159+0.05</f>
        <v>7.8499999999999801</v>
      </c>
      <c r="AU160" s="21" t="e">
        <f t="shared" si="34"/>
        <v>#N/A</v>
      </c>
      <c r="AV160" s="21" t="e">
        <f t="shared" si="35"/>
        <v>#N/A</v>
      </c>
      <c r="AW160" s="21" t="e">
        <f t="shared" si="38"/>
        <v>#N/A</v>
      </c>
      <c r="AX160" s="21"/>
      <c r="AZ160" s="21">
        <f>AZ159+0.05</f>
        <v>7.8499999999999801</v>
      </c>
      <c r="BA160" s="1">
        <f t="shared" si="36"/>
        <v>9.5715688263216026E-2</v>
      </c>
      <c r="BB160" s="21"/>
    </row>
    <row r="161" spans="42:54" x14ac:dyDescent="0.25">
      <c r="AP161" s="21">
        <f t="shared" ref="AP161:AP163" si="45">AP160+0.05</f>
        <v>7.8999999999999799</v>
      </c>
      <c r="AQ161" s="21">
        <f t="shared" si="37"/>
        <v>9.4507931421247068E-2</v>
      </c>
      <c r="AR161" s="21"/>
      <c r="AS161" s="21"/>
      <c r="AT161" s="21">
        <f t="shared" ref="AT161:AT163" si="46">AT160+0.05</f>
        <v>7.8999999999999799</v>
      </c>
      <c r="AU161" s="21" t="e">
        <f t="shared" si="34"/>
        <v>#N/A</v>
      </c>
      <c r="AV161" s="21" t="e">
        <f t="shared" si="35"/>
        <v>#N/A</v>
      </c>
      <c r="AW161" s="21" t="e">
        <f t="shared" si="38"/>
        <v>#N/A</v>
      </c>
      <c r="AX161" s="21"/>
      <c r="AZ161" s="21">
        <f t="shared" ref="AZ161:AZ163" si="47">AZ160+0.05</f>
        <v>7.8999999999999799</v>
      </c>
      <c r="BA161" s="1">
        <f t="shared" si="36"/>
        <v>9.4507931421247068E-2</v>
      </c>
      <c r="BB161" s="21"/>
    </row>
    <row r="162" spans="42:54" x14ac:dyDescent="0.25">
      <c r="AP162" s="21">
        <f t="shared" si="45"/>
        <v>7.9499999999999797</v>
      </c>
      <c r="AQ162" s="21">
        <f t="shared" si="37"/>
        <v>9.3322890708437634E-2</v>
      </c>
      <c r="AR162" s="21"/>
      <c r="AS162" s="21"/>
      <c r="AT162" s="21">
        <f t="shared" si="46"/>
        <v>7.9499999999999797</v>
      </c>
      <c r="AU162" s="21" t="e">
        <f t="shared" si="34"/>
        <v>#N/A</v>
      </c>
      <c r="AV162" s="21" t="e">
        <f t="shared" si="35"/>
        <v>#N/A</v>
      </c>
      <c r="AW162" s="21" t="e">
        <f t="shared" si="38"/>
        <v>#N/A</v>
      </c>
      <c r="AX162" s="21"/>
      <c r="AZ162" s="21">
        <f t="shared" si="47"/>
        <v>7.9499999999999797</v>
      </c>
      <c r="BA162" s="1">
        <f t="shared" si="36"/>
        <v>9.3322890708437634E-2</v>
      </c>
      <c r="BB162" s="21"/>
    </row>
    <row r="163" spans="42:54" x14ac:dyDescent="0.25">
      <c r="AP163" s="21">
        <f t="shared" si="45"/>
        <v>7.9999999999999796</v>
      </c>
      <c r="AQ163" s="21">
        <f t="shared" si="37"/>
        <v>9.2160000000000464E-2</v>
      </c>
      <c r="AR163" s="21"/>
      <c r="AS163" s="21"/>
      <c r="AT163" s="21">
        <f t="shared" si="46"/>
        <v>7.9999999999999796</v>
      </c>
      <c r="AU163" s="21" t="e">
        <f t="shared" ref="AU163" si="48">IF(AT163&lt;$AM$8,2.5*$M$20*$M$23*$F$18,IF(AND(AT163&gt;=$AM$8,AT163&lt;$AM$9),1.2*$M$21*$M$24*$F$18/AT163,1.2*$M$21*$M$24*$AM$9*$F$18/AT163^2))</f>
        <v>#N/A</v>
      </c>
      <c r="AV163" s="21" t="e">
        <f t="shared" si="35"/>
        <v>#N/A</v>
      </c>
      <c r="AW163" s="21" t="e">
        <f t="shared" si="38"/>
        <v>#N/A</v>
      </c>
      <c r="AX163" s="21"/>
      <c r="AZ163" s="21">
        <f t="shared" si="47"/>
        <v>7.9999999999999796</v>
      </c>
      <c r="BA163" s="1">
        <f t="shared" si="36"/>
        <v>9.2160000000000464E-2</v>
      </c>
      <c r="BB163" s="21"/>
    </row>
    <row r="164" spans="42:54" x14ac:dyDescent="0.25">
      <c r="AP164" s="20"/>
    </row>
    <row r="165" spans="42:54" x14ac:dyDescent="0.25">
      <c r="AP165" s="20"/>
    </row>
    <row r="166" spans="42:54" x14ac:dyDescent="0.25">
      <c r="AP166" s="20"/>
    </row>
    <row r="167" spans="42:54" x14ac:dyDescent="0.25">
      <c r="AP167" s="20"/>
    </row>
    <row r="168" spans="42:54" x14ac:dyDescent="0.25">
      <c r="AP168" s="20"/>
    </row>
  </sheetData>
  <mergeCells count="24">
    <mergeCell ref="W4:AG4"/>
    <mergeCell ref="B5:T6"/>
    <mergeCell ref="I52:J52"/>
    <mergeCell ref="I53:J53"/>
    <mergeCell ref="B49:G50"/>
    <mergeCell ref="B52:G53"/>
    <mergeCell ref="W5:W6"/>
    <mergeCell ref="X5:AG5"/>
    <mergeCell ref="W13:AG13"/>
    <mergeCell ref="W14:W15"/>
    <mergeCell ref="X14:AG14"/>
    <mergeCell ref="B8:T11"/>
    <mergeCell ref="B13:T14"/>
    <mergeCell ref="A1:E3"/>
    <mergeCell ref="F1:G2"/>
    <mergeCell ref="H1:N2"/>
    <mergeCell ref="O1:P1"/>
    <mergeCell ref="Q1:U1"/>
    <mergeCell ref="O2:P2"/>
    <mergeCell ref="Q2:U2"/>
    <mergeCell ref="F3:G3"/>
    <mergeCell ref="H3:N3"/>
    <mergeCell ref="O3:P3"/>
    <mergeCell ref="Q3:U3"/>
  </mergeCells>
  <printOptions horizontalCentered="1" verticalCentered="1"/>
  <pageMargins left="0.47244094488188981" right="0.47244094488188981" top="0.74803149606299213" bottom="0.74803149606299213" header="0.31496062992125984" footer="0.31496062992125984"/>
  <pageSetup scale="70" fitToWidth="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7A80D-3698-4D78-A09E-5849D1490BCC}">
  <dimension ref="A1:AC65"/>
  <sheetViews>
    <sheetView view="pageBreakPreview" topLeftCell="A2" zoomScale="85" zoomScaleNormal="85" zoomScaleSheetLayoutView="85" workbookViewId="0">
      <selection activeCell="Z24" sqref="Z24"/>
    </sheetView>
  </sheetViews>
  <sheetFormatPr baseColWidth="10" defaultColWidth="5.7109375" defaultRowHeight="15" x14ac:dyDescent="0.25"/>
  <cols>
    <col min="1" max="16" width="5.7109375" style="1" customWidth="1"/>
    <col min="17" max="17" width="5.7109375" style="1"/>
    <col min="18" max="21" width="5.7109375" style="1" customWidth="1"/>
    <col min="22" max="25" width="5.7109375" style="1"/>
    <col min="26" max="26" width="8" style="1" bestFit="1" customWidth="1"/>
    <col min="27" max="28" width="5.7109375" style="1"/>
    <col min="29" max="29" width="10" style="1" bestFit="1" customWidth="1"/>
    <col min="30" max="16384" width="5.7109375" style="1"/>
  </cols>
  <sheetData>
    <row r="1" spans="1:28"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8"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28" x14ac:dyDescent="0.25">
      <c r="A3" s="214"/>
      <c r="B3" s="215"/>
      <c r="C3" s="215"/>
      <c r="D3" s="215"/>
      <c r="E3" s="216"/>
      <c r="F3" s="217" t="s">
        <v>1</v>
      </c>
      <c r="G3" s="210"/>
      <c r="H3" s="217" t="s">
        <v>193</v>
      </c>
      <c r="I3" s="209"/>
      <c r="J3" s="209"/>
      <c r="K3" s="209"/>
      <c r="L3" s="209"/>
      <c r="M3" s="209"/>
      <c r="N3" s="210"/>
      <c r="O3" s="217" t="s">
        <v>4</v>
      </c>
      <c r="P3" s="209"/>
      <c r="Q3" s="209" t="str">
        <f>'0. CARTA RESPONSABILIDAD'!Q3</f>
        <v>R0</v>
      </c>
      <c r="R3" s="209"/>
      <c r="S3" s="209"/>
      <c r="T3" s="209"/>
      <c r="U3" s="210"/>
    </row>
    <row r="4" spans="1:28" ht="13.9" x14ac:dyDescent="0.25">
      <c r="A4" s="2"/>
      <c r="B4" s="3"/>
      <c r="C4" s="3"/>
      <c r="D4" s="3"/>
      <c r="E4" s="3"/>
      <c r="F4" s="3"/>
      <c r="G4" s="3"/>
      <c r="H4" s="3"/>
      <c r="I4" s="3"/>
      <c r="J4" s="3"/>
      <c r="K4" s="3"/>
      <c r="L4" s="3"/>
      <c r="M4" s="3"/>
      <c r="N4" s="3"/>
      <c r="O4" s="3"/>
      <c r="P4" s="3"/>
      <c r="Q4" s="3"/>
      <c r="R4" s="3"/>
      <c r="S4" s="3"/>
      <c r="T4" s="3"/>
      <c r="U4" s="4"/>
    </row>
    <row r="5" spans="1:28" x14ac:dyDescent="0.25">
      <c r="A5" s="5"/>
      <c r="B5" s="225" t="s">
        <v>545</v>
      </c>
      <c r="C5" s="225"/>
      <c r="D5" s="225"/>
      <c r="E5" s="225"/>
      <c r="F5" s="225"/>
      <c r="G5" s="225"/>
      <c r="H5" s="225"/>
      <c r="I5" s="225"/>
      <c r="J5" s="225"/>
      <c r="K5" s="225"/>
      <c r="L5" s="225"/>
      <c r="M5" s="225"/>
      <c r="N5" s="225"/>
      <c r="O5" s="225"/>
      <c r="P5" s="225"/>
      <c r="Q5" s="225"/>
      <c r="R5" s="225"/>
      <c r="S5" s="225"/>
      <c r="T5" s="225"/>
      <c r="U5" s="7"/>
    </row>
    <row r="6" spans="1:28" x14ac:dyDescent="0.25">
      <c r="A6" s="5"/>
      <c r="B6" s="225"/>
      <c r="C6" s="225"/>
      <c r="D6" s="225"/>
      <c r="E6" s="225"/>
      <c r="F6" s="225"/>
      <c r="G6" s="225"/>
      <c r="H6" s="225"/>
      <c r="I6" s="225"/>
      <c r="J6" s="225"/>
      <c r="K6" s="225"/>
      <c r="L6" s="225"/>
      <c r="M6" s="225"/>
      <c r="N6" s="225"/>
      <c r="O6" s="225"/>
      <c r="P6" s="225"/>
      <c r="Q6" s="225"/>
      <c r="R6" s="225"/>
      <c r="S6" s="225"/>
      <c r="T6" s="225"/>
      <c r="U6" s="7"/>
    </row>
    <row r="7" spans="1:28" ht="13.9" x14ac:dyDescent="0.25">
      <c r="A7" s="5"/>
      <c r="B7" s="6"/>
      <c r="C7" s="6"/>
      <c r="U7" s="7"/>
      <c r="W7" s="1" t="s">
        <v>208</v>
      </c>
    </row>
    <row r="8" spans="1:28" x14ac:dyDescent="0.25">
      <c r="A8" s="5"/>
      <c r="B8" s="6" t="s">
        <v>535</v>
      </c>
      <c r="C8" s="6"/>
      <c r="D8" s="6"/>
      <c r="E8" s="6"/>
      <c r="F8" s="6"/>
      <c r="G8" s="6"/>
      <c r="H8" s="6"/>
      <c r="I8" s="6"/>
      <c r="J8" s="6"/>
      <c r="K8" s="6"/>
      <c r="L8" s="6"/>
      <c r="M8" s="6"/>
      <c r="N8" s="6"/>
      <c r="O8" s="6"/>
      <c r="P8" s="6"/>
      <c r="Q8" s="6"/>
      <c r="R8" s="6"/>
      <c r="S8" s="6"/>
      <c r="T8" s="6"/>
      <c r="U8" s="7"/>
    </row>
    <row r="9" spans="1:28" x14ac:dyDescent="0.25">
      <c r="A9" s="5"/>
      <c r="B9" s="6"/>
      <c r="C9" s="6"/>
      <c r="D9" s="6"/>
      <c r="E9" s="6"/>
      <c r="F9" s="6"/>
      <c r="G9" s="6"/>
      <c r="H9" s="6"/>
      <c r="I9" s="6"/>
      <c r="J9" s="6"/>
      <c r="K9" s="6"/>
      <c r="L9" s="6"/>
      <c r="M9" s="6"/>
      <c r="N9" s="6"/>
      <c r="O9" s="6"/>
      <c r="P9" s="6"/>
      <c r="Q9" s="6"/>
      <c r="R9" s="6"/>
      <c r="S9" s="6"/>
      <c r="T9" s="6"/>
      <c r="U9" s="7"/>
      <c r="W9" s="1" t="s">
        <v>191</v>
      </c>
      <c r="X9" s="1" t="s">
        <v>188</v>
      </c>
      <c r="Y9" s="1" t="s">
        <v>209</v>
      </c>
      <c r="Z9" s="1" t="s">
        <v>210</v>
      </c>
      <c r="AB9" s="1" t="s">
        <v>194</v>
      </c>
    </row>
    <row r="10" spans="1:28" x14ac:dyDescent="0.25">
      <c r="A10" s="5"/>
      <c r="B10" s="6"/>
      <c r="C10" s="6"/>
      <c r="F10" s="254" t="s">
        <v>172</v>
      </c>
      <c r="G10" s="254"/>
      <c r="H10" s="254"/>
      <c r="I10" s="254"/>
      <c r="J10" s="254"/>
      <c r="K10" s="254" t="s">
        <v>192</v>
      </c>
      <c r="L10" s="254"/>
      <c r="M10" s="254"/>
      <c r="N10" s="254"/>
      <c r="Q10" s="6"/>
      <c r="R10" s="6"/>
      <c r="U10" s="7"/>
      <c r="Y10" s="1" t="s">
        <v>95</v>
      </c>
      <c r="Z10" s="1" t="s">
        <v>95</v>
      </c>
      <c r="AB10" s="1" t="s">
        <v>101</v>
      </c>
    </row>
    <row r="11" spans="1:28" x14ac:dyDescent="0.25">
      <c r="A11" s="5"/>
      <c r="B11" s="6"/>
      <c r="C11" s="6"/>
      <c r="F11" s="254"/>
      <c r="G11" s="254"/>
      <c r="H11" s="254"/>
      <c r="I11" s="254"/>
      <c r="J11" s="254"/>
      <c r="K11" s="254" t="s">
        <v>95</v>
      </c>
      <c r="L11" s="254"/>
      <c r="M11" s="254"/>
      <c r="N11" s="254"/>
      <c r="Q11" s="6"/>
      <c r="R11" s="6"/>
      <c r="U11" s="7"/>
      <c r="W11" s="6">
        <v>15</v>
      </c>
      <c r="Z11" s="1">
        <v>0</v>
      </c>
      <c r="AB11" s="1" t="str">
        <f t="shared" ref="AB11:AB19" si="0">MID(X11,3,100)</f>
        <v/>
      </c>
    </row>
    <row r="12" spans="1:28" ht="13.9" x14ac:dyDescent="0.25">
      <c r="A12" s="5"/>
      <c r="B12" s="6"/>
      <c r="C12" s="6"/>
      <c r="F12" s="278" t="str">
        <f t="shared" ref="F12:F26" si="1">"#"&amp;W11</f>
        <v>#15</v>
      </c>
      <c r="G12" s="278"/>
      <c r="H12" s="236" t="str">
        <f t="shared" ref="H12:H26" si="2">IF(X11="","",X11)</f>
        <v/>
      </c>
      <c r="I12" s="236"/>
      <c r="J12" s="236"/>
      <c r="K12" s="279"/>
      <c r="L12" s="279"/>
      <c r="M12" s="279"/>
      <c r="N12" s="279"/>
      <c r="Q12" s="6"/>
      <c r="R12" s="6"/>
      <c r="U12" s="7"/>
      <c r="W12" s="6">
        <f>W11-1</f>
        <v>14</v>
      </c>
      <c r="Z12" s="1">
        <v>0</v>
      </c>
      <c r="AB12" s="1" t="str">
        <f t="shared" si="0"/>
        <v/>
      </c>
    </row>
    <row r="13" spans="1:28" ht="13.9" x14ac:dyDescent="0.25">
      <c r="A13" s="5"/>
      <c r="B13" s="6"/>
      <c r="C13" s="6"/>
      <c r="F13" s="278" t="str">
        <f t="shared" si="1"/>
        <v>#14</v>
      </c>
      <c r="G13" s="278"/>
      <c r="H13" s="236" t="str">
        <f t="shared" si="2"/>
        <v/>
      </c>
      <c r="I13" s="236"/>
      <c r="J13" s="236"/>
      <c r="K13" s="279"/>
      <c r="L13" s="279"/>
      <c r="M13" s="279"/>
      <c r="N13" s="279"/>
      <c r="Q13" s="6"/>
      <c r="R13" s="6"/>
      <c r="U13" s="7"/>
      <c r="W13" s="6">
        <f t="shared" ref="W13:W25" si="3">W12-1</f>
        <v>13</v>
      </c>
      <c r="Z13" s="1">
        <v>0</v>
      </c>
      <c r="AB13" s="1" t="str">
        <f t="shared" si="0"/>
        <v/>
      </c>
    </row>
    <row r="14" spans="1:28" ht="13.9" x14ac:dyDescent="0.25">
      <c r="A14" s="5"/>
      <c r="B14" s="6"/>
      <c r="C14" s="6"/>
      <c r="F14" s="278" t="str">
        <f t="shared" si="1"/>
        <v>#13</v>
      </c>
      <c r="G14" s="278"/>
      <c r="H14" s="236" t="str">
        <f t="shared" si="2"/>
        <v/>
      </c>
      <c r="I14" s="236"/>
      <c r="J14" s="236"/>
      <c r="K14" s="279"/>
      <c r="L14" s="279"/>
      <c r="M14" s="279"/>
      <c r="N14" s="279"/>
      <c r="Q14" s="6"/>
      <c r="R14" s="6"/>
      <c r="U14" s="7"/>
      <c r="W14" s="6">
        <f t="shared" si="3"/>
        <v>12</v>
      </c>
      <c r="Z14" s="1">
        <v>0</v>
      </c>
      <c r="AB14" s="1" t="str">
        <f t="shared" si="0"/>
        <v/>
      </c>
    </row>
    <row r="15" spans="1:28" ht="13.9" x14ac:dyDescent="0.25">
      <c r="A15" s="5"/>
      <c r="B15" s="6"/>
      <c r="C15" s="6"/>
      <c r="F15" s="278" t="str">
        <f t="shared" si="1"/>
        <v>#12</v>
      </c>
      <c r="G15" s="278"/>
      <c r="H15" s="236" t="str">
        <f t="shared" si="2"/>
        <v/>
      </c>
      <c r="I15" s="236"/>
      <c r="J15" s="236"/>
      <c r="K15" s="279"/>
      <c r="L15" s="279"/>
      <c r="M15" s="279"/>
      <c r="N15" s="279"/>
      <c r="Q15" s="6"/>
      <c r="R15" s="6"/>
      <c r="U15" s="7"/>
      <c r="W15" s="6">
        <f t="shared" si="3"/>
        <v>11</v>
      </c>
      <c r="Z15" s="1">
        <v>0</v>
      </c>
      <c r="AB15" s="1" t="str">
        <f t="shared" si="0"/>
        <v/>
      </c>
    </row>
    <row r="16" spans="1:28" ht="13.9" x14ac:dyDescent="0.25">
      <c r="A16" s="5"/>
      <c r="B16" s="6"/>
      <c r="C16" s="6"/>
      <c r="F16" s="278" t="str">
        <f t="shared" si="1"/>
        <v>#11</v>
      </c>
      <c r="G16" s="278"/>
      <c r="H16" s="236" t="str">
        <f t="shared" si="2"/>
        <v/>
      </c>
      <c r="I16" s="236"/>
      <c r="J16" s="236"/>
      <c r="K16" s="279"/>
      <c r="L16" s="279"/>
      <c r="M16" s="279"/>
      <c r="N16" s="279"/>
      <c r="Q16" s="6"/>
      <c r="R16" s="6"/>
      <c r="U16" s="7"/>
      <c r="W16" s="6">
        <f t="shared" si="3"/>
        <v>10</v>
      </c>
      <c r="Z16" s="1">
        <v>0</v>
      </c>
      <c r="AB16" s="1" t="str">
        <f t="shared" si="0"/>
        <v/>
      </c>
    </row>
    <row r="17" spans="1:29" ht="13.9" x14ac:dyDescent="0.25">
      <c r="A17" s="5"/>
      <c r="B17" s="6"/>
      <c r="C17" s="6"/>
      <c r="F17" s="278" t="str">
        <f t="shared" si="1"/>
        <v>#10</v>
      </c>
      <c r="G17" s="278"/>
      <c r="H17" s="236" t="str">
        <f t="shared" si="2"/>
        <v/>
      </c>
      <c r="I17" s="236"/>
      <c r="J17" s="236"/>
      <c r="K17" s="279"/>
      <c r="L17" s="279"/>
      <c r="M17" s="279"/>
      <c r="N17" s="279"/>
      <c r="Q17" s="6"/>
      <c r="R17" s="6"/>
      <c r="U17" s="7"/>
      <c r="W17" s="6">
        <f t="shared" si="3"/>
        <v>9</v>
      </c>
      <c r="Z17" s="1">
        <v>0</v>
      </c>
      <c r="AB17" s="1" t="str">
        <f t="shared" si="0"/>
        <v/>
      </c>
    </row>
    <row r="18" spans="1:29" ht="13.9" x14ac:dyDescent="0.25">
      <c r="A18" s="5"/>
      <c r="B18" s="6"/>
      <c r="C18" s="6"/>
      <c r="F18" s="278" t="str">
        <f t="shared" si="1"/>
        <v>#9</v>
      </c>
      <c r="G18" s="278"/>
      <c r="H18" s="236" t="str">
        <f t="shared" si="2"/>
        <v/>
      </c>
      <c r="I18" s="236"/>
      <c r="J18" s="236"/>
      <c r="K18" s="279"/>
      <c r="L18" s="279"/>
      <c r="M18" s="279"/>
      <c r="N18" s="279"/>
      <c r="Q18" s="6"/>
      <c r="R18" s="6"/>
      <c r="U18" s="7"/>
      <c r="W18" s="6">
        <f t="shared" si="3"/>
        <v>8</v>
      </c>
      <c r="Z18" s="1">
        <v>0</v>
      </c>
      <c r="AB18" s="1" t="str">
        <f t="shared" si="0"/>
        <v/>
      </c>
      <c r="AC18" s="201"/>
    </row>
    <row r="19" spans="1:29" ht="13.9" x14ac:dyDescent="0.25">
      <c r="A19" s="5"/>
      <c r="B19" s="6"/>
      <c r="C19" s="6"/>
      <c r="F19" s="278" t="str">
        <f t="shared" si="1"/>
        <v>#8</v>
      </c>
      <c r="G19" s="278"/>
      <c r="H19" s="236" t="str">
        <f t="shared" si="2"/>
        <v/>
      </c>
      <c r="I19" s="236"/>
      <c r="J19" s="236"/>
      <c r="K19" s="279"/>
      <c r="L19" s="279"/>
      <c r="M19" s="279"/>
      <c r="N19" s="279"/>
      <c r="Q19" s="6"/>
      <c r="R19" s="6"/>
      <c r="U19" s="7"/>
      <c r="W19" s="6">
        <f t="shared" si="3"/>
        <v>7</v>
      </c>
      <c r="Z19" s="1">
        <v>0</v>
      </c>
      <c r="AB19" s="1" t="str">
        <f t="shared" si="0"/>
        <v/>
      </c>
    </row>
    <row r="20" spans="1:29" ht="13.9" x14ac:dyDescent="0.25">
      <c r="A20" s="5"/>
      <c r="B20" s="6"/>
      <c r="C20" s="6"/>
      <c r="F20" s="278" t="str">
        <f t="shared" si="1"/>
        <v>#7</v>
      </c>
      <c r="G20" s="278"/>
      <c r="H20" s="236" t="str">
        <f t="shared" si="2"/>
        <v/>
      </c>
      <c r="I20" s="236"/>
      <c r="J20" s="236"/>
      <c r="K20" s="279"/>
      <c r="L20" s="279"/>
      <c r="M20" s="279"/>
      <c r="N20" s="279"/>
      <c r="Q20" s="6"/>
      <c r="R20" s="6"/>
      <c r="U20" s="7"/>
      <c r="W20" s="6">
        <f t="shared" si="3"/>
        <v>6</v>
      </c>
      <c r="Z20" s="1">
        <v>0</v>
      </c>
    </row>
    <row r="21" spans="1:29" ht="13.9" x14ac:dyDescent="0.25">
      <c r="A21" s="5"/>
      <c r="B21" s="6"/>
      <c r="C21" s="6"/>
      <c r="F21" s="278" t="str">
        <f t="shared" si="1"/>
        <v>#6</v>
      </c>
      <c r="G21" s="278"/>
      <c r="H21" s="236" t="str">
        <f t="shared" si="2"/>
        <v/>
      </c>
      <c r="I21" s="236"/>
      <c r="J21" s="236"/>
      <c r="K21" s="279"/>
      <c r="L21" s="279"/>
      <c r="M21" s="279"/>
      <c r="N21" s="279"/>
      <c r="Q21" s="6"/>
      <c r="R21" s="6"/>
      <c r="U21" s="7"/>
      <c r="W21" s="6">
        <f t="shared" si="3"/>
        <v>5</v>
      </c>
      <c r="Z21" s="1">
        <f t="shared" ref="Z21:Z22" si="4">Y21-Y20</f>
        <v>0</v>
      </c>
    </row>
    <row r="22" spans="1:29" ht="13.9" customHeight="1" x14ac:dyDescent="0.25">
      <c r="A22" s="5"/>
      <c r="B22" s="6"/>
      <c r="C22" s="6"/>
      <c r="F22" s="278" t="str">
        <f t="shared" si="1"/>
        <v>#5</v>
      </c>
      <c r="G22" s="278"/>
      <c r="H22" s="236" t="str">
        <f t="shared" si="2"/>
        <v/>
      </c>
      <c r="I22" s="236"/>
      <c r="J22" s="236"/>
      <c r="K22" s="279"/>
      <c r="L22" s="279"/>
      <c r="M22" s="279"/>
      <c r="N22" s="279"/>
      <c r="Q22" s="6"/>
      <c r="R22" s="6"/>
      <c r="U22" s="7"/>
      <c r="W22" s="6">
        <f t="shared" si="3"/>
        <v>4</v>
      </c>
      <c r="Z22" s="1">
        <f t="shared" si="4"/>
        <v>0</v>
      </c>
    </row>
    <row r="23" spans="1:29" ht="13.9" customHeight="1" x14ac:dyDescent="0.25">
      <c r="A23" s="5"/>
      <c r="B23" s="6"/>
      <c r="C23" s="6"/>
      <c r="F23" s="278" t="str">
        <f t="shared" si="1"/>
        <v>#4</v>
      </c>
      <c r="G23" s="278"/>
      <c r="H23" s="236" t="str">
        <f t="shared" si="2"/>
        <v/>
      </c>
      <c r="I23" s="236"/>
      <c r="J23" s="236"/>
      <c r="K23" s="279"/>
      <c r="L23" s="279"/>
      <c r="M23" s="279"/>
      <c r="N23" s="279"/>
      <c r="Q23" s="6"/>
      <c r="R23" s="6"/>
      <c r="U23" s="7"/>
      <c r="W23" s="6">
        <f t="shared" si="3"/>
        <v>3</v>
      </c>
      <c r="X23" s="1" t="s">
        <v>835</v>
      </c>
      <c r="Y23" s="1">
        <v>3072.9180999999999</v>
      </c>
      <c r="Z23" s="1">
        <f>Y23-Y22</f>
        <v>3072.9180999999999</v>
      </c>
      <c r="AB23" s="1">
        <v>3.1</v>
      </c>
    </row>
    <row r="24" spans="1:29" ht="13.9" customHeight="1" x14ac:dyDescent="0.25">
      <c r="A24" s="5"/>
      <c r="B24" s="6"/>
      <c r="C24" s="6"/>
      <c r="F24" s="278" t="str">
        <f t="shared" si="1"/>
        <v>#3</v>
      </c>
      <c r="G24" s="278"/>
      <c r="H24" s="236" t="str">
        <f t="shared" si="2"/>
        <v>N+08.10</v>
      </c>
      <c r="I24" s="236"/>
      <c r="J24" s="236"/>
      <c r="K24" s="279">
        <f t="shared" ref="K24:K26" si="5">IF(Z23="","",Z23)</f>
        <v>3072.9180999999999</v>
      </c>
      <c r="L24" s="279"/>
      <c r="M24" s="279"/>
      <c r="N24" s="279"/>
      <c r="Q24" s="6"/>
      <c r="R24" s="6"/>
      <c r="U24" s="7"/>
      <c r="W24" s="6">
        <f>W23-1</f>
        <v>2</v>
      </c>
      <c r="X24" s="1" t="s">
        <v>836</v>
      </c>
      <c r="Y24" s="1">
        <v>6818.6868000000004</v>
      </c>
      <c r="Z24" s="1">
        <f>Y24-Y23</f>
        <v>3745.7687000000005</v>
      </c>
      <c r="AB24" s="1">
        <v>5</v>
      </c>
    </row>
    <row r="25" spans="1:29" ht="13.9" customHeight="1" x14ac:dyDescent="0.25">
      <c r="A25" s="5"/>
      <c r="B25" s="6"/>
      <c r="C25" s="6"/>
      <c r="D25" s="6"/>
      <c r="E25" s="6"/>
      <c r="F25" s="278" t="str">
        <f t="shared" si="1"/>
        <v>#2</v>
      </c>
      <c r="G25" s="278"/>
      <c r="H25" s="236" t="str">
        <f t="shared" si="2"/>
        <v>N+05.00</v>
      </c>
      <c r="I25" s="236"/>
      <c r="J25" s="236"/>
      <c r="K25" s="279">
        <f t="shared" si="5"/>
        <v>3745.7687000000005</v>
      </c>
      <c r="L25" s="279"/>
      <c r="M25" s="279"/>
      <c r="N25" s="279"/>
      <c r="Q25" s="6"/>
      <c r="R25" s="6"/>
      <c r="U25" s="7"/>
      <c r="W25" s="6">
        <f t="shared" si="3"/>
        <v>1</v>
      </c>
      <c r="X25" s="1" t="s">
        <v>190</v>
      </c>
      <c r="Y25" s="1">
        <f>Y24</f>
        <v>6818.6868000000004</v>
      </c>
      <c r="Z25" s="1">
        <f>Y25-Y24</f>
        <v>0</v>
      </c>
      <c r="AB25" s="1">
        <v>0</v>
      </c>
    </row>
    <row r="26" spans="1:29" ht="13.9" x14ac:dyDescent="0.25">
      <c r="A26" s="5"/>
      <c r="B26" s="6"/>
      <c r="C26" s="6"/>
      <c r="D26" s="6"/>
      <c r="E26" s="6"/>
      <c r="F26" s="278" t="str">
        <f t="shared" si="1"/>
        <v>#1</v>
      </c>
      <c r="G26" s="278"/>
      <c r="H26" s="236" t="str">
        <f t="shared" si="2"/>
        <v>N-0.00</v>
      </c>
      <c r="I26" s="236"/>
      <c r="J26" s="236"/>
      <c r="K26" s="279">
        <f t="shared" si="5"/>
        <v>0</v>
      </c>
      <c r="L26" s="279"/>
      <c r="M26" s="279"/>
      <c r="N26" s="279"/>
      <c r="Q26" s="6"/>
      <c r="R26" s="6"/>
      <c r="U26" s="7"/>
    </row>
    <row r="27" spans="1:29" ht="13.9" x14ac:dyDescent="0.25">
      <c r="A27" s="5"/>
      <c r="B27" s="6"/>
      <c r="C27" s="6"/>
      <c r="D27" s="6"/>
      <c r="E27" s="6"/>
      <c r="F27" s="6"/>
      <c r="G27" s="6"/>
      <c r="H27" s="254" t="s">
        <v>174</v>
      </c>
      <c r="I27" s="254"/>
      <c r="J27" s="254"/>
      <c r="K27" s="280">
        <f>SUM(K12:N26)</f>
        <v>6818.6868000000004</v>
      </c>
      <c r="L27" s="280"/>
      <c r="M27" s="280"/>
      <c r="N27" s="280"/>
      <c r="P27" s="6"/>
      <c r="Q27" s="6"/>
      <c r="R27" s="6"/>
      <c r="U27" s="7"/>
    </row>
    <row r="28" spans="1:29" ht="13.9" x14ac:dyDescent="0.25">
      <c r="A28" s="5"/>
      <c r="B28" s="6"/>
      <c r="C28" s="6"/>
      <c r="D28" s="6"/>
      <c r="E28" s="6"/>
      <c r="U28" s="7"/>
    </row>
    <row r="29" spans="1:29" ht="13.9" x14ac:dyDescent="0.25">
      <c r="A29" s="5"/>
      <c r="B29" s="6"/>
      <c r="C29" s="6"/>
      <c r="D29" s="6"/>
      <c r="E29" s="6"/>
      <c r="U29" s="7"/>
    </row>
    <row r="30" spans="1:29" ht="13.9" x14ac:dyDescent="0.25">
      <c r="A30" s="5"/>
      <c r="B30" s="6"/>
      <c r="C30" s="6"/>
      <c r="D30" s="6"/>
      <c r="E30" s="6"/>
      <c r="U30" s="7"/>
    </row>
    <row r="31" spans="1:29" ht="13.9" x14ac:dyDescent="0.25">
      <c r="A31" s="5"/>
      <c r="B31" s="6"/>
      <c r="C31" s="6"/>
      <c r="D31" s="6"/>
      <c r="E31" s="6"/>
      <c r="U31" s="7"/>
    </row>
    <row r="32" spans="1:29" ht="13.9" x14ac:dyDescent="0.25">
      <c r="A32" s="5"/>
      <c r="B32" s="6"/>
      <c r="C32" s="6"/>
      <c r="D32" s="6"/>
      <c r="E32" s="6"/>
      <c r="U32" s="7"/>
    </row>
    <row r="33" spans="1:21" ht="13.9" x14ac:dyDescent="0.25">
      <c r="A33" s="5"/>
      <c r="B33" s="6"/>
      <c r="C33" s="6"/>
      <c r="D33" s="6"/>
      <c r="E33" s="6"/>
      <c r="U33" s="7"/>
    </row>
    <row r="34" spans="1:21" ht="13.9" x14ac:dyDescent="0.25">
      <c r="A34" s="5"/>
      <c r="B34" s="6"/>
      <c r="C34" s="6"/>
      <c r="D34" s="6"/>
      <c r="E34" s="6"/>
      <c r="U34" s="7"/>
    </row>
    <row r="35" spans="1:21" ht="13.9" x14ac:dyDescent="0.25">
      <c r="A35" s="5"/>
      <c r="B35" s="6"/>
      <c r="C35" s="6"/>
      <c r="D35" s="6"/>
      <c r="E35" s="6"/>
      <c r="U35" s="7"/>
    </row>
    <row r="36" spans="1:21" ht="13.9" x14ac:dyDescent="0.25">
      <c r="A36" s="5"/>
      <c r="B36" s="6"/>
      <c r="C36" s="6"/>
      <c r="D36" s="6"/>
      <c r="E36" s="6"/>
      <c r="U36" s="7"/>
    </row>
    <row r="37" spans="1:21" ht="13.9" x14ac:dyDescent="0.25">
      <c r="A37" s="5"/>
      <c r="B37" s="6"/>
      <c r="C37" s="6"/>
      <c r="D37" s="6"/>
      <c r="E37" s="6"/>
      <c r="U37" s="7"/>
    </row>
    <row r="38" spans="1:21" ht="13.9" x14ac:dyDescent="0.25">
      <c r="A38" s="5"/>
      <c r="B38" s="6"/>
      <c r="C38" s="6"/>
      <c r="D38" s="6"/>
      <c r="E38" s="6"/>
      <c r="U38" s="7"/>
    </row>
    <row r="39" spans="1:21" ht="13.9" x14ac:dyDescent="0.25">
      <c r="A39" s="5"/>
      <c r="B39" s="6"/>
      <c r="C39" s="6"/>
      <c r="D39" s="6"/>
      <c r="E39" s="6"/>
      <c r="U39" s="7"/>
    </row>
    <row r="40" spans="1:21" ht="13.9" x14ac:dyDescent="0.25">
      <c r="A40" s="5"/>
      <c r="B40" s="6"/>
      <c r="C40" s="6"/>
      <c r="D40" s="6"/>
      <c r="E40" s="6"/>
      <c r="U40" s="7"/>
    </row>
    <row r="41" spans="1:21" ht="13.9" x14ac:dyDescent="0.25">
      <c r="A41" s="5"/>
      <c r="B41" s="6"/>
      <c r="C41" s="6"/>
      <c r="D41" s="6"/>
      <c r="E41" s="6"/>
      <c r="U41" s="7"/>
    </row>
    <row r="42" spans="1:21" ht="13.9" x14ac:dyDescent="0.25">
      <c r="A42" s="5"/>
      <c r="B42" s="6"/>
      <c r="C42" s="6"/>
      <c r="D42" s="6"/>
      <c r="E42" s="6"/>
      <c r="U42" s="7"/>
    </row>
    <row r="43" spans="1:21" ht="13.9" x14ac:dyDescent="0.25">
      <c r="A43" s="5"/>
      <c r="B43" s="6"/>
      <c r="C43" s="6"/>
      <c r="D43" s="6"/>
      <c r="E43" s="6"/>
      <c r="U43" s="7"/>
    </row>
    <row r="44" spans="1:21" ht="13.9" x14ac:dyDescent="0.25">
      <c r="A44" s="5"/>
      <c r="B44" s="6"/>
      <c r="C44" s="6"/>
      <c r="D44" s="6"/>
      <c r="E44" s="6"/>
      <c r="U44" s="7"/>
    </row>
    <row r="45" spans="1:21" ht="13.9" x14ac:dyDescent="0.25">
      <c r="A45" s="5"/>
      <c r="B45" s="6"/>
      <c r="C45" s="6"/>
      <c r="D45" s="6"/>
      <c r="E45" s="6"/>
      <c r="F45" s="6"/>
      <c r="U45" s="7"/>
    </row>
    <row r="46" spans="1:21" ht="13.9" x14ac:dyDescent="0.25">
      <c r="A46" s="5"/>
      <c r="B46" s="6"/>
      <c r="C46" s="6"/>
      <c r="D46" s="6"/>
      <c r="E46" s="6"/>
      <c r="F46" s="6"/>
      <c r="U46" s="7"/>
    </row>
    <row r="47" spans="1:21" ht="13.9" x14ac:dyDescent="0.25">
      <c r="A47" s="5"/>
      <c r="B47" s="6"/>
      <c r="C47" s="6"/>
      <c r="D47" s="6"/>
      <c r="E47" s="6"/>
      <c r="F47" s="6"/>
      <c r="U47" s="7"/>
    </row>
    <row r="48" spans="1:21" ht="13.9" x14ac:dyDescent="0.25">
      <c r="A48" s="5"/>
      <c r="B48" s="6"/>
      <c r="C48" s="6"/>
      <c r="D48" s="6"/>
      <c r="E48" s="6"/>
      <c r="F48" s="6"/>
      <c r="U48" s="7"/>
    </row>
    <row r="49" spans="1:21" ht="13.9" x14ac:dyDescent="0.25">
      <c r="A49" s="5"/>
      <c r="B49" s="6"/>
      <c r="C49" s="6"/>
      <c r="D49" s="6"/>
      <c r="E49" s="6"/>
      <c r="F49" s="6"/>
      <c r="U49" s="7"/>
    </row>
    <row r="50" spans="1:21" ht="13.9" x14ac:dyDescent="0.25">
      <c r="A50" s="5"/>
      <c r="B50" s="6"/>
      <c r="C50" s="6"/>
      <c r="D50" s="6"/>
      <c r="E50" s="6"/>
      <c r="F50" s="6"/>
      <c r="U50" s="7"/>
    </row>
    <row r="51" spans="1:21" ht="13.9" x14ac:dyDescent="0.25">
      <c r="A51" s="5"/>
      <c r="B51" s="6"/>
      <c r="C51" s="6"/>
      <c r="D51" s="6"/>
      <c r="E51" s="6"/>
      <c r="F51" s="6"/>
      <c r="U51" s="7"/>
    </row>
    <row r="52" spans="1:21" ht="13.9" x14ac:dyDescent="0.25">
      <c r="A52" s="5"/>
      <c r="B52" s="6"/>
      <c r="C52" s="6"/>
      <c r="D52" s="6"/>
      <c r="E52" s="6"/>
      <c r="F52" s="6"/>
      <c r="U52" s="7"/>
    </row>
    <row r="53" spans="1:21" ht="13.9" x14ac:dyDescent="0.25">
      <c r="A53" s="5"/>
      <c r="B53" s="6"/>
      <c r="C53" s="6"/>
      <c r="D53" s="6"/>
      <c r="E53" s="6"/>
      <c r="F53" s="6"/>
      <c r="U53" s="7"/>
    </row>
    <row r="54" spans="1:21" ht="13.9" x14ac:dyDescent="0.25">
      <c r="A54" s="5"/>
      <c r="B54" s="6"/>
      <c r="C54" s="6"/>
      <c r="D54" s="6"/>
      <c r="E54" s="6"/>
      <c r="F54" s="6"/>
      <c r="U54" s="7"/>
    </row>
    <row r="55" spans="1:21" ht="13.9" x14ac:dyDescent="0.25">
      <c r="A55" s="5"/>
      <c r="B55" s="6"/>
      <c r="C55" s="6"/>
      <c r="D55" s="6"/>
      <c r="E55" s="6"/>
      <c r="F55" s="6"/>
      <c r="U55" s="7"/>
    </row>
    <row r="56" spans="1:21" ht="13.9" x14ac:dyDescent="0.25">
      <c r="A56" s="5"/>
      <c r="B56" s="6"/>
      <c r="C56" s="6"/>
      <c r="D56" s="6"/>
      <c r="E56" s="6"/>
      <c r="F56" s="6"/>
      <c r="U56" s="7"/>
    </row>
    <row r="57" spans="1:21" ht="13.9" x14ac:dyDescent="0.25">
      <c r="A57" s="5"/>
      <c r="B57" s="6"/>
      <c r="C57" s="6"/>
      <c r="D57" s="6"/>
      <c r="E57" s="6"/>
      <c r="F57" s="6"/>
      <c r="U57" s="7"/>
    </row>
    <row r="58" spans="1:21" ht="13.9" x14ac:dyDescent="0.25">
      <c r="A58" s="5"/>
      <c r="B58" s="6"/>
      <c r="C58" s="6"/>
      <c r="D58" s="6"/>
      <c r="E58" s="6"/>
      <c r="F58" s="6"/>
      <c r="U58" s="7"/>
    </row>
    <row r="59" spans="1:21" ht="13.9" x14ac:dyDescent="0.25">
      <c r="A59" s="5"/>
      <c r="B59" s="6"/>
      <c r="C59" s="6"/>
      <c r="D59" s="6"/>
      <c r="E59" s="6"/>
      <c r="F59" s="6"/>
      <c r="U59" s="7"/>
    </row>
    <row r="60" spans="1:21" ht="13.9" x14ac:dyDescent="0.25">
      <c r="A60" s="5"/>
      <c r="B60" s="6"/>
      <c r="C60" s="6"/>
      <c r="D60" s="6"/>
      <c r="E60" s="6"/>
      <c r="F60" s="6"/>
      <c r="U60" s="7"/>
    </row>
    <row r="61" spans="1:21" x14ac:dyDescent="0.25">
      <c r="A61" s="5"/>
      <c r="B61" s="6"/>
      <c r="C61" s="6"/>
      <c r="D61" s="6"/>
      <c r="E61" s="6"/>
      <c r="F61" s="6"/>
      <c r="U61" s="7"/>
    </row>
    <row r="62" spans="1:21" x14ac:dyDescent="0.25">
      <c r="A62" s="5"/>
      <c r="B62" s="6"/>
      <c r="C62" s="6"/>
      <c r="D62" s="6"/>
      <c r="E62" s="6"/>
      <c r="F62" s="6"/>
      <c r="U62" s="7"/>
    </row>
    <row r="63" spans="1:21" x14ac:dyDescent="0.25">
      <c r="A63" s="5"/>
      <c r="B63" s="6"/>
      <c r="C63" s="6"/>
      <c r="D63" s="6"/>
      <c r="E63" s="6"/>
      <c r="F63" s="6"/>
      <c r="U63" s="7"/>
    </row>
    <row r="64" spans="1:21" x14ac:dyDescent="0.25">
      <c r="A64" s="5"/>
      <c r="B64" s="6"/>
      <c r="C64" s="6"/>
      <c r="D64" s="6"/>
      <c r="E64" s="6"/>
      <c r="F64" s="6"/>
      <c r="U64" s="7"/>
    </row>
    <row r="65" spans="1:21" x14ac:dyDescent="0.25">
      <c r="A65" s="9"/>
      <c r="B65" s="10"/>
      <c r="C65" s="10"/>
      <c r="D65" s="10"/>
      <c r="E65" s="10"/>
      <c r="F65" s="10"/>
      <c r="G65" s="10"/>
      <c r="H65" s="10"/>
      <c r="I65" s="10"/>
      <c r="J65" s="10"/>
      <c r="K65" s="10"/>
      <c r="L65" s="10"/>
      <c r="M65" s="10"/>
      <c r="N65" s="10"/>
      <c r="O65" s="10"/>
      <c r="P65" s="10"/>
      <c r="Q65" s="10"/>
      <c r="R65" s="10"/>
      <c r="S65" s="10"/>
      <c r="T65" s="10"/>
      <c r="U65" s="11"/>
    </row>
  </sheetData>
  <mergeCells count="62">
    <mergeCell ref="H27:J27"/>
    <mergeCell ref="K27:N27"/>
    <mergeCell ref="K21:N21"/>
    <mergeCell ref="K22:N22"/>
    <mergeCell ref="K23:N23"/>
    <mergeCell ref="K24:N24"/>
    <mergeCell ref="K25:N25"/>
    <mergeCell ref="K26:N26"/>
    <mergeCell ref="H26:J26"/>
    <mergeCell ref="K10:N10"/>
    <mergeCell ref="K11:N11"/>
    <mergeCell ref="K12:N12"/>
    <mergeCell ref="K13:N13"/>
    <mergeCell ref="K14:N14"/>
    <mergeCell ref="K15:N15"/>
    <mergeCell ref="K16:N16"/>
    <mergeCell ref="K17:N17"/>
    <mergeCell ref="K18:N18"/>
    <mergeCell ref="K19:N19"/>
    <mergeCell ref="K20:N20"/>
    <mergeCell ref="F26:G26"/>
    <mergeCell ref="H12:J12"/>
    <mergeCell ref="H13:J13"/>
    <mergeCell ref="H14:J14"/>
    <mergeCell ref="H15:J15"/>
    <mergeCell ref="H16:J16"/>
    <mergeCell ref="H17:J17"/>
    <mergeCell ref="H18:J18"/>
    <mergeCell ref="H19:J19"/>
    <mergeCell ref="H20:J20"/>
    <mergeCell ref="H21:J21"/>
    <mergeCell ref="H22:J22"/>
    <mergeCell ref="H23:J23"/>
    <mergeCell ref="H24:J24"/>
    <mergeCell ref="H25:J25"/>
    <mergeCell ref="F21:G21"/>
    <mergeCell ref="F22:G22"/>
    <mergeCell ref="F23:G23"/>
    <mergeCell ref="F24:G24"/>
    <mergeCell ref="F25:G25"/>
    <mergeCell ref="F16:G16"/>
    <mergeCell ref="F17:G17"/>
    <mergeCell ref="F18:G18"/>
    <mergeCell ref="F19:G19"/>
    <mergeCell ref="F20:G20"/>
    <mergeCell ref="F12:G12"/>
    <mergeCell ref="F13:G13"/>
    <mergeCell ref="F14:G14"/>
    <mergeCell ref="F15:G15"/>
    <mergeCell ref="F10:J11"/>
    <mergeCell ref="B5:T6"/>
    <mergeCell ref="Q3:U3"/>
    <mergeCell ref="A1:E3"/>
    <mergeCell ref="F1:G2"/>
    <mergeCell ref="H1:N2"/>
    <mergeCell ref="O1:P1"/>
    <mergeCell ref="Q1:U1"/>
    <mergeCell ref="O2:P2"/>
    <mergeCell ref="Q2:U2"/>
    <mergeCell ref="F3:G3"/>
    <mergeCell ref="H3:N3"/>
    <mergeCell ref="O3:P3"/>
  </mergeCells>
  <printOptions horizontalCentered="1" verticalCentered="1"/>
  <pageMargins left="0.47244094488188981" right="0.47244094488188981" top="0.74803149606299213" bottom="0.74803149606299213" header="0.31496062992125984" footer="0.31496062992125984"/>
  <pageSetup scale="70" fitToWidth="0"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061FE-F3F4-4EC2-81F7-3FA9BE42AEB1}">
  <dimension ref="A1:U190"/>
  <sheetViews>
    <sheetView tabSelected="1" view="pageBreakPreview" topLeftCell="A125" zoomScale="85" zoomScaleNormal="100" zoomScaleSheetLayoutView="85" workbookViewId="0">
      <selection activeCell="O80" sqref="O80"/>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1"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21" x14ac:dyDescent="0.25">
      <c r="A3" s="214"/>
      <c r="B3" s="215"/>
      <c r="C3" s="215"/>
      <c r="D3" s="215"/>
      <c r="E3" s="216"/>
      <c r="F3" s="217" t="s">
        <v>1</v>
      </c>
      <c r="G3" s="210"/>
      <c r="H3" s="217" t="s">
        <v>179</v>
      </c>
      <c r="I3" s="209"/>
      <c r="J3" s="209"/>
      <c r="K3" s="209"/>
      <c r="L3" s="209"/>
      <c r="M3" s="209"/>
      <c r="N3" s="210"/>
      <c r="O3" s="217" t="s">
        <v>4</v>
      </c>
      <c r="P3" s="209"/>
      <c r="Q3" s="209" t="str">
        <f>'0. CARTA RESPONSABILIDAD'!Q3</f>
        <v>R0</v>
      </c>
      <c r="R3" s="209"/>
      <c r="S3" s="209"/>
      <c r="T3" s="209"/>
      <c r="U3" s="210"/>
    </row>
    <row r="4" spans="1:21" ht="13.9" x14ac:dyDescent="0.25">
      <c r="A4" s="2"/>
      <c r="B4" s="3"/>
      <c r="C4" s="3"/>
      <c r="D4" s="3"/>
      <c r="E4" s="3"/>
      <c r="F4" s="3"/>
      <c r="G4" s="3"/>
      <c r="H4" s="3"/>
      <c r="I4" s="3"/>
      <c r="J4" s="3"/>
      <c r="K4" s="3"/>
      <c r="L4" s="3"/>
      <c r="M4" s="3"/>
      <c r="N4" s="3"/>
      <c r="O4" s="3"/>
      <c r="P4" s="3"/>
      <c r="Q4" s="3"/>
      <c r="R4" s="3"/>
      <c r="S4" s="3"/>
      <c r="T4" s="3"/>
      <c r="U4" s="4"/>
    </row>
    <row r="5" spans="1:21" x14ac:dyDescent="0.25">
      <c r="A5" s="5"/>
      <c r="B5" s="225" t="s">
        <v>546</v>
      </c>
      <c r="C5" s="225"/>
      <c r="D5" s="225"/>
      <c r="E5" s="225"/>
      <c r="F5" s="225"/>
      <c r="G5" s="225"/>
      <c r="H5" s="225"/>
      <c r="I5" s="225"/>
      <c r="J5" s="225"/>
      <c r="K5" s="225"/>
      <c r="L5" s="225"/>
      <c r="M5" s="225"/>
      <c r="N5" s="225"/>
      <c r="O5" s="225"/>
      <c r="P5" s="225"/>
      <c r="Q5" s="225"/>
      <c r="R5" s="225"/>
      <c r="S5" s="225"/>
      <c r="T5" s="225"/>
      <c r="U5" s="7"/>
    </row>
    <row r="6" spans="1:21" x14ac:dyDescent="0.25">
      <c r="A6" s="5"/>
      <c r="B6" s="225"/>
      <c r="C6" s="225"/>
      <c r="D6" s="225"/>
      <c r="E6" s="225"/>
      <c r="F6" s="225"/>
      <c r="G6" s="225"/>
      <c r="H6" s="225"/>
      <c r="I6" s="225"/>
      <c r="J6" s="225"/>
      <c r="K6" s="225"/>
      <c r="L6" s="225"/>
      <c r="M6" s="225"/>
      <c r="N6" s="225"/>
      <c r="O6" s="225"/>
      <c r="P6" s="225"/>
      <c r="Q6" s="225"/>
      <c r="R6" s="225"/>
      <c r="S6" s="225"/>
      <c r="T6" s="225"/>
      <c r="U6" s="7"/>
    </row>
    <row r="7" spans="1:21" ht="13.9" x14ac:dyDescent="0.25">
      <c r="A7" s="5"/>
      <c r="U7" s="7"/>
    </row>
    <row r="8" spans="1:21" ht="13.9" x14ac:dyDescent="0.25">
      <c r="A8" s="5"/>
      <c r="B8" s="22" t="s">
        <v>196</v>
      </c>
      <c r="C8" s="23"/>
      <c r="D8" s="24"/>
      <c r="E8" s="23"/>
      <c r="F8" s="23"/>
      <c r="G8" s="23"/>
      <c r="H8" s="23"/>
      <c r="I8" s="23"/>
      <c r="J8" s="23"/>
      <c r="K8" s="23"/>
      <c r="L8" s="25"/>
      <c r="U8" s="7"/>
    </row>
    <row r="9" spans="1:21" ht="15" customHeight="1" x14ac:dyDescent="0.25">
      <c r="A9" s="5"/>
      <c r="B9" s="22"/>
      <c r="C9" s="23"/>
      <c r="D9" s="24"/>
      <c r="E9" s="23"/>
      <c r="F9" s="23"/>
      <c r="G9" s="23"/>
      <c r="H9" s="23"/>
      <c r="I9" s="23"/>
      <c r="J9" s="23"/>
      <c r="K9" s="23"/>
      <c r="L9" s="25"/>
      <c r="U9" s="7"/>
    </row>
    <row r="10" spans="1:21" ht="13.9" x14ac:dyDescent="0.25">
      <c r="A10" s="5"/>
      <c r="B10" s="22" t="s">
        <v>197</v>
      </c>
      <c r="C10" s="23"/>
      <c r="D10" s="24"/>
      <c r="E10" s="23"/>
      <c r="F10" s="23"/>
      <c r="G10" s="23"/>
      <c r="H10" s="23"/>
      <c r="I10" s="23"/>
      <c r="J10" s="23"/>
      <c r="K10" s="23"/>
      <c r="L10" s="22" t="s">
        <v>198</v>
      </c>
      <c r="M10" s="23"/>
      <c r="N10" s="24"/>
      <c r="U10" s="7"/>
    </row>
    <row r="11" spans="1:21" ht="13.9" x14ac:dyDescent="0.25">
      <c r="A11" s="5"/>
      <c r="B11" s="23"/>
      <c r="C11" s="23"/>
      <c r="D11" s="24"/>
      <c r="E11" s="23"/>
      <c r="F11" s="23"/>
      <c r="G11" s="23"/>
      <c r="H11" s="23"/>
      <c r="I11" s="23"/>
      <c r="J11" s="23"/>
      <c r="K11" s="23"/>
      <c r="L11" s="23"/>
      <c r="M11" s="23"/>
      <c r="N11" s="24"/>
      <c r="U11" s="7"/>
    </row>
    <row r="12" spans="1:21" x14ac:dyDescent="0.25">
      <c r="A12" s="5"/>
      <c r="B12" s="55" t="s">
        <v>97</v>
      </c>
      <c r="C12" s="285" t="s">
        <v>187</v>
      </c>
      <c r="D12" s="285"/>
      <c r="E12" s="285" t="s">
        <v>98</v>
      </c>
      <c r="F12" s="285"/>
      <c r="G12" s="285" t="s">
        <v>99</v>
      </c>
      <c r="H12" s="285" t="s">
        <v>85</v>
      </c>
      <c r="I12" s="285" t="s">
        <v>100</v>
      </c>
      <c r="J12" s="285"/>
      <c r="K12" s="26"/>
      <c r="L12" s="56" t="s">
        <v>52</v>
      </c>
      <c r="M12" s="35">
        <v>0</v>
      </c>
      <c r="N12" s="56" t="s">
        <v>101</v>
      </c>
      <c r="U12" s="7"/>
    </row>
    <row r="13" spans="1:21" ht="13.9" x14ac:dyDescent="0.25">
      <c r="A13" s="5"/>
      <c r="B13" s="56">
        <v>3</v>
      </c>
      <c r="C13" s="287">
        <v>0.01</v>
      </c>
      <c r="D13" s="287"/>
      <c r="E13" s="287">
        <v>0.01</v>
      </c>
      <c r="F13" s="287"/>
      <c r="G13" s="288">
        <f>C13/E13</f>
        <v>1</v>
      </c>
      <c r="H13" s="288"/>
      <c r="I13" s="56">
        <f>IF(AND(1.4&gt;=G13,G13&gt;1.2),0.9,IF(G13&gt;1.4,0.8,1))</f>
        <v>1</v>
      </c>
      <c r="J13" s="56" t="str">
        <f>IF(I13=0.9,"1aP",IF(I13=0.8,"1bP","NO"))</f>
        <v>NO</v>
      </c>
      <c r="K13" s="26"/>
      <c r="L13" s="56" t="s">
        <v>53</v>
      </c>
      <c r="M13" s="35">
        <v>20.75</v>
      </c>
      <c r="N13" s="56" t="s">
        <v>101</v>
      </c>
      <c r="U13" s="7"/>
    </row>
    <row r="14" spans="1:21" ht="13.9" x14ac:dyDescent="0.25">
      <c r="A14" s="5"/>
      <c r="B14" s="56"/>
      <c r="C14" s="284"/>
      <c r="D14" s="284"/>
      <c r="E14" s="284"/>
      <c r="F14" s="284"/>
      <c r="G14" s="285"/>
      <c r="H14" s="285"/>
      <c r="I14" s="56"/>
      <c r="J14" s="56"/>
      <c r="K14" s="26"/>
      <c r="L14" s="56" t="s">
        <v>54</v>
      </c>
      <c r="M14" s="35">
        <v>0</v>
      </c>
      <c r="N14" s="56" t="s">
        <v>101</v>
      </c>
      <c r="U14" s="7"/>
    </row>
    <row r="15" spans="1:21" ht="13.9" x14ac:dyDescent="0.25">
      <c r="A15" s="5"/>
      <c r="B15" s="56"/>
      <c r="C15" s="284"/>
      <c r="D15" s="284"/>
      <c r="E15" s="284"/>
      <c r="F15" s="284"/>
      <c r="G15" s="285"/>
      <c r="H15" s="285"/>
      <c r="I15" s="56"/>
      <c r="J15" s="56"/>
      <c r="K15" s="26"/>
      <c r="L15" s="56" t="s">
        <v>55</v>
      </c>
      <c r="M15" s="35">
        <v>20.75</v>
      </c>
      <c r="N15" s="56" t="s">
        <v>101</v>
      </c>
      <c r="U15" s="7"/>
    </row>
    <row r="16" spans="1:21" ht="13.9" x14ac:dyDescent="0.25">
      <c r="A16" s="5"/>
      <c r="B16" s="56"/>
      <c r="C16" s="284"/>
      <c r="D16" s="284"/>
      <c r="E16" s="284"/>
      <c r="F16" s="284"/>
      <c r="G16" s="285"/>
      <c r="H16" s="285"/>
      <c r="I16" s="56"/>
      <c r="J16" s="56"/>
      <c r="K16" s="26"/>
      <c r="L16" s="26"/>
      <c r="M16" s="26"/>
      <c r="N16" s="26"/>
      <c r="U16" s="7"/>
    </row>
    <row r="17" spans="1:21" ht="13.9" x14ac:dyDescent="0.25">
      <c r="A17" s="5"/>
      <c r="B17" s="56"/>
      <c r="C17" s="284"/>
      <c r="D17" s="284"/>
      <c r="E17" s="284"/>
      <c r="F17" s="284"/>
      <c r="G17" s="285"/>
      <c r="H17" s="285"/>
      <c r="I17" s="56"/>
      <c r="J17" s="56"/>
      <c r="K17" s="26"/>
      <c r="L17" s="283" t="s">
        <v>102</v>
      </c>
      <c r="M17" s="283"/>
      <c r="N17" s="56" t="str">
        <f>IF(M12&gt;0.15*M13,"2P","OK")</f>
        <v>OK</v>
      </c>
      <c r="U17" s="7"/>
    </row>
    <row r="18" spans="1:21" ht="13.9" x14ac:dyDescent="0.25">
      <c r="A18" s="5"/>
      <c r="B18" s="56"/>
      <c r="C18" s="284"/>
      <c r="D18" s="284"/>
      <c r="E18" s="284"/>
      <c r="F18" s="284"/>
      <c r="G18" s="285"/>
      <c r="H18" s="285"/>
      <c r="I18" s="56"/>
      <c r="J18" s="56"/>
      <c r="K18" s="26"/>
      <c r="L18" s="283" t="s">
        <v>103</v>
      </c>
      <c r="M18" s="283"/>
      <c r="N18" s="56" t="str">
        <f>IF(M14&gt;0.15*M15,"2P","OK")</f>
        <v>OK</v>
      </c>
      <c r="U18" s="7"/>
    </row>
    <row r="19" spans="1:21" x14ac:dyDescent="0.25">
      <c r="A19" s="5"/>
      <c r="B19" s="26"/>
      <c r="C19" s="27"/>
      <c r="D19" s="27"/>
      <c r="E19" s="27"/>
      <c r="F19" s="26"/>
      <c r="G19" s="26"/>
      <c r="H19" s="55" t="s">
        <v>85</v>
      </c>
      <c r="I19" s="55">
        <f>MIN(I13:I18)</f>
        <v>1</v>
      </c>
      <c r="J19" s="26"/>
      <c r="K19" s="26"/>
      <c r="L19" s="282" t="s">
        <v>85</v>
      </c>
      <c r="M19" s="282"/>
      <c r="N19" s="55">
        <f>IF(OR(N17="2P",N18="2P"),0.9,1)</f>
        <v>1</v>
      </c>
      <c r="U19" s="7"/>
    </row>
    <row r="20" spans="1:21" ht="13.9" x14ac:dyDescent="0.25">
      <c r="A20" s="5"/>
      <c r="B20" s="23"/>
      <c r="C20" s="28"/>
      <c r="D20" s="29"/>
      <c r="E20" s="28"/>
      <c r="F20" s="23"/>
      <c r="G20" s="23"/>
      <c r="H20" s="23"/>
      <c r="I20" s="23"/>
      <c r="J20" s="23"/>
      <c r="K20" s="23"/>
      <c r="L20" s="25"/>
      <c r="U20" s="7"/>
    </row>
    <row r="21" spans="1:21" ht="13.9" x14ac:dyDescent="0.25">
      <c r="A21" s="5"/>
      <c r="B21" s="23"/>
      <c r="C21" s="28"/>
      <c r="D21" s="29"/>
      <c r="E21" s="28"/>
      <c r="F21" s="23"/>
      <c r="G21" s="23"/>
      <c r="H21" s="23"/>
      <c r="I21" s="23"/>
      <c r="J21" s="23"/>
      <c r="K21" s="23"/>
      <c r="L21" s="25"/>
      <c r="U21" s="7"/>
    </row>
    <row r="22" spans="1:21" ht="13.9" x14ac:dyDescent="0.25">
      <c r="A22" s="5"/>
      <c r="B22" s="23"/>
      <c r="C22" s="28"/>
      <c r="D22" s="29"/>
      <c r="E22" s="28"/>
      <c r="F22" s="23"/>
      <c r="G22" s="23"/>
      <c r="H22" s="23"/>
      <c r="I22" s="23"/>
      <c r="J22" s="23"/>
      <c r="K22" s="23"/>
      <c r="L22" s="25"/>
      <c r="U22" s="7"/>
    </row>
    <row r="23" spans="1:21" ht="13.9" x14ac:dyDescent="0.25">
      <c r="A23" s="5"/>
      <c r="B23" s="23"/>
      <c r="C23" s="23"/>
      <c r="D23" s="24"/>
      <c r="E23" s="23"/>
      <c r="F23" s="23"/>
      <c r="G23" s="23"/>
      <c r="H23" s="23"/>
      <c r="I23" s="23"/>
      <c r="J23" s="23"/>
      <c r="K23" s="23"/>
      <c r="L23" s="25"/>
      <c r="U23" s="7"/>
    </row>
    <row r="24" spans="1:21" ht="13.9" x14ac:dyDescent="0.25">
      <c r="A24" s="5"/>
      <c r="E24" s="23"/>
      <c r="F24" s="23"/>
      <c r="G24" s="23"/>
      <c r="H24" s="23"/>
      <c r="I24" s="23"/>
      <c r="J24" s="23"/>
      <c r="K24" s="23"/>
      <c r="L24" s="25"/>
      <c r="U24" s="7"/>
    </row>
    <row r="25" spans="1:21" ht="13.9" x14ac:dyDescent="0.25">
      <c r="A25" s="5"/>
      <c r="E25" s="23"/>
      <c r="F25" s="23"/>
      <c r="G25" s="23"/>
      <c r="H25" s="23"/>
      <c r="I25" s="23"/>
      <c r="J25" s="23"/>
      <c r="K25" s="23"/>
      <c r="L25" s="25"/>
      <c r="U25" s="7"/>
    </row>
    <row r="26" spans="1:21" ht="13.9" x14ac:dyDescent="0.25">
      <c r="A26" s="5"/>
      <c r="E26" s="23"/>
      <c r="F26" s="23"/>
      <c r="G26" s="23"/>
      <c r="H26" s="23"/>
      <c r="I26" s="23"/>
      <c r="J26" s="23"/>
      <c r="K26" s="23"/>
      <c r="L26" s="25"/>
      <c r="U26" s="7"/>
    </row>
    <row r="27" spans="1:21" ht="13.9" x14ac:dyDescent="0.25">
      <c r="A27" s="5"/>
      <c r="E27" s="23"/>
      <c r="F27" s="23"/>
      <c r="G27" s="23"/>
      <c r="H27" s="23"/>
      <c r="I27" s="23"/>
      <c r="J27" s="23"/>
      <c r="K27" s="23"/>
      <c r="L27" s="25"/>
      <c r="U27" s="7"/>
    </row>
    <row r="28" spans="1:21" ht="13.9" x14ac:dyDescent="0.25">
      <c r="A28" s="5"/>
      <c r="E28" s="23"/>
      <c r="F28" s="23"/>
      <c r="G28" s="23"/>
      <c r="H28" s="23"/>
      <c r="I28" s="23"/>
      <c r="J28" s="23"/>
      <c r="K28" s="23"/>
      <c r="L28" s="25"/>
      <c r="U28" s="7"/>
    </row>
    <row r="29" spans="1:21" ht="13.9" x14ac:dyDescent="0.25">
      <c r="A29" s="5"/>
      <c r="E29" s="23"/>
      <c r="F29" s="23"/>
      <c r="G29" s="23"/>
      <c r="H29" s="23"/>
      <c r="I29" s="23"/>
      <c r="J29" s="23"/>
      <c r="K29" s="23"/>
      <c r="L29" s="25"/>
      <c r="U29" s="7"/>
    </row>
    <row r="30" spans="1:21" ht="13.9" x14ac:dyDescent="0.25">
      <c r="A30" s="5"/>
      <c r="B30" s="22" t="s">
        <v>199</v>
      </c>
      <c r="C30" s="23"/>
      <c r="D30" s="24"/>
      <c r="E30" s="23"/>
      <c r="F30" s="23"/>
      <c r="G30" s="23"/>
      <c r="H30" s="23"/>
      <c r="I30" s="23"/>
      <c r="J30" s="23"/>
      <c r="K30" s="23"/>
      <c r="L30" s="25"/>
      <c r="U30" s="7"/>
    </row>
    <row r="31" spans="1:21" ht="13.9" x14ac:dyDescent="0.25">
      <c r="A31" s="5"/>
      <c r="B31" s="23"/>
      <c r="C31" s="23"/>
      <c r="D31" s="24"/>
      <c r="E31" s="23"/>
      <c r="F31" s="23"/>
      <c r="G31" s="23"/>
      <c r="H31" s="23"/>
      <c r="I31" s="23"/>
      <c r="J31" s="23"/>
      <c r="K31" s="23"/>
      <c r="L31" s="25"/>
      <c r="U31" s="7"/>
    </row>
    <row r="32" spans="1:21" ht="13.9" x14ac:dyDescent="0.25">
      <c r="A32" s="5"/>
      <c r="E32" s="30"/>
      <c r="F32" s="56" t="s">
        <v>52</v>
      </c>
      <c r="G32" s="35">
        <f>+M13</f>
        <v>20.75</v>
      </c>
      <c r="H32" s="56" t="s">
        <v>101</v>
      </c>
      <c r="I32" s="13"/>
      <c r="J32" s="13"/>
      <c r="K32" s="26"/>
      <c r="L32" s="25"/>
      <c r="M32" s="13"/>
      <c r="N32" s="13"/>
      <c r="O32" s="56" t="s">
        <v>52</v>
      </c>
      <c r="P32" s="35">
        <f>+M13</f>
        <v>20.75</v>
      </c>
      <c r="Q32" s="56" t="s">
        <v>101</v>
      </c>
      <c r="R32" s="26"/>
      <c r="U32" s="7"/>
    </row>
    <row r="33" spans="1:21" ht="13.9" x14ac:dyDescent="0.25">
      <c r="A33" s="5"/>
      <c r="E33" s="30"/>
      <c r="F33" s="56" t="s">
        <v>53</v>
      </c>
      <c r="G33" s="35">
        <f>+M15</f>
        <v>20.75</v>
      </c>
      <c r="H33" s="56" t="s">
        <v>101</v>
      </c>
      <c r="I33" s="13"/>
      <c r="J33" s="13"/>
      <c r="K33" s="26"/>
      <c r="L33" s="25"/>
      <c r="M33" s="13"/>
      <c r="N33" s="13"/>
      <c r="O33" s="56" t="s">
        <v>53</v>
      </c>
      <c r="P33" s="35">
        <f>+M15</f>
        <v>20.75</v>
      </c>
      <c r="Q33" s="56" t="s">
        <v>101</v>
      </c>
      <c r="R33" s="26"/>
      <c r="U33" s="7"/>
    </row>
    <row r="34" spans="1:21" ht="13.9" x14ac:dyDescent="0.25">
      <c r="A34" s="5"/>
      <c r="E34" s="30"/>
      <c r="F34" s="56" t="s">
        <v>54</v>
      </c>
      <c r="G34" s="56">
        <v>0</v>
      </c>
      <c r="H34" s="56" t="s">
        <v>101</v>
      </c>
      <c r="I34" s="13"/>
      <c r="J34" s="13"/>
      <c r="K34" s="26"/>
      <c r="L34" s="25"/>
      <c r="M34" s="13"/>
      <c r="N34" s="13"/>
      <c r="O34" s="56" t="s">
        <v>54</v>
      </c>
      <c r="P34" s="56">
        <v>0</v>
      </c>
      <c r="Q34" s="56" t="s">
        <v>101</v>
      </c>
      <c r="R34" s="26"/>
      <c r="U34" s="7"/>
    </row>
    <row r="35" spans="1:21" ht="13.9" x14ac:dyDescent="0.25">
      <c r="A35" s="5"/>
      <c r="E35" s="30"/>
      <c r="F35" s="56" t="s">
        <v>55</v>
      </c>
      <c r="G35" s="56">
        <v>0</v>
      </c>
      <c r="H35" s="56" t="s">
        <v>101</v>
      </c>
      <c r="I35" s="13"/>
      <c r="J35" s="13"/>
      <c r="K35" s="26"/>
      <c r="L35" s="25"/>
      <c r="M35" s="13"/>
      <c r="N35" s="13"/>
      <c r="O35" s="56" t="s">
        <v>55</v>
      </c>
      <c r="P35" s="56">
        <v>0</v>
      </c>
      <c r="Q35" s="56" t="s">
        <v>101</v>
      </c>
      <c r="R35" s="26"/>
      <c r="U35" s="7"/>
    </row>
    <row r="36" spans="1:21" ht="13.9" x14ac:dyDescent="0.25">
      <c r="A36" s="5"/>
      <c r="E36" s="30"/>
      <c r="F36" s="26"/>
      <c r="G36" s="26"/>
      <c r="H36" s="26"/>
      <c r="I36" s="13"/>
      <c r="J36" s="13"/>
      <c r="K36" s="26"/>
      <c r="L36" s="25"/>
      <c r="M36" s="13"/>
      <c r="N36" s="13"/>
      <c r="O36" s="56" t="s">
        <v>27</v>
      </c>
      <c r="P36" s="56">
        <v>0</v>
      </c>
      <c r="Q36" s="56" t="s">
        <v>101</v>
      </c>
      <c r="R36" s="26"/>
      <c r="U36" s="7"/>
    </row>
    <row r="37" spans="1:21" ht="13.9" x14ac:dyDescent="0.25">
      <c r="A37" s="5"/>
      <c r="E37" s="26"/>
      <c r="F37" s="26"/>
      <c r="G37" s="26"/>
      <c r="H37" s="26"/>
      <c r="I37" s="13"/>
      <c r="J37" s="13"/>
      <c r="K37" s="26"/>
      <c r="L37" s="25"/>
      <c r="M37" s="13"/>
      <c r="N37" s="13"/>
      <c r="O37" s="26"/>
      <c r="P37" s="26"/>
      <c r="Q37" s="26"/>
      <c r="R37" s="26"/>
      <c r="U37" s="7"/>
    </row>
    <row r="38" spans="1:21" ht="13.9" x14ac:dyDescent="0.25">
      <c r="A38" s="5"/>
      <c r="E38" s="26"/>
      <c r="F38" s="283" t="s">
        <v>104</v>
      </c>
      <c r="G38" s="283"/>
      <c r="H38" s="56" t="str">
        <f>IF(G34*G35&gt;0.5*G32*G33,"3P","OK")</f>
        <v>OK</v>
      </c>
      <c r="I38" s="13"/>
      <c r="J38" s="13"/>
      <c r="K38" s="26"/>
      <c r="L38" s="25"/>
      <c r="M38" s="13"/>
      <c r="N38" s="13"/>
      <c r="O38" s="283" t="s">
        <v>105</v>
      </c>
      <c r="P38" s="283"/>
      <c r="Q38" s="283"/>
      <c r="R38" s="56" t="str">
        <f>IF(P34*P35+P34*P36&gt;0.5*P32*P33,"3P","OK")</f>
        <v>OK</v>
      </c>
      <c r="U38" s="7"/>
    </row>
    <row r="39" spans="1:21" x14ac:dyDescent="0.25">
      <c r="A39" s="5"/>
      <c r="E39" s="26"/>
      <c r="F39" s="282" t="s">
        <v>85</v>
      </c>
      <c r="G39" s="282"/>
      <c r="H39" s="55">
        <f>IF(H38="3P",0.9,1)</f>
        <v>1</v>
      </c>
      <c r="I39" s="13"/>
      <c r="J39" s="13"/>
      <c r="K39" s="26"/>
      <c r="L39" s="25"/>
      <c r="M39" s="13"/>
      <c r="N39" s="13"/>
      <c r="O39" s="282" t="s">
        <v>85</v>
      </c>
      <c r="P39" s="282"/>
      <c r="Q39" s="282"/>
      <c r="R39" s="55">
        <f>IF(R38="3P",0.9,1)</f>
        <v>1</v>
      </c>
      <c r="U39" s="7"/>
    </row>
    <row r="40" spans="1:21" ht="13.9" x14ac:dyDescent="0.25">
      <c r="A40" s="5"/>
      <c r="J40" s="26"/>
      <c r="K40" s="23"/>
      <c r="L40" s="25"/>
      <c r="U40" s="7"/>
    </row>
    <row r="41" spans="1:21" ht="13.9" x14ac:dyDescent="0.25">
      <c r="A41" s="5"/>
      <c r="J41" s="26"/>
      <c r="K41" s="23"/>
      <c r="L41" s="25"/>
      <c r="U41" s="7"/>
    </row>
    <row r="42" spans="1:21" ht="13.9" x14ac:dyDescent="0.25">
      <c r="A42" s="5"/>
      <c r="J42" s="26"/>
      <c r="K42" s="23"/>
      <c r="L42" s="25"/>
      <c r="U42" s="7"/>
    </row>
    <row r="43" spans="1:21" ht="13.9" x14ac:dyDescent="0.25">
      <c r="A43" s="5"/>
      <c r="J43" s="26"/>
      <c r="K43" s="23"/>
      <c r="L43" s="25"/>
      <c r="U43" s="7"/>
    </row>
    <row r="44" spans="1:21" ht="13.9" x14ac:dyDescent="0.25">
      <c r="A44" s="5"/>
      <c r="B44" s="26"/>
      <c r="C44" s="26"/>
      <c r="D44" s="26"/>
      <c r="E44" s="23"/>
      <c r="F44" s="23"/>
      <c r="G44" s="23"/>
      <c r="H44" s="23"/>
      <c r="I44" s="23"/>
      <c r="J44" s="23"/>
      <c r="K44" s="23"/>
      <c r="L44" s="25"/>
      <c r="U44" s="7"/>
    </row>
    <row r="45" spans="1:21" ht="13.9" x14ac:dyDescent="0.25">
      <c r="A45" s="5"/>
      <c r="B45" s="26"/>
      <c r="C45" s="26"/>
      <c r="D45" s="26"/>
      <c r="E45" s="23"/>
      <c r="F45" s="23"/>
      <c r="G45" s="23"/>
      <c r="H45" s="23"/>
      <c r="I45" s="23"/>
      <c r="J45" s="23"/>
      <c r="K45" s="23"/>
      <c r="L45" s="25"/>
      <c r="U45" s="7"/>
    </row>
    <row r="46" spans="1:21" ht="13.9" x14ac:dyDescent="0.25">
      <c r="A46" s="5"/>
      <c r="B46" s="26"/>
      <c r="C46" s="26"/>
      <c r="D46" s="26"/>
      <c r="E46" s="23"/>
      <c r="F46" s="23"/>
      <c r="G46" s="23"/>
      <c r="H46" s="23"/>
      <c r="I46" s="23"/>
      <c r="J46" s="23"/>
      <c r="K46" s="23"/>
      <c r="L46" s="25"/>
      <c r="U46" s="7"/>
    </row>
    <row r="47" spans="1:21" ht="13.9" x14ac:dyDescent="0.25">
      <c r="A47" s="5"/>
      <c r="B47" s="26"/>
      <c r="C47" s="26"/>
      <c r="D47" s="26"/>
      <c r="E47" s="23"/>
      <c r="F47" s="23"/>
      <c r="G47" s="23"/>
      <c r="H47" s="23"/>
      <c r="I47" s="23"/>
      <c r="J47" s="23"/>
      <c r="K47" s="23"/>
      <c r="L47" s="25"/>
      <c r="U47" s="7"/>
    </row>
    <row r="48" spans="1:21" ht="13.9" x14ac:dyDescent="0.25">
      <c r="A48" s="5"/>
      <c r="B48" s="26"/>
      <c r="C48" s="26"/>
      <c r="D48" s="26"/>
      <c r="E48" s="23"/>
      <c r="F48" s="23"/>
      <c r="G48" s="23"/>
      <c r="H48" s="23"/>
      <c r="I48" s="23"/>
      <c r="J48" s="23"/>
      <c r="K48" s="23"/>
      <c r="L48" s="25"/>
      <c r="U48" s="7"/>
    </row>
    <row r="49" spans="1:21" ht="13.9" x14ac:dyDescent="0.25">
      <c r="A49" s="5"/>
      <c r="B49" s="26"/>
      <c r="C49" s="26"/>
      <c r="D49" s="26"/>
      <c r="E49" s="23"/>
      <c r="F49" s="23"/>
      <c r="G49" s="23"/>
      <c r="H49" s="23"/>
      <c r="I49" s="23"/>
      <c r="J49" s="23"/>
      <c r="K49" s="23"/>
      <c r="L49" s="25"/>
      <c r="U49" s="7"/>
    </row>
    <row r="50" spans="1:21" x14ac:dyDescent="0.25">
      <c r="A50" s="5"/>
      <c r="B50" s="22" t="s">
        <v>200</v>
      </c>
      <c r="C50" s="23"/>
      <c r="D50" s="24"/>
      <c r="E50" s="23"/>
      <c r="F50" s="26"/>
      <c r="G50" s="23"/>
      <c r="I50" s="23"/>
      <c r="J50" s="23"/>
      <c r="K50" s="23"/>
      <c r="L50" s="25"/>
      <c r="M50" s="22" t="s">
        <v>204</v>
      </c>
      <c r="U50" s="7"/>
    </row>
    <row r="51" spans="1:21" ht="13.9" x14ac:dyDescent="0.25">
      <c r="A51" s="5"/>
      <c r="B51" s="23"/>
      <c r="C51" s="23"/>
      <c r="D51" s="24"/>
      <c r="E51" s="23"/>
      <c r="F51" s="23"/>
      <c r="G51" s="23"/>
      <c r="H51" s="23"/>
      <c r="I51" s="23"/>
      <c r="J51" s="23"/>
      <c r="K51" s="23"/>
      <c r="L51" s="25"/>
      <c r="U51" s="7"/>
    </row>
    <row r="52" spans="1:21" x14ac:dyDescent="0.25">
      <c r="A52" s="5"/>
      <c r="B52" s="23" t="s">
        <v>106</v>
      </c>
      <c r="D52" s="26" t="s">
        <v>107</v>
      </c>
      <c r="E52" s="55" t="s">
        <v>85</v>
      </c>
      <c r="F52" s="55">
        <f>IF(D52="SÍ",0.8,1)</f>
        <v>1</v>
      </c>
      <c r="G52" s="23"/>
      <c r="L52" s="25"/>
      <c r="M52" s="23" t="s">
        <v>106</v>
      </c>
      <c r="O52" s="26" t="s">
        <v>107</v>
      </c>
      <c r="P52" s="55" t="s">
        <v>85</v>
      </c>
      <c r="Q52" s="55">
        <f>IF(O52="SÍ",0.8,1)</f>
        <v>1</v>
      </c>
      <c r="U52" s="7"/>
    </row>
    <row r="53" spans="1:21" ht="13.9" x14ac:dyDescent="0.25">
      <c r="A53" s="5"/>
      <c r="B53" s="26"/>
      <c r="C53" s="26"/>
      <c r="D53" s="26"/>
      <c r="E53" s="23"/>
      <c r="F53" s="23"/>
      <c r="G53" s="23"/>
      <c r="H53" s="23"/>
      <c r="I53" s="23"/>
      <c r="J53" s="23"/>
      <c r="K53" s="23"/>
      <c r="L53" s="25"/>
      <c r="U53" s="7"/>
    </row>
    <row r="54" spans="1:21" ht="13.9" x14ac:dyDescent="0.25">
      <c r="A54" s="5"/>
      <c r="B54" s="26"/>
      <c r="C54" s="26"/>
      <c r="D54" s="26"/>
      <c r="E54" s="23"/>
      <c r="F54" s="23"/>
      <c r="G54" s="23"/>
      <c r="H54" s="23"/>
      <c r="I54" s="23"/>
      <c r="J54" s="23"/>
      <c r="K54" s="23"/>
      <c r="L54" s="25"/>
      <c r="U54" s="7"/>
    </row>
    <row r="55" spans="1:21" ht="13.9" x14ac:dyDescent="0.25">
      <c r="A55" s="5"/>
      <c r="L55" s="25"/>
      <c r="U55" s="7"/>
    </row>
    <row r="56" spans="1:21" ht="13.9" x14ac:dyDescent="0.25">
      <c r="A56" s="5"/>
      <c r="L56" s="25"/>
      <c r="U56" s="7"/>
    </row>
    <row r="57" spans="1:21" ht="13.9" x14ac:dyDescent="0.25">
      <c r="A57" s="5"/>
      <c r="L57" s="25"/>
      <c r="U57" s="7"/>
    </row>
    <row r="58" spans="1:21" ht="13.9" x14ac:dyDescent="0.25">
      <c r="A58" s="5"/>
      <c r="B58" s="26"/>
      <c r="C58" s="26"/>
      <c r="D58" s="26"/>
      <c r="E58" s="23"/>
      <c r="F58" s="23"/>
      <c r="G58" s="23"/>
      <c r="H58" s="26"/>
      <c r="I58" s="26"/>
      <c r="J58" s="26"/>
      <c r="K58" s="23"/>
      <c r="L58" s="25"/>
      <c r="U58" s="7"/>
    </row>
    <row r="59" spans="1:21" ht="13.9" x14ac:dyDescent="0.25">
      <c r="A59" s="5"/>
      <c r="B59" s="23"/>
      <c r="C59" s="23"/>
      <c r="D59" s="24"/>
      <c r="E59" s="23"/>
      <c r="F59" s="23"/>
      <c r="G59" s="23"/>
      <c r="H59" s="23"/>
      <c r="I59" s="23"/>
      <c r="J59" s="23"/>
      <c r="K59" s="23"/>
      <c r="L59" s="25"/>
      <c r="U59" s="7"/>
    </row>
    <row r="60" spans="1:21" ht="13.9" x14ac:dyDescent="0.25">
      <c r="A60" s="5"/>
      <c r="B60" s="23"/>
      <c r="C60" s="23"/>
      <c r="D60" s="24"/>
      <c r="E60" s="23"/>
      <c r="F60" s="23"/>
      <c r="G60" s="23"/>
      <c r="H60" s="23"/>
      <c r="I60" s="23"/>
      <c r="J60" s="23"/>
      <c r="K60" s="23"/>
      <c r="L60" s="25"/>
      <c r="U60" s="7"/>
    </row>
    <row r="61" spans="1:21" ht="13.9" x14ac:dyDescent="0.25">
      <c r="A61" s="5"/>
      <c r="B61" s="26"/>
      <c r="C61" s="26"/>
      <c r="D61" s="26"/>
      <c r="E61" s="23"/>
      <c r="F61" s="23"/>
      <c r="G61" s="23"/>
      <c r="H61" s="23"/>
      <c r="I61" s="23"/>
      <c r="J61" s="23"/>
      <c r="K61" s="23"/>
      <c r="L61" s="25"/>
      <c r="U61" s="7"/>
    </row>
    <row r="62" spans="1:21" x14ac:dyDescent="0.25">
      <c r="A62" s="5"/>
      <c r="B62" s="26"/>
      <c r="C62" s="26"/>
      <c r="D62" s="26"/>
      <c r="E62" s="23"/>
      <c r="F62" s="23"/>
      <c r="G62" s="23"/>
      <c r="H62" s="23"/>
      <c r="I62" s="23"/>
      <c r="J62" s="23"/>
      <c r="K62" s="23"/>
      <c r="L62" s="25"/>
      <c r="U62" s="7"/>
    </row>
    <row r="63" spans="1:21" x14ac:dyDescent="0.25">
      <c r="A63" s="5"/>
      <c r="B63" s="23"/>
      <c r="C63" s="23"/>
      <c r="D63" s="24"/>
      <c r="E63" s="23"/>
      <c r="F63" s="23"/>
      <c r="G63" s="23"/>
      <c r="H63" s="23"/>
      <c r="I63" s="23"/>
      <c r="J63" s="23"/>
      <c r="K63" s="23"/>
      <c r="L63" s="25"/>
      <c r="U63" s="7"/>
    </row>
    <row r="64" spans="1:21" x14ac:dyDescent="0.25">
      <c r="A64" s="5"/>
      <c r="U64" s="7"/>
    </row>
    <row r="65" spans="1:21" x14ac:dyDescent="0.25">
      <c r="A65" s="9"/>
      <c r="B65" s="10"/>
      <c r="C65" s="10"/>
      <c r="D65" s="10"/>
      <c r="E65" s="10"/>
      <c r="F65" s="10"/>
      <c r="G65" s="10"/>
      <c r="H65" s="10"/>
      <c r="I65" s="10"/>
      <c r="J65" s="10"/>
      <c r="K65" s="10"/>
      <c r="L65" s="10"/>
      <c r="M65" s="10"/>
      <c r="N65" s="10"/>
      <c r="O65" s="10"/>
      <c r="P65" s="10"/>
      <c r="Q65" s="10"/>
      <c r="R65" s="10"/>
      <c r="S65" s="10"/>
      <c r="T65" s="10"/>
      <c r="U65" s="11"/>
    </row>
    <row r="66" spans="1:21" x14ac:dyDescent="0.25">
      <c r="A66" s="2"/>
      <c r="B66" s="3"/>
      <c r="C66" s="3"/>
      <c r="D66" s="3"/>
      <c r="E66" s="3"/>
      <c r="F66" s="3"/>
      <c r="G66" s="3"/>
      <c r="H66" s="3"/>
      <c r="I66" s="3"/>
      <c r="J66" s="3"/>
      <c r="K66" s="3"/>
      <c r="L66" s="3"/>
      <c r="M66" s="3"/>
      <c r="N66" s="3"/>
      <c r="O66" s="3"/>
      <c r="P66" s="3"/>
      <c r="Q66" s="3"/>
      <c r="R66" s="3"/>
      <c r="S66" s="3"/>
      <c r="T66" s="3"/>
      <c r="U66" s="4"/>
    </row>
    <row r="67" spans="1:21" x14ac:dyDescent="0.25">
      <c r="A67" s="5"/>
      <c r="B67" s="22" t="s">
        <v>201</v>
      </c>
      <c r="C67" s="23"/>
      <c r="D67" s="24"/>
      <c r="E67" s="23"/>
      <c r="F67" s="23"/>
      <c r="G67" s="23"/>
      <c r="H67" s="23"/>
      <c r="I67" s="23"/>
      <c r="J67" s="23"/>
      <c r="K67" s="23"/>
      <c r="L67" s="25"/>
      <c r="M67" s="6"/>
      <c r="U67" s="7"/>
    </row>
    <row r="68" spans="1:21" x14ac:dyDescent="0.25">
      <c r="A68" s="5"/>
      <c r="B68" s="23"/>
      <c r="C68" s="23"/>
      <c r="D68" s="24"/>
      <c r="E68" s="23"/>
      <c r="F68" s="23"/>
      <c r="G68" s="23"/>
      <c r="H68" s="23"/>
      <c r="I68" s="23"/>
      <c r="J68" s="23"/>
      <c r="K68" s="23"/>
      <c r="L68" s="25"/>
      <c r="M68" s="6"/>
      <c r="U68" s="7"/>
    </row>
    <row r="69" spans="1:21" x14ac:dyDescent="0.25">
      <c r="A69" s="5"/>
      <c r="B69" s="22" t="s">
        <v>202</v>
      </c>
      <c r="C69" s="23"/>
      <c r="D69" s="23"/>
      <c r="G69" s="23" t="s">
        <v>106</v>
      </c>
      <c r="I69" s="26" t="s">
        <v>107</v>
      </c>
      <c r="J69" s="23"/>
      <c r="K69" s="23"/>
      <c r="L69" s="25"/>
      <c r="M69" s="22" t="s">
        <v>203</v>
      </c>
      <c r="N69" s="23"/>
      <c r="O69" s="23"/>
      <c r="R69" s="23" t="s">
        <v>106</v>
      </c>
      <c r="T69" s="26" t="s">
        <v>107</v>
      </c>
      <c r="U69" s="7"/>
    </row>
    <row r="70" spans="1:21" x14ac:dyDescent="0.25">
      <c r="A70" s="5"/>
      <c r="B70" s="23"/>
      <c r="C70" s="23"/>
      <c r="D70" s="23"/>
      <c r="E70" s="23"/>
      <c r="F70" s="23"/>
      <c r="G70" s="23"/>
      <c r="H70" s="23"/>
      <c r="I70" s="23"/>
      <c r="J70" s="23"/>
      <c r="K70" s="23"/>
      <c r="L70" s="25"/>
      <c r="M70" s="23"/>
      <c r="N70" s="23"/>
      <c r="O70" s="23"/>
      <c r="P70" s="23"/>
      <c r="Q70" s="23"/>
      <c r="U70" s="7"/>
    </row>
    <row r="71" spans="1:21" x14ac:dyDescent="0.25">
      <c r="A71" s="5"/>
      <c r="B71" s="282" t="s">
        <v>109</v>
      </c>
      <c r="C71" s="285" t="s">
        <v>110</v>
      </c>
      <c r="D71" s="282" t="s">
        <v>176</v>
      </c>
      <c r="E71" s="282"/>
      <c r="F71" s="282" t="s">
        <v>177</v>
      </c>
      <c r="G71" s="282"/>
      <c r="H71" s="31"/>
      <c r="I71" s="31"/>
      <c r="J71" s="31"/>
      <c r="K71" s="31"/>
      <c r="L71" s="31"/>
      <c r="M71" s="282" t="s">
        <v>109</v>
      </c>
      <c r="N71" s="55" t="s">
        <v>123</v>
      </c>
      <c r="O71" s="282" t="s">
        <v>86</v>
      </c>
      <c r="P71" s="23"/>
      <c r="Q71" s="23"/>
      <c r="U71" s="7"/>
    </row>
    <row r="72" spans="1:21" x14ac:dyDescent="0.25">
      <c r="A72" s="5"/>
      <c r="B72" s="282"/>
      <c r="C72" s="285"/>
      <c r="D72" s="55" t="s">
        <v>111</v>
      </c>
      <c r="E72" s="55" t="s">
        <v>112</v>
      </c>
      <c r="F72" s="55" t="s">
        <v>113</v>
      </c>
      <c r="G72" s="55" t="s">
        <v>114</v>
      </c>
      <c r="H72" s="31"/>
      <c r="I72" s="31"/>
      <c r="J72" s="31"/>
      <c r="K72" s="31"/>
      <c r="L72" s="31"/>
      <c r="M72" s="282"/>
      <c r="N72" s="55" t="s">
        <v>95</v>
      </c>
      <c r="O72" s="282"/>
      <c r="P72" s="23"/>
      <c r="Q72" s="23"/>
      <c r="U72" s="7"/>
    </row>
    <row r="73" spans="1:21" x14ac:dyDescent="0.25">
      <c r="A73" s="5"/>
      <c r="B73" s="32" t="s">
        <v>115</v>
      </c>
      <c r="C73" s="32"/>
      <c r="D73" s="33"/>
      <c r="E73" s="32"/>
      <c r="F73" s="32"/>
      <c r="G73" s="32"/>
      <c r="H73" s="23"/>
      <c r="I73" s="23"/>
      <c r="J73" s="23"/>
      <c r="K73" s="23"/>
      <c r="L73" s="25"/>
      <c r="M73" s="32" t="s">
        <v>115</v>
      </c>
      <c r="N73" s="65"/>
      <c r="O73" s="56"/>
      <c r="P73" s="23"/>
      <c r="Q73" s="23"/>
      <c r="U73" s="7"/>
    </row>
    <row r="74" spans="1:21" x14ac:dyDescent="0.25">
      <c r="A74" s="5"/>
      <c r="B74" s="32" t="s">
        <v>42</v>
      </c>
      <c r="C74" s="34"/>
      <c r="D74" s="33"/>
      <c r="E74" s="32"/>
      <c r="F74" s="32"/>
      <c r="G74" s="32"/>
      <c r="H74" s="23"/>
      <c r="I74" s="23"/>
      <c r="J74" s="23"/>
      <c r="K74" s="23"/>
      <c r="L74" s="25"/>
      <c r="M74" s="32" t="s">
        <v>42</v>
      </c>
      <c r="N74" s="65"/>
      <c r="O74" s="56">
        <f t="shared" ref="O74:O78" si="0">IF(OR(N74&gt;1.5*N73,N74&gt;1.5*N75),0.9,1)</f>
        <v>1</v>
      </c>
      <c r="P74" s="23"/>
      <c r="Q74" s="23"/>
      <c r="U74" s="7"/>
    </row>
    <row r="75" spans="1:21" x14ac:dyDescent="0.25">
      <c r="A75" s="5"/>
      <c r="B75" s="32" t="s">
        <v>116</v>
      </c>
      <c r="C75" s="34"/>
      <c r="D75" s="33"/>
      <c r="E75" s="32"/>
      <c r="F75" s="32"/>
      <c r="G75" s="32"/>
      <c r="H75" s="23"/>
      <c r="I75" s="23"/>
      <c r="J75" s="23"/>
      <c r="K75" s="23"/>
      <c r="L75" s="25"/>
      <c r="M75" s="32" t="s">
        <v>116</v>
      </c>
      <c r="N75" s="65"/>
      <c r="O75" s="56">
        <f t="shared" si="0"/>
        <v>1</v>
      </c>
      <c r="P75" s="23"/>
      <c r="Q75" s="23"/>
      <c r="R75" s="6"/>
      <c r="S75" s="6"/>
      <c r="T75" s="6"/>
      <c r="U75" s="7"/>
    </row>
    <row r="76" spans="1:21" x14ac:dyDescent="0.25">
      <c r="A76" s="5"/>
      <c r="B76" s="32" t="s">
        <v>117</v>
      </c>
      <c r="C76" s="32"/>
      <c r="D76" s="33"/>
      <c r="E76" s="32"/>
      <c r="F76" s="32"/>
      <c r="G76" s="32"/>
      <c r="H76" s="23"/>
      <c r="I76" s="23"/>
      <c r="J76" s="23"/>
      <c r="K76" s="23"/>
      <c r="L76" s="25"/>
      <c r="M76" s="32" t="s">
        <v>117</v>
      </c>
      <c r="N76" s="65"/>
      <c r="O76" s="56">
        <f t="shared" si="0"/>
        <v>1</v>
      </c>
      <c r="P76" s="23"/>
      <c r="Q76" s="23"/>
      <c r="R76" s="6"/>
      <c r="S76" s="6"/>
      <c r="T76" s="6"/>
      <c r="U76" s="7"/>
    </row>
    <row r="77" spans="1:21" x14ac:dyDescent="0.25">
      <c r="A77" s="5"/>
      <c r="B77" s="32" t="s">
        <v>118</v>
      </c>
      <c r="C77" s="32"/>
      <c r="D77" s="33"/>
      <c r="E77" s="32"/>
      <c r="F77" s="32"/>
      <c r="G77" s="32"/>
      <c r="H77" s="23"/>
      <c r="I77" s="23"/>
      <c r="J77" s="23"/>
      <c r="K77" s="23"/>
      <c r="L77" s="25"/>
      <c r="M77" s="32" t="s">
        <v>118</v>
      </c>
      <c r="N77" s="65"/>
      <c r="O77" s="56">
        <f t="shared" si="0"/>
        <v>1</v>
      </c>
      <c r="P77" s="26"/>
      <c r="Q77" s="26"/>
      <c r="R77" s="17"/>
      <c r="S77" s="17"/>
      <c r="T77" s="17"/>
      <c r="U77" s="7"/>
    </row>
    <row r="78" spans="1:21" x14ac:dyDescent="0.25">
      <c r="A78" s="5"/>
      <c r="B78" s="32" t="s">
        <v>27</v>
      </c>
      <c r="C78" s="32"/>
      <c r="D78" s="33"/>
      <c r="E78" s="32"/>
      <c r="F78" s="32"/>
      <c r="G78" s="32"/>
      <c r="H78" s="23"/>
      <c r="I78" s="23"/>
      <c r="J78" s="23"/>
      <c r="K78" s="23"/>
      <c r="L78" s="25"/>
      <c r="M78" s="32" t="s">
        <v>27</v>
      </c>
      <c r="N78" s="65"/>
      <c r="O78" s="56">
        <f t="shared" si="0"/>
        <v>1</v>
      </c>
      <c r="P78" s="26"/>
      <c r="Q78" s="26"/>
      <c r="U78" s="7"/>
    </row>
    <row r="79" spans="1:21" x14ac:dyDescent="0.25">
      <c r="A79" s="5"/>
      <c r="B79" s="32" t="s">
        <v>55</v>
      </c>
      <c r="C79" s="32"/>
      <c r="D79" s="33"/>
      <c r="E79" s="32"/>
      <c r="F79" s="32"/>
      <c r="G79" s="32"/>
      <c r="H79" s="23"/>
      <c r="I79" s="23"/>
      <c r="J79" s="23"/>
      <c r="K79" s="23"/>
      <c r="L79" s="25"/>
      <c r="M79" s="32" t="s">
        <v>55</v>
      </c>
      <c r="N79" s="87">
        <f>'4. MASA (MODELO)'!K23</f>
        <v>0</v>
      </c>
      <c r="O79" s="56">
        <f>IF(OR(N79&gt;1.5*N78,N79&gt;1.5*N80),0.9,1)</f>
        <v>1</v>
      </c>
      <c r="P79" s="26"/>
      <c r="Q79" s="26"/>
      <c r="U79" s="7"/>
    </row>
    <row r="80" spans="1:21" x14ac:dyDescent="0.25">
      <c r="A80" s="5"/>
      <c r="B80" s="32" t="s">
        <v>54</v>
      </c>
      <c r="C80" s="32"/>
      <c r="D80" s="33"/>
      <c r="E80" s="32"/>
      <c r="F80" s="32"/>
      <c r="G80" s="32"/>
      <c r="H80" s="23"/>
      <c r="I80" s="23"/>
      <c r="J80" s="23"/>
      <c r="K80" s="23"/>
      <c r="L80" s="25"/>
      <c r="M80" s="32" t="s">
        <v>54</v>
      </c>
      <c r="N80" s="87">
        <f>'4. MASA (MODELO)'!K24</f>
        <v>3072.9180999999999</v>
      </c>
      <c r="O80" s="56">
        <f t="shared" ref="O80:O81" si="1">IF(OR(N80&gt;1.5*N79,N80&gt;1.5*N81),0.9,1)</f>
        <v>0.9</v>
      </c>
      <c r="P80" s="26"/>
      <c r="Q80" s="26"/>
      <c r="U80" s="7"/>
    </row>
    <row r="81" spans="1:21" x14ac:dyDescent="0.25">
      <c r="A81" s="5"/>
      <c r="B81" s="32" t="s">
        <v>53</v>
      </c>
      <c r="C81" s="32"/>
      <c r="D81" s="33"/>
      <c r="E81" s="32"/>
      <c r="F81" s="32"/>
      <c r="G81" s="32"/>
      <c r="H81" s="23"/>
      <c r="I81" s="23"/>
      <c r="J81" s="23"/>
      <c r="K81" s="23"/>
      <c r="L81" s="25"/>
      <c r="M81" s="32" t="s">
        <v>53</v>
      </c>
      <c r="N81" s="87">
        <f>'4. MASA (MODELO)'!K25</f>
        <v>3745.7687000000005</v>
      </c>
      <c r="O81" s="56">
        <f t="shared" si="1"/>
        <v>0.9</v>
      </c>
      <c r="P81" s="26"/>
      <c r="Q81" s="26"/>
      <c r="R81" s="6"/>
      <c r="S81" s="6"/>
      <c r="T81" s="6"/>
      <c r="U81" s="7"/>
    </row>
    <row r="82" spans="1:21" x14ac:dyDescent="0.25">
      <c r="A82" s="5"/>
      <c r="B82" s="32" t="s">
        <v>52</v>
      </c>
      <c r="C82" s="32"/>
      <c r="D82" s="33"/>
      <c r="E82" s="32"/>
      <c r="F82" s="32"/>
      <c r="G82" s="32"/>
      <c r="H82" s="23"/>
      <c r="I82" s="23"/>
      <c r="J82" s="23"/>
      <c r="K82" s="23"/>
      <c r="L82" s="25"/>
      <c r="M82" s="32" t="s">
        <v>52</v>
      </c>
      <c r="N82" s="65">
        <f>'4. MASA (MODELO)'!K26</f>
        <v>0</v>
      </c>
      <c r="O82" s="56"/>
      <c r="P82" s="23"/>
      <c r="Q82" s="23"/>
      <c r="U82" s="7"/>
    </row>
    <row r="83" spans="1:21" x14ac:dyDescent="0.25">
      <c r="A83" s="5"/>
      <c r="B83" s="23"/>
      <c r="C83" s="23"/>
      <c r="D83" s="23"/>
      <c r="E83" s="23"/>
      <c r="F83" s="23"/>
      <c r="G83" s="23"/>
      <c r="H83" s="23"/>
      <c r="I83" s="23"/>
      <c r="J83" s="23"/>
      <c r="K83" s="23"/>
      <c r="L83" s="25"/>
      <c r="M83" s="26"/>
      <c r="N83" s="26"/>
      <c r="O83" s="26"/>
      <c r="P83" s="23"/>
      <c r="Q83" s="23"/>
      <c r="U83" s="7"/>
    </row>
    <row r="84" spans="1:21" x14ac:dyDescent="0.25">
      <c r="A84" s="5"/>
      <c r="B84" s="55" t="s">
        <v>86</v>
      </c>
      <c r="C84" s="55">
        <f>IF(I69="SÍ",MIN(D73:G82),1)</f>
        <v>1</v>
      </c>
      <c r="D84" s="23"/>
      <c r="E84" s="23"/>
      <c r="F84" s="23"/>
      <c r="G84" s="23"/>
      <c r="H84" s="23"/>
      <c r="I84" s="23"/>
      <c r="J84" s="23"/>
      <c r="K84" s="23"/>
      <c r="L84" s="25"/>
      <c r="M84" s="55" t="s">
        <v>86</v>
      </c>
      <c r="N84" s="55">
        <f>IF(T69="NO",1,MIN(O73:O82))</f>
        <v>1</v>
      </c>
      <c r="O84" s="26"/>
      <c r="P84" s="23"/>
      <c r="Q84" s="23"/>
      <c r="U84" s="7"/>
    </row>
    <row r="85" spans="1:21" x14ac:dyDescent="0.25">
      <c r="A85" s="5"/>
      <c r="U85" s="7"/>
    </row>
    <row r="86" spans="1:21" x14ac:dyDescent="0.25">
      <c r="A86" s="5"/>
      <c r="B86" s="24" t="s">
        <v>111</v>
      </c>
      <c r="C86" s="24" t="s">
        <v>119</v>
      </c>
      <c r="U86" s="7"/>
    </row>
    <row r="87" spans="1:21" x14ac:dyDescent="0.25">
      <c r="A87" s="5"/>
      <c r="B87" s="23" t="s">
        <v>112</v>
      </c>
      <c r="C87" s="23" t="s">
        <v>120</v>
      </c>
      <c r="U87" s="7"/>
    </row>
    <row r="88" spans="1:21" x14ac:dyDescent="0.25">
      <c r="A88" s="5"/>
      <c r="B88" s="24" t="s">
        <v>113</v>
      </c>
      <c r="C88" s="24" t="s">
        <v>121</v>
      </c>
      <c r="U88" s="7"/>
    </row>
    <row r="89" spans="1:21" x14ac:dyDescent="0.25">
      <c r="A89" s="5"/>
      <c r="B89" s="23" t="s">
        <v>114</v>
      </c>
      <c r="C89" s="23" t="s">
        <v>122</v>
      </c>
      <c r="U89" s="7"/>
    </row>
    <row r="90" spans="1:21" x14ac:dyDescent="0.25">
      <c r="A90" s="5"/>
      <c r="U90" s="7"/>
    </row>
    <row r="91" spans="1:21" x14ac:dyDescent="0.25">
      <c r="A91" s="5"/>
      <c r="B91" s="22" t="s">
        <v>205</v>
      </c>
      <c r="C91" s="23"/>
      <c r="F91" s="23" t="s">
        <v>106</v>
      </c>
      <c r="H91" s="26" t="s">
        <v>107</v>
      </c>
      <c r="L91" s="22" t="s">
        <v>206</v>
      </c>
      <c r="M91" s="26"/>
      <c r="N91" s="23"/>
      <c r="O91" s="23"/>
      <c r="P91" s="23"/>
      <c r="U91" s="7"/>
    </row>
    <row r="92" spans="1:21" x14ac:dyDescent="0.25">
      <c r="A92" s="5"/>
      <c r="B92" s="23"/>
      <c r="C92" s="23"/>
      <c r="D92" s="23"/>
      <c r="E92" s="23"/>
      <c r="F92" s="25"/>
      <c r="K92" s="26"/>
      <c r="L92" s="26"/>
      <c r="M92" s="26"/>
      <c r="N92" s="23"/>
      <c r="O92" s="23"/>
      <c r="P92" s="23"/>
      <c r="U92" s="7"/>
    </row>
    <row r="93" spans="1:21" x14ac:dyDescent="0.25">
      <c r="A93" s="5"/>
      <c r="B93" s="56" t="s">
        <v>124</v>
      </c>
      <c r="C93" s="35"/>
      <c r="D93" s="56" t="s">
        <v>101</v>
      </c>
      <c r="E93" s="23"/>
      <c r="F93" s="25"/>
      <c r="G93" s="18"/>
      <c r="J93" s="23"/>
      <c r="L93" s="56" t="s">
        <v>124</v>
      </c>
      <c r="M93" s="56"/>
      <c r="N93" s="56" t="s">
        <v>101</v>
      </c>
      <c r="O93" s="23"/>
      <c r="P93" s="23"/>
      <c r="U93" s="7"/>
    </row>
    <row r="94" spans="1:21" x14ac:dyDescent="0.25">
      <c r="A94" s="5"/>
      <c r="B94" s="56" t="s">
        <v>125</v>
      </c>
      <c r="C94" s="35"/>
      <c r="D94" s="56" t="s">
        <v>101</v>
      </c>
      <c r="E94" s="23"/>
      <c r="F94" s="25"/>
      <c r="G94" s="18"/>
      <c r="J94" s="23"/>
      <c r="L94" s="56" t="s">
        <v>125</v>
      </c>
      <c r="M94" s="56"/>
      <c r="N94" s="56" t="s">
        <v>101</v>
      </c>
      <c r="O94" s="23"/>
      <c r="P94" s="23"/>
      <c r="U94" s="7"/>
    </row>
    <row r="95" spans="1:21" x14ac:dyDescent="0.25">
      <c r="A95" s="5"/>
      <c r="B95" s="23"/>
      <c r="C95" s="23"/>
      <c r="D95" s="23"/>
      <c r="E95" s="23"/>
      <c r="F95" s="25"/>
      <c r="G95" s="17"/>
      <c r="J95" s="23"/>
      <c r="L95" s="23"/>
      <c r="M95" s="23"/>
      <c r="N95" s="23"/>
      <c r="O95" s="23"/>
      <c r="P95" s="23"/>
      <c r="U95" s="7"/>
    </row>
    <row r="96" spans="1:21" x14ac:dyDescent="0.25">
      <c r="A96" s="5"/>
      <c r="B96" s="55" t="s">
        <v>86</v>
      </c>
      <c r="C96" s="55">
        <f>IF(H91="NO",1,IF(C93&gt;1.3*C94,0.9,1))</f>
        <v>1</v>
      </c>
      <c r="D96" s="26"/>
      <c r="E96" s="23"/>
      <c r="F96" s="25"/>
      <c r="G96" s="17"/>
      <c r="J96" s="23"/>
      <c r="L96" s="23" t="s">
        <v>106</v>
      </c>
      <c r="N96" s="26" t="s">
        <v>107</v>
      </c>
      <c r="O96" s="23"/>
      <c r="P96" s="23"/>
      <c r="U96" s="7"/>
    </row>
    <row r="97" spans="1:21" x14ac:dyDescent="0.25">
      <c r="A97" s="5"/>
      <c r="B97" s="23"/>
      <c r="C97" s="24"/>
      <c r="D97" s="26"/>
      <c r="E97" s="23"/>
      <c r="F97" s="25"/>
      <c r="G97" s="17"/>
      <c r="J97" s="23"/>
      <c r="L97" s="282" t="s">
        <v>86</v>
      </c>
      <c r="M97" s="282"/>
      <c r="N97" s="55">
        <f>IF(N96="NO",1,IF(M94&gt;M93,0.8,1))</f>
        <v>1</v>
      </c>
      <c r="O97" s="23"/>
      <c r="P97" s="23"/>
      <c r="U97" s="7"/>
    </row>
    <row r="98" spans="1:21" x14ac:dyDescent="0.25">
      <c r="A98" s="5"/>
      <c r="B98" s="23"/>
      <c r="C98" s="24"/>
      <c r="D98" s="26"/>
      <c r="E98" s="23"/>
      <c r="F98" s="25"/>
      <c r="J98" s="23"/>
      <c r="P98" s="23"/>
      <c r="U98" s="7"/>
    </row>
    <row r="99" spans="1:21" x14ac:dyDescent="0.25">
      <c r="A99" s="5"/>
      <c r="B99" s="23"/>
      <c r="C99" s="24"/>
      <c r="D99" s="26"/>
      <c r="E99" s="23"/>
      <c r="F99" s="25"/>
      <c r="P99" s="23"/>
      <c r="U99" s="7"/>
    </row>
    <row r="100" spans="1:21" x14ac:dyDescent="0.25">
      <c r="A100" s="5"/>
      <c r="B100" s="23"/>
      <c r="C100" s="24"/>
      <c r="D100" s="26"/>
      <c r="E100" s="23"/>
      <c r="F100" s="25"/>
      <c r="K100" s="23"/>
      <c r="L100" s="23"/>
      <c r="M100" s="23"/>
      <c r="N100" s="23"/>
      <c r="O100" s="23"/>
      <c r="P100" s="23"/>
      <c r="U100" s="7"/>
    </row>
    <row r="101" spans="1:21" x14ac:dyDescent="0.25">
      <c r="A101" s="5"/>
      <c r="B101" s="26"/>
      <c r="C101" s="26"/>
      <c r="D101" s="26"/>
      <c r="E101" s="23"/>
      <c r="F101" s="25"/>
      <c r="K101" s="23"/>
      <c r="L101" s="23"/>
      <c r="M101" s="23"/>
      <c r="N101" s="23"/>
      <c r="O101" s="23"/>
      <c r="P101" s="23"/>
      <c r="Q101" s="23"/>
      <c r="R101" s="23"/>
      <c r="S101" s="23"/>
      <c r="T101" s="23"/>
      <c r="U101" s="7"/>
    </row>
    <row r="102" spans="1:21" x14ac:dyDescent="0.25">
      <c r="A102" s="5"/>
      <c r="B102" s="26"/>
      <c r="C102" s="23"/>
      <c r="D102" s="26"/>
      <c r="E102" s="23"/>
      <c r="F102" s="25"/>
      <c r="Q102" s="23"/>
      <c r="R102" s="23"/>
      <c r="S102" s="23"/>
      <c r="T102" s="23"/>
      <c r="U102" s="7"/>
    </row>
    <row r="103" spans="1:21" x14ac:dyDescent="0.25">
      <c r="A103" s="5"/>
      <c r="B103" s="26"/>
      <c r="C103" s="23"/>
      <c r="D103" s="26"/>
      <c r="E103" s="23"/>
      <c r="F103" s="25"/>
      <c r="Q103" s="23"/>
      <c r="R103" s="23"/>
      <c r="S103" s="23"/>
      <c r="T103" s="23"/>
      <c r="U103" s="7"/>
    </row>
    <row r="104" spans="1:21" x14ac:dyDescent="0.25">
      <c r="A104" s="5"/>
      <c r="B104" s="23"/>
      <c r="C104" s="23"/>
      <c r="D104" s="23"/>
      <c r="E104" s="23"/>
      <c r="F104" s="25"/>
      <c r="R104" s="17"/>
      <c r="S104" s="17"/>
      <c r="T104" s="17"/>
      <c r="U104" s="8"/>
    </row>
    <row r="105" spans="1:21" x14ac:dyDescent="0.25">
      <c r="A105" s="5"/>
      <c r="B105" s="23"/>
      <c r="C105" s="23"/>
      <c r="D105" s="23"/>
      <c r="E105" s="23"/>
      <c r="F105" s="25"/>
      <c r="U105" s="7"/>
    </row>
    <row r="106" spans="1:21" x14ac:dyDescent="0.25">
      <c r="A106" s="5"/>
      <c r="U106" s="7"/>
    </row>
    <row r="107" spans="1:21" x14ac:dyDescent="0.25">
      <c r="A107" s="5"/>
      <c r="B107" s="22" t="s">
        <v>207</v>
      </c>
      <c r="C107" s="23"/>
      <c r="F107" s="23" t="s">
        <v>106</v>
      </c>
      <c r="H107" s="26" t="s">
        <v>107</v>
      </c>
      <c r="U107" s="7"/>
    </row>
    <row r="108" spans="1:21" x14ac:dyDescent="0.25">
      <c r="A108" s="5"/>
      <c r="B108" s="23"/>
      <c r="C108" s="23"/>
      <c r="D108" s="23"/>
      <c r="E108" s="23"/>
      <c r="U108" s="7"/>
    </row>
    <row r="109" spans="1:21" x14ac:dyDescent="0.25">
      <c r="A109" s="5"/>
      <c r="B109" s="282" t="s">
        <v>109</v>
      </c>
      <c r="C109" s="282" t="s">
        <v>126</v>
      </c>
      <c r="D109" s="282"/>
      <c r="E109" s="286" t="s">
        <v>130</v>
      </c>
      <c r="F109" s="286"/>
      <c r="U109" s="7"/>
    </row>
    <row r="110" spans="1:21" x14ac:dyDescent="0.25">
      <c r="A110" s="5"/>
      <c r="B110" s="282"/>
      <c r="C110" s="282"/>
      <c r="D110" s="282"/>
      <c r="E110" s="36" t="s">
        <v>111</v>
      </c>
      <c r="F110" s="37" t="s">
        <v>112</v>
      </c>
      <c r="U110" s="7"/>
    </row>
    <row r="111" spans="1:21" x14ac:dyDescent="0.25">
      <c r="A111" s="5"/>
      <c r="B111" s="282"/>
      <c r="C111" s="282"/>
      <c r="D111" s="282"/>
      <c r="E111" s="38" t="s">
        <v>180</v>
      </c>
      <c r="F111" s="38" t="s">
        <v>180</v>
      </c>
      <c r="M111" s="24" t="s">
        <v>111</v>
      </c>
      <c r="N111" s="23" t="s">
        <v>127</v>
      </c>
      <c r="O111" s="23"/>
      <c r="R111" s="19"/>
      <c r="T111" s="19"/>
      <c r="U111" s="7"/>
    </row>
    <row r="112" spans="1:21" x14ac:dyDescent="0.25">
      <c r="A112" s="5"/>
      <c r="B112" s="32" t="s">
        <v>115</v>
      </c>
      <c r="C112" s="32"/>
      <c r="D112" s="39"/>
      <c r="E112" s="33" t="str">
        <f>IF(AND(0.65*C112&lt;=C113,C113&lt;0.8*C112),0.9,"")</f>
        <v/>
      </c>
      <c r="F112" s="33" t="str">
        <f>IF(AND(0.65*D112&lt;=D113,D113&lt;0.8*D112),0.9,"")</f>
        <v/>
      </c>
      <c r="M112" s="23" t="s">
        <v>112</v>
      </c>
      <c r="N112" s="23" t="s">
        <v>128</v>
      </c>
      <c r="O112" s="23"/>
      <c r="R112" s="19"/>
      <c r="T112" s="19"/>
      <c r="U112" s="7"/>
    </row>
    <row r="113" spans="1:21" x14ac:dyDescent="0.25">
      <c r="A113" s="5"/>
      <c r="B113" s="32" t="s">
        <v>42</v>
      </c>
      <c r="C113" s="34"/>
      <c r="D113" s="39"/>
      <c r="E113" s="33" t="str">
        <f t="shared" ref="E113:E120" si="2">IF(AND(0.65*C113&lt;=C114,C114&lt;0.8*C113),0.9,"")</f>
        <v/>
      </c>
      <c r="F113" s="33" t="str">
        <f t="shared" ref="F113:F120" si="3">IF(AND(0.65*D113&lt;=D114,D114&lt;0.8*D113),0.9,"")</f>
        <v/>
      </c>
      <c r="M113" s="23"/>
      <c r="N113" s="23"/>
      <c r="O113" s="23"/>
      <c r="R113" s="19"/>
      <c r="T113" s="19"/>
      <c r="U113" s="7"/>
    </row>
    <row r="114" spans="1:21" x14ac:dyDescent="0.25">
      <c r="A114" s="5"/>
      <c r="B114" s="32" t="s">
        <v>116</v>
      </c>
      <c r="C114" s="34"/>
      <c r="D114" s="39"/>
      <c r="E114" s="33" t="str">
        <f t="shared" si="2"/>
        <v/>
      </c>
      <c r="F114" s="33" t="str">
        <f t="shared" si="3"/>
        <v/>
      </c>
      <c r="O114" s="23"/>
      <c r="R114" s="19"/>
      <c r="T114" s="19"/>
      <c r="U114" s="7"/>
    </row>
    <row r="115" spans="1:21" x14ac:dyDescent="0.25">
      <c r="A115" s="5"/>
      <c r="B115" s="32" t="s">
        <v>117</v>
      </c>
      <c r="C115" s="32"/>
      <c r="D115" s="39"/>
      <c r="E115" s="33" t="str">
        <f t="shared" si="2"/>
        <v/>
      </c>
      <c r="F115" s="33" t="str">
        <f t="shared" si="3"/>
        <v/>
      </c>
      <c r="R115" s="19"/>
      <c r="T115" s="19"/>
      <c r="U115" s="7"/>
    </row>
    <row r="116" spans="1:21" x14ac:dyDescent="0.25">
      <c r="A116" s="5"/>
      <c r="B116" s="32" t="s">
        <v>118</v>
      </c>
      <c r="C116" s="32"/>
      <c r="D116" s="39"/>
      <c r="E116" s="33" t="str">
        <f t="shared" si="2"/>
        <v/>
      </c>
      <c r="F116" s="33" t="str">
        <f t="shared" si="3"/>
        <v/>
      </c>
      <c r="R116" s="19"/>
      <c r="T116" s="19"/>
      <c r="U116" s="7"/>
    </row>
    <row r="117" spans="1:21" x14ac:dyDescent="0.25">
      <c r="A117" s="5"/>
      <c r="B117" s="32" t="s">
        <v>27</v>
      </c>
      <c r="C117" s="32"/>
      <c r="D117" s="39"/>
      <c r="E117" s="33" t="str">
        <f t="shared" si="2"/>
        <v/>
      </c>
      <c r="F117" s="33" t="str">
        <f t="shared" si="3"/>
        <v/>
      </c>
      <c r="L117" s="25"/>
      <c r="R117" s="19"/>
      <c r="T117" s="19"/>
      <c r="U117" s="7"/>
    </row>
    <row r="118" spans="1:21" x14ac:dyDescent="0.25">
      <c r="A118" s="5"/>
      <c r="B118" s="32" t="s">
        <v>55</v>
      </c>
      <c r="C118" s="32"/>
      <c r="D118" s="39"/>
      <c r="E118" s="33" t="str">
        <f t="shared" si="2"/>
        <v/>
      </c>
      <c r="F118" s="33" t="str">
        <f t="shared" si="3"/>
        <v/>
      </c>
      <c r="L118" s="25"/>
      <c r="U118" s="7"/>
    </row>
    <row r="119" spans="1:21" x14ac:dyDescent="0.25">
      <c r="A119" s="5"/>
      <c r="B119" s="32" t="s">
        <v>54</v>
      </c>
      <c r="C119" s="32"/>
      <c r="D119" s="39"/>
      <c r="E119" s="33" t="str">
        <f t="shared" si="2"/>
        <v/>
      </c>
      <c r="F119" s="33" t="str">
        <f t="shared" si="3"/>
        <v/>
      </c>
      <c r="L119" s="25"/>
      <c r="U119" s="7"/>
    </row>
    <row r="120" spans="1:21" x14ac:dyDescent="0.25">
      <c r="A120" s="5"/>
      <c r="B120" s="32" t="s">
        <v>53</v>
      </c>
      <c r="C120" s="32"/>
      <c r="D120" s="39"/>
      <c r="E120" s="33" t="str">
        <f t="shared" si="2"/>
        <v/>
      </c>
      <c r="F120" s="33" t="str">
        <f t="shared" si="3"/>
        <v/>
      </c>
      <c r="J120" s="23"/>
      <c r="K120" s="23"/>
      <c r="L120" s="25"/>
      <c r="U120" s="7"/>
    </row>
    <row r="121" spans="1:21" x14ac:dyDescent="0.25">
      <c r="A121" s="5"/>
      <c r="B121" s="32" t="s">
        <v>52</v>
      </c>
      <c r="C121" s="32"/>
      <c r="D121" s="39"/>
      <c r="E121" s="33"/>
      <c r="F121" s="32"/>
      <c r="J121" s="23"/>
      <c r="K121" s="23"/>
      <c r="L121" s="25"/>
      <c r="U121" s="7"/>
    </row>
    <row r="122" spans="1:21" x14ac:dyDescent="0.25">
      <c r="A122" s="5"/>
      <c r="H122" s="23"/>
      <c r="I122" s="23"/>
      <c r="J122" s="23"/>
      <c r="K122" s="23"/>
      <c r="L122" s="25"/>
      <c r="U122" s="7"/>
    </row>
    <row r="123" spans="1:21" x14ac:dyDescent="0.25">
      <c r="A123" s="5"/>
      <c r="B123" s="55" t="s">
        <v>86</v>
      </c>
      <c r="C123" s="55">
        <f>IF(H107="NO",1,MIN(E112:F121))</f>
        <v>1</v>
      </c>
      <c r="H123" s="23"/>
      <c r="I123" s="23"/>
      <c r="J123" s="23"/>
      <c r="K123" s="23"/>
      <c r="L123" s="25"/>
      <c r="U123" s="7"/>
    </row>
    <row r="124" spans="1:21" x14ac:dyDescent="0.25">
      <c r="A124" s="5"/>
      <c r="U124" s="7"/>
    </row>
    <row r="125" spans="1:21" x14ac:dyDescent="0.25">
      <c r="A125" s="5"/>
      <c r="U125" s="7"/>
    </row>
    <row r="126" spans="1:21" x14ac:dyDescent="0.25">
      <c r="A126" s="5"/>
      <c r="U126" s="7"/>
    </row>
    <row r="127" spans="1:21" x14ac:dyDescent="0.25">
      <c r="A127" s="9"/>
      <c r="B127" s="10"/>
      <c r="C127" s="10"/>
      <c r="D127" s="10"/>
      <c r="E127" s="10"/>
      <c r="F127" s="10"/>
      <c r="G127" s="10"/>
      <c r="H127" s="10"/>
      <c r="I127" s="10"/>
      <c r="J127" s="10"/>
      <c r="K127" s="10"/>
      <c r="L127" s="10"/>
      <c r="M127" s="10"/>
      <c r="N127" s="10"/>
      <c r="O127" s="10"/>
      <c r="P127" s="10"/>
      <c r="Q127" s="10"/>
      <c r="R127" s="10"/>
      <c r="S127" s="10"/>
      <c r="T127" s="10"/>
      <c r="U127" s="11"/>
    </row>
    <row r="128" spans="1:21" x14ac:dyDescent="0.25">
      <c r="A128" s="2"/>
      <c r="B128" s="3"/>
      <c r="C128" s="3"/>
      <c r="D128" s="3"/>
      <c r="E128" s="3"/>
      <c r="F128" s="3"/>
      <c r="G128" s="3"/>
      <c r="H128" s="3"/>
      <c r="I128" s="3"/>
      <c r="J128" s="3"/>
      <c r="K128" s="3"/>
      <c r="L128" s="3"/>
      <c r="M128" s="3"/>
      <c r="N128" s="3"/>
      <c r="O128" s="3"/>
      <c r="P128" s="3"/>
      <c r="Q128" s="3"/>
      <c r="R128" s="3"/>
      <c r="S128" s="3"/>
      <c r="T128" s="3"/>
      <c r="U128" s="4"/>
    </row>
    <row r="129" spans="1:21" x14ac:dyDescent="0.25">
      <c r="A129" s="5"/>
      <c r="B129" s="22" t="s">
        <v>211</v>
      </c>
      <c r="U129" s="7"/>
    </row>
    <row r="130" spans="1:21" x14ac:dyDescent="0.25">
      <c r="A130" s="5"/>
      <c r="U130" s="7"/>
    </row>
    <row r="131" spans="1:21" x14ac:dyDescent="0.25">
      <c r="A131" s="5"/>
      <c r="B131" s="40" t="s">
        <v>572</v>
      </c>
      <c r="U131" s="7"/>
    </row>
    <row r="132" spans="1:21" x14ac:dyDescent="0.25">
      <c r="A132" s="5"/>
      <c r="B132" s="40"/>
      <c r="U132" s="7"/>
    </row>
    <row r="133" spans="1:21" x14ac:dyDescent="0.25">
      <c r="A133" s="5"/>
      <c r="C133" s="40" t="s">
        <v>569</v>
      </c>
      <c r="D133" s="40"/>
      <c r="F133" s="31" t="s">
        <v>178</v>
      </c>
      <c r="H133" s="55" t="s">
        <v>570</v>
      </c>
      <c r="I133" s="54">
        <f>IF(F133="Sí",0.75,1)</f>
        <v>0.75</v>
      </c>
      <c r="U133" s="7"/>
    </row>
    <row r="134" spans="1:21" x14ac:dyDescent="0.25">
      <c r="A134" s="5"/>
      <c r="U134" s="7"/>
    </row>
    <row r="135" spans="1:21" x14ac:dyDescent="0.25">
      <c r="A135" s="5"/>
      <c r="C135" s="281" t="s">
        <v>574</v>
      </c>
      <c r="D135" s="281"/>
      <c r="E135" s="281"/>
      <c r="F135" s="281"/>
      <c r="G135" s="281"/>
      <c r="H135" s="281"/>
      <c r="I135" s="281"/>
      <c r="J135" s="281"/>
      <c r="K135" s="281"/>
      <c r="L135" s="281"/>
      <c r="M135" s="281"/>
      <c r="N135" s="281"/>
      <c r="O135" s="281"/>
      <c r="P135" s="281"/>
      <c r="Q135" s="281"/>
      <c r="R135" s="281"/>
      <c r="S135" s="281"/>
      <c r="T135" s="281"/>
      <c r="U135" s="7"/>
    </row>
    <row r="136" spans="1:21" x14ac:dyDescent="0.25">
      <c r="A136" s="5"/>
      <c r="C136" s="281"/>
      <c r="D136" s="281"/>
      <c r="E136" s="281"/>
      <c r="F136" s="281"/>
      <c r="G136" s="281"/>
      <c r="H136" s="281"/>
      <c r="I136" s="281"/>
      <c r="J136" s="281"/>
      <c r="K136" s="281"/>
      <c r="L136" s="281"/>
      <c r="M136" s="281"/>
      <c r="N136" s="281"/>
      <c r="O136" s="281"/>
      <c r="P136" s="281"/>
      <c r="Q136" s="281"/>
      <c r="R136" s="281"/>
      <c r="S136" s="281"/>
      <c r="T136" s="281"/>
      <c r="U136" s="7"/>
    </row>
    <row r="137" spans="1:21" x14ac:dyDescent="0.25">
      <c r="A137" s="5"/>
      <c r="U137" s="7"/>
    </row>
    <row r="138" spans="1:21" x14ac:dyDescent="0.25">
      <c r="A138" s="5"/>
      <c r="B138" s="40" t="s">
        <v>573</v>
      </c>
      <c r="U138" s="7"/>
    </row>
    <row r="139" spans="1:21" x14ac:dyDescent="0.25">
      <c r="A139" s="5"/>
      <c r="B139" s="40"/>
      <c r="U139" s="7"/>
    </row>
    <row r="140" spans="1:21" x14ac:dyDescent="0.25">
      <c r="A140" s="5"/>
      <c r="C140" s="40" t="s">
        <v>569</v>
      </c>
      <c r="D140" s="40"/>
      <c r="F140" s="31" t="s">
        <v>107</v>
      </c>
      <c r="H140" s="55" t="s">
        <v>571</v>
      </c>
      <c r="I140" s="54">
        <f>IF(F140="Sí",0.75,1)</f>
        <v>1</v>
      </c>
      <c r="U140" s="7"/>
    </row>
    <row r="141" spans="1:21" x14ac:dyDescent="0.25">
      <c r="A141" s="5"/>
      <c r="U141" s="7"/>
    </row>
    <row r="142" spans="1:21" x14ac:dyDescent="0.25">
      <c r="A142" s="5"/>
      <c r="C142" s="281" t="s">
        <v>575</v>
      </c>
      <c r="D142" s="281"/>
      <c r="E142" s="281"/>
      <c r="F142" s="281"/>
      <c r="G142" s="281"/>
      <c r="H142" s="281"/>
      <c r="I142" s="281"/>
      <c r="J142" s="281"/>
      <c r="K142" s="281"/>
      <c r="L142" s="281"/>
      <c r="M142" s="281"/>
      <c r="N142" s="281"/>
      <c r="O142" s="281"/>
      <c r="P142" s="281"/>
      <c r="Q142" s="281"/>
      <c r="R142" s="281"/>
      <c r="S142" s="281"/>
      <c r="T142" s="281"/>
      <c r="U142" s="7"/>
    </row>
    <row r="143" spans="1:21" x14ac:dyDescent="0.25">
      <c r="A143" s="5"/>
      <c r="C143" s="281"/>
      <c r="D143" s="281"/>
      <c r="E143" s="281"/>
      <c r="F143" s="281"/>
      <c r="G143" s="281"/>
      <c r="H143" s="281"/>
      <c r="I143" s="281"/>
      <c r="J143" s="281"/>
      <c r="K143" s="281"/>
      <c r="L143" s="281"/>
      <c r="M143" s="281"/>
      <c r="N143" s="281"/>
      <c r="O143" s="281"/>
      <c r="P143" s="281"/>
      <c r="Q143" s="281"/>
      <c r="R143" s="281"/>
      <c r="S143" s="281"/>
      <c r="T143" s="281"/>
      <c r="U143" s="7"/>
    </row>
    <row r="144" spans="1:21" x14ac:dyDescent="0.25">
      <c r="A144" s="5"/>
      <c r="U144" s="7"/>
    </row>
    <row r="145" spans="1:21" x14ac:dyDescent="0.25">
      <c r="A145" s="5"/>
      <c r="B145" s="41" t="s">
        <v>133</v>
      </c>
      <c r="C145" s="6"/>
      <c r="D145" s="6"/>
      <c r="E145" s="6"/>
      <c r="F145" s="6"/>
      <c r="G145" s="6"/>
      <c r="H145" s="6"/>
      <c r="I145" s="6"/>
      <c r="L145" s="42" t="s">
        <v>473</v>
      </c>
      <c r="M145" s="43">
        <f>'0. INICIO'!M24</f>
        <v>7</v>
      </c>
      <c r="O145" s="42" t="s">
        <v>474</v>
      </c>
      <c r="P145" s="43">
        <f>'0. INICIO'!M25</f>
        <v>7</v>
      </c>
      <c r="U145" s="7"/>
    </row>
    <row r="146" spans="1:21" x14ac:dyDescent="0.25">
      <c r="A146" s="5"/>
      <c r="B146" s="22" t="s">
        <v>129</v>
      </c>
      <c r="C146" s="22"/>
      <c r="D146" s="22"/>
      <c r="E146" s="22"/>
      <c r="H146" s="23"/>
      <c r="L146" s="44" t="s">
        <v>86</v>
      </c>
      <c r="M146" s="45">
        <f>MIN(C123,N97,N84,C96,C84)</f>
        <v>1</v>
      </c>
      <c r="O146" s="44" t="s">
        <v>86</v>
      </c>
      <c r="P146" s="45">
        <f>M146</f>
        <v>1</v>
      </c>
      <c r="U146" s="7"/>
    </row>
    <row r="147" spans="1:21" x14ac:dyDescent="0.25">
      <c r="A147" s="5"/>
      <c r="B147" s="22" t="s">
        <v>108</v>
      </c>
      <c r="C147" s="22"/>
      <c r="D147" s="22"/>
      <c r="E147" s="22"/>
      <c r="L147" s="44" t="s">
        <v>85</v>
      </c>
      <c r="M147" s="45">
        <f>MIN(F52,Q52,H39,R39,N19,I19)</f>
        <v>1</v>
      </c>
      <c r="O147" s="44" t="s">
        <v>85</v>
      </c>
      <c r="P147" s="45">
        <f>M147</f>
        <v>1</v>
      </c>
      <c r="U147" s="7"/>
    </row>
    <row r="148" spans="1:21" x14ac:dyDescent="0.25">
      <c r="A148" s="5"/>
      <c r="B148" s="22" t="s">
        <v>131</v>
      </c>
      <c r="L148" s="44" t="s">
        <v>132</v>
      </c>
      <c r="M148" s="45">
        <f>I133</f>
        <v>0.75</v>
      </c>
      <c r="O148" s="44" t="s">
        <v>132</v>
      </c>
      <c r="P148" s="45">
        <f>I140</f>
        <v>1</v>
      </c>
      <c r="U148" s="7"/>
    </row>
    <row r="149" spans="1:21" x14ac:dyDescent="0.25">
      <c r="A149" s="5"/>
      <c r="L149" s="57"/>
      <c r="M149" s="57"/>
      <c r="O149" s="57"/>
      <c r="P149" s="57"/>
      <c r="U149" s="7"/>
    </row>
    <row r="150" spans="1:21" x14ac:dyDescent="0.25">
      <c r="A150" s="5"/>
      <c r="B150" s="41" t="s">
        <v>133</v>
      </c>
      <c r="C150" s="40"/>
      <c r="D150" s="40"/>
      <c r="E150" s="40"/>
      <c r="F150" s="40"/>
      <c r="G150" s="40"/>
      <c r="H150" s="40"/>
      <c r="I150" s="40"/>
      <c r="L150" s="44" t="s">
        <v>87</v>
      </c>
      <c r="M150" s="46">
        <f>M145*M146*M147*M148</f>
        <v>5.25</v>
      </c>
      <c r="O150" s="44" t="s">
        <v>87</v>
      </c>
      <c r="P150" s="46">
        <f>P145*P146*P147*P148</f>
        <v>7</v>
      </c>
      <c r="U150" s="7"/>
    </row>
    <row r="151" spans="1:21" x14ac:dyDescent="0.25">
      <c r="A151" s="5"/>
      <c r="U151" s="7"/>
    </row>
    <row r="152" spans="1:21" x14ac:dyDescent="0.25">
      <c r="A152" s="5"/>
      <c r="U152" s="7"/>
    </row>
    <row r="153" spans="1:21" x14ac:dyDescent="0.25">
      <c r="A153" s="5"/>
      <c r="U153" s="7"/>
    </row>
    <row r="154" spans="1:21" x14ac:dyDescent="0.25">
      <c r="A154" s="5"/>
      <c r="U154" s="7"/>
    </row>
    <row r="155" spans="1:21" x14ac:dyDescent="0.25">
      <c r="A155" s="5"/>
      <c r="U155" s="7"/>
    </row>
    <row r="156" spans="1:21" x14ac:dyDescent="0.25">
      <c r="A156" s="5"/>
      <c r="U156" s="7"/>
    </row>
    <row r="157" spans="1:21" x14ac:dyDescent="0.25">
      <c r="A157" s="5"/>
      <c r="U157" s="7"/>
    </row>
    <row r="158" spans="1:21" x14ac:dyDescent="0.25">
      <c r="A158" s="5"/>
      <c r="U158" s="7"/>
    </row>
    <row r="159" spans="1:21" x14ac:dyDescent="0.25">
      <c r="A159" s="5"/>
      <c r="U159" s="7"/>
    </row>
    <row r="160" spans="1:21" x14ac:dyDescent="0.25">
      <c r="A160" s="5"/>
      <c r="U160" s="7"/>
    </row>
    <row r="161" spans="1:21" x14ac:dyDescent="0.25">
      <c r="A161" s="5"/>
      <c r="U161" s="7"/>
    </row>
    <row r="162" spans="1:21" x14ac:dyDescent="0.25">
      <c r="A162" s="5"/>
      <c r="U162" s="7"/>
    </row>
    <row r="163" spans="1:21" x14ac:dyDescent="0.25">
      <c r="A163" s="5"/>
      <c r="U163" s="7"/>
    </row>
    <row r="164" spans="1:21" x14ac:dyDescent="0.25">
      <c r="A164" s="5"/>
      <c r="U164" s="7"/>
    </row>
    <row r="165" spans="1:21" x14ac:dyDescent="0.25">
      <c r="A165" s="5"/>
      <c r="U165" s="7"/>
    </row>
    <row r="166" spans="1:21" x14ac:dyDescent="0.25">
      <c r="A166" s="5"/>
      <c r="U166" s="7"/>
    </row>
    <row r="167" spans="1:21" x14ac:dyDescent="0.25">
      <c r="A167" s="5"/>
      <c r="U167" s="7"/>
    </row>
    <row r="168" spans="1:21" x14ac:dyDescent="0.25">
      <c r="A168" s="5"/>
      <c r="U168" s="7"/>
    </row>
    <row r="169" spans="1:21" x14ac:dyDescent="0.25">
      <c r="A169" s="5"/>
      <c r="U169" s="7"/>
    </row>
    <row r="170" spans="1:21" x14ac:dyDescent="0.25">
      <c r="A170" s="5"/>
      <c r="U170" s="7"/>
    </row>
    <row r="171" spans="1:21" x14ac:dyDescent="0.25">
      <c r="A171" s="5"/>
      <c r="U171" s="7"/>
    </row>
    <row r="172" spans="1:21" x14ac:dyDescent="0.25">
      <c r="A172" s="5"/>
      <c r="U172" s="7"/>
    </row>
    <row r="173" spans="1:21" x14ac:dyDescent="0.25">
      <c r="A173" s="5"/>
      <c r="U173" s="7"/>
    </row>
    <row r="174" spans="1:21" x14ac:dyDescent="0.25">
      <c r="A174" s="5"/>
      <c r="U174" s="7"/>
    </row>
    <row r="175" spans="1:21" x14ac:dyDescent="0.25">
      <c r="A175" s="5"/>
      <c r="U175" s="7"/>
    </row>
    <row r="176" spans="1:21" x14ac:dyDescent="0.25">
      <c r="A176" s="5"/>
      <c r="U176" s="7"/>
    </row>
    <row r="177" spans="1:21" x14ac:dyDescent="0.25">
      <c r="A177" s="5"/>
      <c r="U177" s="7"/>
    </row>
    <row r="178" spans="1:21" x14ac:dyDescent="0.25">
      <c r="A178" s="5"/>
      <c r="U178" s="7"/>
    </row>
    <row r="179" spans="1:21" x14ac:dyDescent="0.25">
      <c r="A179" s="5"/>
      <c r="U179" s="7"/>
    </row>
    <row r="180" spans="1:21" x14ac:dyDescent="0.25">
      <c r="A180" s="5"/>
      <c r="U180" s="7"/>
    </row>
    <row r="181" spans="1:21" x14ac:dyDescent="0.25">
      <c r="A181" s="5"/>
      <c r="U181" s="7"/>
    </row>
    <row r="182" spans="1:21" x14ac:dyDescent="0.25">
      <c r="A182" s="5"/>
      <c r="U182" s="7"/>
    </row>
    <row r="183" spans="1:21" x14ac:dyDescent="0.25">
      <c r="A183" s="5"/>
      <c r="U183" s="7"/>
    </row>
    <row r="184" spans="1:21" x14ac:dyDescent="0.25">
      <c r="A184" s="5"/>
      <c r="U184" s="7"/>
    </row>
    <row r="185" spans="1:21" x14ac:dyDescent="0.25">
      <c r="A185" s="5"/>
      <c r="U185" s="7"/>
    </row>
    <row r="186" spans="1:21" x14ac:dyDescent="0.25">
      <c r="A186" s="5"/>
      <c r="U186" s="7"/>
    </row>
    <row r="187" spans="1:21" x14ac:dyDescent="0.25">
      <c r="A187" s="5"/>
      <c r="U187" s="7"/>
    </row>
    <row r="188" spans="1:21" x14ac:dyDescent="0.25">
      <c r="A188" s="5"/>
      <c r="U188" s="7"/>
    </row>
    <row r="189" spans="1:21" x14ac:dyDescent="0.25">
      <c r="A189" s="9"/>
      <c r="B189" s="10"/>
      <c r="C189" s="10"/>
      <c r="D189" s="10"/>
      <c r="E189" s="10"/>
      <c r="F189" s="10"/>
      <c r="G189" s="10"/>
      <c r="H189" s="10"/>
      <c r="I189" s="10"/>
      <c r="J189" s="10"/>
      <c r="K189" s="10"/>
      <c r="L189" s="10"/>
      <c r="M189" s="10"/>
      <c r="N189" s="10"/>
      <c r="O189" s="10"/>
      <c r="P189" s="10"/>
      <c r="Q189" s="10"/>
      <c r="R189" s="10"/>
      <c r="S189" s="10"/>
      <c r="T189" s="10"/>
      <c r="U189" s="11"/>
    </row>
    <row r="190" spans="1:21" x14ac:dyDescent="0.25">
      <c r="A190" s="9"/>
      <c r="B190" s="10"/>
      <c r="C190" s="10"/>
      <c r="D190" s="10"/>
      <c r="E190" s="10"/>
      <c r="F190" s="10"/>
      <c r="G190" s="10"/>
      <c r="H190" s="10"/>
      <c r="I190" s="10"/>
      <c r="J190" s="10"/>
      <c r="K190" s="10"/>
      <c r="L190" s="10"/>
      <c r="M190" s="10"/>
      <c r="N190" s="10"/>
      <c r="O190" s="10"/>
      <c r="P190" s="10"/>
      <c r="Q190" s="10"/>
      <c r="R190" s="10"/>
      <c r="S190" s="10"/>
      <c r="T190" s="10"/>
      <c r="U190" s="11"/>
    </row>
  </sheetData>
  <mergeCells count="53">
    <mergeCell ref="L19:M19"/>
    <mergeCell ref="D71:E71"/>
    <mergeCell ref="F71:G71"/>
    <mergeCell ref="E15:F15"/>
    <mergeCell ref="G15:H15"/>
    <mergeCell ref="C18:D18"/>
    <mergeCell ref="C71:C72"/>
    <mergeCell ref="C16:D16"/>
    <mergeCell ref="E16:F16"/>
    <mergeCell ref="G16:H16"/>
    <mergeCell ref="E18:F18"/>
    <mergeCell ref="G18:H18"/>
    <mergeCell ref="F39:G39"/>
    <mergeCell ref="C15:D15"/>
    <mergeCell ref="Q1:U1"/>
    <mergeCell ref="O2:P2"/>
    <mergeCell ref="Q2:U2"/>
    <mergeCell ref="F3:G3"/>
    <mergeCell ref="H3:N3"/>
    <mergeCell ref="O3:P3"/>
    <mergeCell ref="Q3:U3"/>
    <mergeCell ref="O39:Q39"/>
    <mergeCell ref="E109:F109"/>
    <mergeCell ref="A1:E3"/>
    <mergeCell ref="F1:G2"/>
    <mergeCell ref="H1:N2"/>
    <mergeCell ref="O1:P1"/>
    <mergeCell ref="I12:J12"/>
    <mergeCell ref="C13:D13"/>
    <mergeCell ref="E13:F13"/>
    <mergeCell ref="G13:H13"/>
    <mergeCell ref="C14:D14"/>
    <mergeCell ref="C12:D12"/>
    <mergeCell ref="E12:F12"/>
    <mergeCell ref="G12:H12"/>
    <mergeCell ref="E14:F14"/>
    <mergeCell ref="G14:H14"/>
    <mergeCell ref="C142:T143"/>
    <mergeCell ref="B5:T6"/>
    <mergeCell ref="B71:B72"/>
    <mergeCell ref="C135:T136"/>
    <mergeCell ref="L18:M18"/>
    <mergeCell ref="L17:M17"/>
    <mergeCell ref="F38:G38"/>
    <mergeCell ref="O38:Q38"/>
    <mergeCell ref="M71:M72"/>
    <mergeCell ref="O71:O72"/>
    <mergeCell ref="L97:M97"/>
    <mergeCell ref="C109:D111"/>
    <mergeCell ref="B109:B111"/>
    <mergeCell ref="C17:D17"/>
    <mergeCell ref="E17:F17"/>
    <mergeCell ref="G17:H17"/>
  </mergeCells>
  <dataValidations disablePrompts="1" count="1">
    <dataValidation type="list" allowBlank="1" showInputMessage="1" showErrorMessage="1" sqref="D52 O52 I69 T69 H91 H107 N96 F133 F140" xr:uid="{D72B2D3D-853F-435F-A30C-781DEACC4F4A}">
      <formula1>"SÍ,NO"</formula1>
    </dataValidation>
  </dataValidations>
  <printOptions horizontalCentered="1" verticalCentered="1"/>
  <pageMargins left="0.47244094488188981" right="0.47244094488188981" top="0.74803149606299213" bottom="0.74803149606299213" header="0.31496062992125984" footer="0.31496062992125984"/>
  <pageSetup scale="70" fitToWidth="0" fitToHeight="0" orientation="portrait" r:id="rId1"/>
  <rowBreaks count="2" manualBreakCount="2">
    <brk id="65" max="20" man="1"/>
    <brk id="127" max="20"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6373D-C8DF-4812-A934-E3695E236AD5}">
  <dimension ref="A1:AK132"/>
  <sheetViews>
    <sheetView view="pageBreakPreview" topLeftCell="A5" zoomScale="85" zoomScaleNormal="100" zoomScaleSheetLayoutView="85" workbookViewId="0">
      <selection activeCell="W13" sqref="W13:AK132"/>
    </sheetView>
  </sheetViews>
  <sheetFormatPr baseColWidth="10" defaultColWidth="5.7109375" defaultRowHeight="15" x14ac:dyDescent="0.25"/>
  <cols>
    <col min="1" max="16" width="5.7109375" style="1" customWidth="1"/>
    <col min="17" max="17" width="5.7109375" style="1"/>
    <col min="18" max="21" width="5.7109375" style="1" customWidth="1"/>
    <col min="22" max="22" width="5.7109375" style="1"/>
    <col min="23" max="23" width="7.85546875" style="1" customWidth="1"/>
    <col min="24" max="24" width="6" style="1" bestFit="1" customWidth="1"/>
    <col min="25" max="25" width="6.42578125" style="1" bestFit="1" customWidth="1"/>
    <col min="26" max="35" width="8.85546875" style="1" bestFit="1" customWidth="1"/>
    <col min="36" max="36" width="9.28515625" style="1" bestFit="1" customWidth="1"/>
    <col min="37" max="37" width="8.85546875" style="1" bestFit="1" customWidth="1"/>
    <col min="38" max="16384" width="5.7109375" style="1"/>
  </cols>
  <sheetData>
    <row r="1" spans="1:37"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37"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c r="W2" s="1" t="s">
        <v>214</v>
      </c>
    </row>
    <row r="3" spans="1:37" x14ac:dyDescent="0.25">
      <c r="A3" s="214"/>
      <c r="B3" s="215"/>
      <c r="C3" s="215"/>
      <c r="D3" s="215"/>
      <c r="E3" s="216"/>
      <c r="F3" s="217" t="s">
        <v>1</v>
      </c>
      <c r="G3" s="210"/>
      <c r="H3" s="217" t="s">
        <v>226</v>
      </c>
      <c r="I3" s="209"/>
      <c r="J3" s="209"/>
      <c r="K3" s="209"/>
      <c r="L3" s="209"/>
      <c r="M3" s="209"/>
      <c r="N3" s="210"/>
      <c r="O3" s="217" t="s">
        <v>4</v>
      </c>
      <c r="P3" s="209"/>
      <c r="Q3" s="209" t="str">
        <f>'0. CARTA RESPONSABILIDAD'!Q3</f>
        <v>R0</v>
      </c>
      <c r="R3" s="209"/>
      <c r="S3" s="209"/>
      <c r="T3" s="209"/>
      <c r="U3" s="210"/>
    </row>
    <row r="4" spans="1:37" ht="13.9" x14ac:dyDescent="0.25">
      <c r="A4" s="2"/>
      <c r="B4" s="3"/>
      <c r="C4" s="3"/>
      <c r="D4" s="3"/>
      <c r="E4" s="3"/>
      <c r="F4" s="3"/>
      <c r="G4" s="3"/>
      <c r="H4" s="3"/>
      <c r="I4" s="3"/>
      <c r="J4" s="3"/>
      <c r="K4" s="3"/>
      <c r="L4" s="3"/>
      <c r="M4" s="3"/>
      <c r="N4" s="3"/>
      <c r="O4" s="3"/>
      <c r="P4" s="3"/>
      <c r="Q4" s="3"/>
      <c r="R4" s="3"/>
      <c r="S4" s="3"/>
      <c r="T4" s="3"/>
      <c r="U4" s="4"/>
    </row>
    <row r="5" spans="1:37" x14ac:dyDescent="0.25">
      <c r="A5" s="5"/>
      <c r="B5" s="225" t="s">
        <v>264</v>
      </c>
      <c r="C5" s="225"/>
      <c r="D5" s="225"/>
      <c r="E5" s="225"/>
      <c r="F5" s="225"/>
      <c r="G5" s="225"/>
      <c r="H5" s="225"/>
      <c r="I5" s="225"/>
      <c r="J5" s="225"/>
      <c r="K5" s="225"/>
      <c r="L5" s="225"/>
      <c r="M5" s="225"/>
      <c r="N5" s="225"/>
      <c r="O5" s="225"/>
      <c r="P5" s="225"/>
      <c r="Q5" s="225"/>
      <c r="R5" s="225"/>
      <c r="S5" s="225"/>
      <c r="T5" s="225"/>
      <c r="U5" s="7"/>
    </row>
    <row r="6" spans="1:37" x14ac:dyDescent="0.25">
      <c r="A6" s="5"/>
      <c r="B6" s="225"/>
      <c r="C6" s="225"/>
      <c r="D6" s="225"/>
      <c r="E6" s="225"/>
      <c r="F6" s="225"/>
      <c r="G6" s="225"/>
      <c r="H6" s="225"/>
      <c r="I6" s="225"/>
      <c r="J6" s="225"/>
      <c r="K6" s="225"/>
      <c r="L6" s="225"/>
      <c r="M6" s="225"/>
      <c r="N6" s="225"/>
      <c r="O6" s="225"/>
      <c r="P6" s="225"/>
      <c r="Q6" s="225"/>
      <c r="R6" s="225"/>
      <c r="S6" s="225"/>
      <c r="T6" s="225"/>
      <c r="U6" s="7"/>
    </row>
    <row r="7" spans="1:37" ht="13.9" x14ac:dyDescent="0.25">
      <c r="A7" s="5"/>
      <c r="U7" s="7"/>
    </row>
    <row r="8" spans="1:37" x14ac:dyDescent="0.25">
      <c r="A8" s="5"/>
      <c r="B8" s="258" t="s">
        <v>536</v>
      </c>
      <c r="C8" s="258"/>
      <c r="D8" s="258"/>
      <c r="E8" s="258"/>
      <c r="F8" s="258"/>
      <c r="G8" s="258"/>
      <c r="H8" s="258"/>
      <c r="I8" s="258"/>
      <c r="J8" s="258"/>
      <c r="K8" s="258"/>
      <c r="L8" s="258"/>
      <c r="M8" s="258"/>
      <c r="N8" s="258"/>
      <c r="O8" s="258"/>
      <c r="P8" s="258"/>
      <c r="Q8" s="258"/>
      <c r="R8" s="258"/>
      <c r="S8" s="258"/>
      <c r="T8" s="258"/>
      <c r="U8" s="7"/>
    </row>
    <row r="9" spans="1:37" x14ac:dyDescent="0.25">
      <c r="A9" s="5"/>
      <c r="B9" s="258"/>
      <c r="C9" s="258"/>
      <c r="D9" s="258"/>
      <c r="E9" s="258"/>
      <c r="F9" s="258"/>
      <c r="G9" s="258"/>
      <c r="H9" s="258"/>
      <c r="I9" s="258"/>
      <c r="J9" s="258"/>
      <c r="K9" s="258"/>
      <c r="L9" s="258"/>
      <c r="M9" s="258"/>
      <c r="N9" s="258"/>
      <c r="O9" s="258"/>
      <c r="P9" s="258"/>
      <c r="Q9" s="258"/>
      <c r="R9" s="258"/>
      <c r="S9" s="258"/>
      <c r="T9" s="258"/>
      <c r="U9" s="7"/>
    </row>
    <row r="10" spans="1:37" ht="13.9" x14ac:dyDescent="0.25">
      <c r="A10" s="5"/>
      <c r="U10" s="7"/>
    </row>
    <row r="11" spans="1:37" x14ac:dyDescent="0.25">
      <c r="A11" s="5"/>
      <c r="B11" s="254" t="s">
        <v>153</v>
      </c>
      <c r="C11" s="254"/>
      <c r="D11" s="254" t="s">
        <v>154</v>
      </c>
      <c r="E11" s="254"/>
      <c r="F11" s="254" t="s">
        <v>155</v>
      </c>
      <c r="G11" s="254"/>
      <c r="H11" s="254" t="s">
        <v>156</v>
      </c>
      <c r="I11" s="254"/>
      <c r="J11" s="254" t="s">
        <v>157</v>
      </c>
      <c r="K11" s="254"/>
      <c r="L11" s="254" t="s">
        <v>158</v>
      </c>
      <c r="M11" s="254"/>
      <c r="N11" s="254" t="s">
        <v>159</v>
      </c>
      <c r="O11" s="254"/>
      <c r="P11" s="254" t="s">
        <v>160</v>
      </c>
      <c r="Q11" s="254"/>
      <c r="R11" s="6"/>
      <c r="S11" s="294" t="s">
        <v>225</v>
      </c>
      <c r="T11" s="294"/>
      <c r="U11" s="7"/>
      <c r="W11" s="1" t="s">
        <v>215</v>
      </c>
      <c r="X11" s="1" t="s">
        <v>153</v>
      </c>
      <c r="Y11" s="1" t="s">
        <v>154</v>
      </c>
      <c r="Z11" s="1" t="s">
        <v>155</v>
      </c>
      <c r="AA11" s="1" t="s">
        <v>156</v>
      </c>
      <c r="AB11" s="1" t="s">
        <v>157</v>
      </c>
      <c r="AC11" s="1" t="s">
        <v>216</v>
      </c>
      <c r="AD11" s="1" t="s">
        <v>217</v>
      </c>
      <c r="AE11" s="1" t="s">
        <v>218</v>
      </c>
      <c r="AF11" s="1" t="s">
        <v>219</v>
      </c>
      <c r="AG11" s="1" t="s">
        <v>220</v>
      </c>
      <c r="AH11" s="1" t="s">
        <v>221</v>
      </c>
      <c r="AI11" s="1" t="s">
        <v>222</v>
      </c>
      <c r="AJ11" s="1" t="s">
        <v>223</v>
      </c>
      <c r="AK11" s="1" t="s">
        <v>224</v>
      </c>
    </row>
    <row r="12" spans="1:37" x14ac:dyDescent="0.25">
      <c r="A12" s="5"/>
      <c r="B12" s="254"/>
      <c r="C12" s="254"/>
      <c r="D12" s="254" t="s">
        <v>161</v>
      </c>
      <c r="E12" s="254"/>
      <c r="F12" s="254"/>
      <c r="G12" s="254"/>
      <c r="H12" s="254"/>
      <c r="I12" s="254"/>
      <c r="J12" s="254"/>
      <c r="K12" s="254"/>
      <c r="L12" s="254"/>
      <c r="M12" s="254"/>
      <c r="N12" s="254"/>
      <c r="O12" s="254"/>
      <c r="P12" s="254"/>
      <c r="Q12" s="254"/>
      <c r="S12" s="294"/>
      <c r="T12" s="294"/>
      <c r="U12" s="7"/>
      <c r="Y12" s="1" t="s">
        <v>161</v>
      </c>
    </row>
    <row r="13" spans="1:37" ht="13.9" customHeight="1" x14ac:dyDescent="0.25">
      <c r="A13" s="5"/>
      <c r="B13" s="236">
        <f>X13</f>
        <v>1</v>
      </c>
      <c r="C13" s="236"/>
      <c r="D13" s="289">
        <f>Y13</f>
        <v>0.42899999999999999</v>
      </c>
      <c r="E13" s="289"/>
      <c r="F13" s="289">
        <f>Z13</f>
        <v>1.3769999999999999E-6</v>
      </c>
      <c r="G13" s="289"/>
      <c r="H13" s="289">
        <f>AA13</f>
        <v>0.92049999999999998</v>
      </c>
      <c r="I13" s="289"/>
      <c r="J13" s="289">
        <f>AB13</f>
        <v>2.5550000000000001E-5</v>
      </c>
      <c r="K13" s="289"/>
      <c r="L13" s="289">
        <f>AC13</f>
        <v>1.3769999999999999E-6</v>
      </c>
      <c r="M13" s="289"/>
      <c r="N13" s="289">
        <f>AD13</f>
        <v>0.92049999999999998</v>
      </c>
      <c r="O13" s="289"/>
      <c r="P13" s="289">
        <f>AE13</f>
        <v>2.5550000000000001E-5</v>
      </c>
      <c r="Q13" s="289"/>
      <c r="S13" s="254">
        <f>MAX(B13:C64)</f>
        <v>52</v>
      </c>
      <c r="T13" s="254"/>
      <c r="U13" s="7"/>
      <c r="W13" s="1" t="s">
        <v>84</v>
      </c>
      <c r="X13" s="1">
        <v>1</v>
      </c>
      <c r="Y13" s="1">
        <v>0.42899999999999999</v>
      </c>
      <c r="Z13" s="69">
        <v>1.3769999999999999E-6</v>
      </c>
      <c r="AA13" s="69">
        <v>0.92049999999999998</v>
      </c>
      <c r="AB13" s="69">
        <v>2.5550000000000001E-5</v>
      </c>
      <c r="AC13" s="69">
        <v>1.3769999999999999E-6</v>
      </c>
      <c r="AD13" s="69">
        <v>0.92049999999999998</v>
      </c>
      <c r="AE13" s="69">
        <v>2.5550000000000001E-5</v>
      </c>
      <c r="AF13" s="69">
        <v>1.09E-2</v>
      </c>
      <c r="AG13" s="69">
        <v>5.4359999999999997E-7</v>
      </c>
      <c r="AH13" s="69">
        <v>2.0000000000000001E-4</v>
      </c>
      <c r="AI13" s="69">
        <v>1.09E-2</v>
      </c>
      <c r="AJ13" s="69">
        <v>5.4359999999999997E-7</v>
      </c>
      <c r="AK13" s="69">
        <v>2.0000000000000001E-4</v>
      </c>
    </row>
    <row r="14" spans="1:37" ht="13.9" customHeight="1" x14ac:dyDescent="0.25">
      <c r="A14" s="5"/>
      <c r="B14" s="236">
        <f t="shared" ref="B14:B62" si="0">X14</f>
        <v>2</v>
      </c>
      <c r="C14" s="236"/>
      <c r="D14" s="289">
        <f t="shared" ref="D14:D64" si="1">Y14</f>
        <v>0.375</v>
      </c>
      <c r="E14" s="289"/>
      <c r="F14" s="289">
        <f t="shared" ref="F14:F64" si="2">Z14</f>
        <v>0.92920000000000003</v>
      </c>
      <c r="G14" s="289"/>
      <c r="H14" s="289">
        <f t="shared" ref="H14:H64" si="3">AA14</f>
        <v>4.2860000000000001E-6</v>
      </c>
      <c r="I14" s="289"/>
      <c r="J14" s="289">
        <f t="shared" ref="J14:J64" si="4">AB14</f>
        <v>1.7079999999999999E-5</v>
      </c>
      <c r="K14" s="289"/>
      <c r="L14" s="289">
        <f t="shared" ref="L14:L64" si="5">AC14</f>
        <v>0.92920000000000003</v>
      </c>
      <c r="M14" s="289"/>
      <c r="N14" s="289">
        <f t="shared" ref="N14:N64" si="6">AD14</f>
        <v>0.92049999999999998</v>
      </c>
      <c r="O14" s="289"/>
      <c r="P14" s="289">
        <f t="shared" ref="P14:P64" si="7">AE14</f>
        <v>4.2629999999999997E-5</v>
      </c>
      <c r="Q14" s="289"/>
      <c r="S14" s="40"/>
      <c r="T14" s="40"/>
      <c r="U14" s="7"/>
      <c r="W14" s="1" t="s">
        <v>84</v>
      </c>
      <c r="X14" s="1">
        <v>2</v>
      </c>
      <c r="Y14" s="1">
        <v>0.375</v>
      </c>
      <c r="Z14" s="69">
        <v>0.92920000000000003</v>
      </c>
      <c r="AA14" s="69">
        <v>4.2860000000000001E-6</v>
      </c>
      <c r="AB14" s="69">
        <v>1.7079999999999999E-5</v>
      </c>
      <c r="AC14" s="69">
        <v>0.92920000000000003</v>
      </c>
      <c r="AD14" s="69">
        <v>0.92049999999999998</v>
      </c>
      <c r="AE14" s="69">
        <v>4.2629999999999997E-5</v>
      </c>
      <c r="AF14" s="69">
        <v>2.3300000000000001E-6</v>
      </c>
      <c r="AG14" s="69">
        <v>4.7000000000000002E-3</v>
      </c>
      <c r="AH14" s="69">
        <v>1.0999999999999999E-2</v>
      </c>
      <c r="AI14" s="69">
        <v>1.09E-2</v>
      </c>
      <c r="AJ14" s="1">
        <v>4.7000000000000002E-3</v>
      </c>
      <c r="AK14" s="69">
        <v>1.12E-2</v>
      </c>
    </row>
    <row r="15" spans="1:37" ht="13.9" customHeight="1" x14ac:dyDescent="0.25">
      <c r="A15" s="5"/>
      <c r="B15" s="236">
        <f t="shared" si="0"/>
        <v>3</v>
      </c>
      <c r="C15" s="236"/>
      <c r="D15" s="289">
        <f t="shared" si="1"/>
        <v>0.307</v>
      </c>
      <c r="E15" s="289"/>
      <c r="F15" s="289">
        <f t="shared" si="2"/>
        <v>1.0200000000000001E-2</v>
      </c>
      <c r="G15" s="289"/>
      <c r="H15" s="289">
        <f t="shared" si="3"/>
        <v>1E-4</v>
      </c>
      <c r="I15" s="289"/>
      <c r="J15" s="289">
        <f t="shared" si="4"/>
        <v>2.7819999999999998E-6</v>
      </c>
      <c r="K15" s="289"/>
      <c r="L15" s="289">
        <f t="shared" si="5"/>
        <v>0.9395</v>
      </c>
      <c r="M15" s="289"/>
      <c r="N15" s="289">
        <f t="shared" si="6"/>
        <v>0.92069999999999996</v>
      </c>
      <c r="O15" s="289"/>
      <c r="P15" s="289">
        <f t="shared" si="7"/>
        <v>4.5410000000000001E-5</v>
      </c>
      <c r="Q15" s="289"/>
      <c r="S15" s="254" t="s">
        <v>233</v>
      </c>
      <c r="T15" s="254"/>
      <c r="U15" s="7"/>
      <c r="W15" s="1" t="s">
        <v>84</v>
      </c>
      <c r="X15" s="1">
        <v>3</v>
      </c>
      <c r="Y15" s="1">
        <v>0.307</v>
      </c>
      <c r="Z15" s="69">
        <v>1.0200000000000001E-2</v>
      </c>
      <c r="AA15" s="69">
        <v>1E-4</v>
      </c>
      <c r="AB15" s="69">
        <v>2.7819999999999998E-6</v>
      </c>
      <c r="AC15" s="69">
        <v>0.9395</v>
      </c>
      <c r="AD15" s="69">
        <v>0.92069999999999996</v>
      </c>
      <c r="AE15" s="69">
        <v>4.5410000000000001E-5</v>
      </c>
      <c r="AF15" s="69">
        <v>2.423E-5</v>
      </c>
      <c r="AG15" s="69">
        <v>1E-4</v>
      </c>
      <c r="AH15" s="69">
        <v>0.91520000000000001</v>
      </c>
      <c r="AI15" s="69">
        <v>1.09E-2</v>
      </c>
      <c r="AJ15" s="1">
        <v>4.7999999999999996E-3</v>
      </c>
      <c r="AK15" s="69">
        <v>0.9264</v>
      </c>
    </row>
    <row r="16" spans="1:37" ht="13.9" customHeight="1" x14ac:dyDescent="0.25">
      <c r="A16" s="5"/>
      <c r="B16" s="236">
        <f t="shared" si="0"/>
        <v>4</v>
      </c>
      <c r="C16" s="236"/>
      <c r="D16" s="289">
        <f t="shared" si="1"/>
        <v>0.17899999999999999</v>
      </c>
      <c r="E16" s="289"/>
      <c r="F16" s="289">
        <f t="shared" si="2"/>
        <v>2.0000000000000001E-4</v>
      </c>
      <c r="G16" s="289"/>
      <c r="H16" s="289">
        <f t="shared" si="3"/>
        <v>0</v>
      </c>
      <c r="I16" s="289"/>
      <c r="J16" s="289">
        <f t="shared" si="4"/>
        <v>1E-4</v>
      </c>
      <c r="K16" s="289"/>
      <c r="L16" s="289">
        <f t="shared" si="5"/>
        <v>0.93959999999999999</v>
      </c>
      <c r="M16" s="289"/>
      <c r="N16" s="289">
        <f t="shared" si="6"/>
        <v>0.92069999999999996</v>
      </c>
      <c r="O16" s="289"/>
      <c r="P16" s="289">
        <f t="shared" si="7"/>
        <v>2.0000000000000001E-4</v>
      </c>
      <c r="Q16" s="289"/>
      <c r="S16" s="254" t="s">
        <v>192</v>
      </c>
      <c r="T16" s="254"/>
      <c r="U16" s="7"/>
      <c r="W16" s="1" t="s">
        <v>84</v>
      </c>
      <c r="X16" s="1">
        <v>4</v>
      </c>
      <c r="Y16" s="1">
        <v>0.17899999999999999</v>
      </c>
      <c r="Z16" s="69">
        <v>2.0000000000000001E-4</v>
      </c>
      <c r="AA16" s="69">
        <v>0</v>
      </c>
      <c r="AB16" s="69">
        <v>1E-4</v>
      </c>
      <c r="AC16" s="69">
        <v>0.93959999999999999</v>
      </c>
      <c r="AD16" s="69">
        <v>0.92069999999999996</v>
      </c>
      <c r="AE16" s="69">
        <v>2.0000000000000001E-4</v>
      </c>
      <c r="AF16" s="69">
        <v>1E-4</v>
      </c>
      <c r="AG16" s="69">
        <v>2.18E-2</v>
      </c>
      <c r="AH16" s="69">
        <v>2.176E-6</v>
      </c>
      <c r="AI16" s="1">
        <v>1.0999999999999999E-2</v>
      </c>
      <c r="AJ16" s="1">
        <v>2.6599999999999999E-2</v>
      </c>
      <c r="AK16" s="69">
        <v>0.9264</v>
      </c>
    </row>
    <row r="17" spans="1:37" ht="13.9" customHeight="1" x14ac:dyDescent="0.25">
      <c r="A17" s="5"/>
      <c r="B17" s="236">
        <f t="shared" si="0"/>
        <v>5</v>
      </c>
      <c r="C17" s="236"/>
      <c r="D17" s="289">
        <f t="shared" si="1"/>
        <v>0.16</v>
      </c>
      <c r="E17" s="289"/>
      <c r="F17" s="289">
        <f t="shared" si="2"/>
        <v>6.9999999999999999E-4</v>
      </c>
      <c r="G17" s="289"/>
      <c r="H17" s="289">
        <f t="shared" si="3"/>
        <v>0</v>
      </c>
      <c r="I17" s="289"/>
      <c r="J17" s="289">
        <f t="shared" si="4"/>
        <v>1.9E-3</v>
      </c>
      <c r="K17" s="289"/>
      <c r="L17" s="289">
        <f t="shared" si="5"/>
        <v>0.94030000000000002</v>
      </c>
      <c r="M17" s="289"/>
      <c r="N17" s="289">
        <f t="shared" si="6"/>
        <v>0.92069999999999996</v>
      </c>
      <c r="O17" s="289"/>
      <c r="P17" s="289">
        <f t="shared" si="7"/>
        <v>2.0999999999999999E-3</v>
      </c>
      <c r="Q17" s="289"/>
      <c r="S17" s="293">
        <f>MAX(L13:M64)</f>
        <v>0.94430000000000003</v>
      </c>
      <c r="T17" s="293"/>
      <c r="U17" s="7"/>
      <c r="W17" s="1" t="s">
        <v>84</v>
      </c>
      <c r="X17" s="1">
        <v>5</v>
      </c>
      <c r="Y17" s="1">
        <v>0.16</v>
      </c>
      <c r="Z17" s="69">
        <v>6.9999999999999999E-4</v>
      </c>
      <c r="AA17" s="69">
        <v>0</v>
      </c>
      <c r="AB17" s="69">
        <v>1.9E-3</v>
      </c>
      <c r="AC17" s="69">
        <v>0.94030000000000002</v>
      </c>
      <c r="AD17" s="1">
        <v>0.92069999999999996</v>
      </c>
      <c r="AE17" s="69">
        <v>2.0999999999999999E-3</v>
      </c>
      <c r="AF17" s="69">
        <v>6.9999999999999999E-4</v>
      </c>
      <c r="AG17" s="69">
        <v>0.12640000000000001</v>
      </c>
      <c r="AH17" s="69">
        <v>7.3880000000000002E-6</v>
      </c>
      <c r="AI17" s="1">
        <v>1.17E-2</v>
      </c>
      <c r="AJ17" s="1">
        <v>0.153</v>
      </c>
      <c r="AK17" s="69">
        <v>0.9264</v>
      </c>
    </row>
    <row r="18" spans="1:37" ht="13.9" customHeight="1" x14ac:dyDescent="0.25">
      <c r="A18" s="5"/>
      <c r="B18" s="236">
        <f t="shared" si="0"/>
        <v>6</v>
      </c>
      <c r="C18" s="236"/>
      <c r="D18" s="289">
        <f t="shared" si="1"/>
        <v>0.155</v>
      </c>
      <c r="E18" s="289"/>
      <c r="F18" s="289">
        <f t="shared" si="2"/>
        <v>1.2989999999999999E-5</v>
      </c>
      <c r="G18" s="289"/>
      <c r="H18" s="289">
        <f t="shared" si="3"/>
        <v>0</v>
      </c>
      <c r="I18" s="289"/>
      <c r="J18" s="289">
        <f t="shared" si="4"/>
        <v>2.0000000000000001E-4</v>
      </c>
      <c r="K18" s="289"/>
      <c r="L18" s="289">
        <f t="shared" si="5"/>
        <v>0.94030000000000002</v>
      </c>
      <c r="M18" s="289"/>
      <c r="N18" s="289">
        <f t="shared" si="6"/>
        <v>0.92069999999999996</v>
      </c>
      <c r="O18" s="289"/>
      <c r="P18" s="289">
        <f t="shared" si="7"/>
        <v>2.3E-3</v>
      </c>
      <c r="Q18" s="289"/>
      <c r="S18" s="254" t="str">
        <f>IF(S17&gt;=0.9,"OK","N/C")</f>
        <v>OK</v>
      </c>
      <c r="T18" s="254"/>
      <c r="U18" s="7"/>
      <c r="W18" s="1" t="s">
        <v>84</v>
      </c>
      <c r="X18" s="1">
        <v>6</v>
      </c>
      <c r="Y18" s="1">
        <v>0.155</v>
      </c>
      <c r="Z18" s="69">
        <v>1.2989999999999999E-5</v>
      </c>
      <c r="AA18" s="69">
        <v>0</v>
      </c>
      <c r="AB18" s="69">
        <v>2.0000000000000001E-4</v>
      </c>
      <c r="AC18" s="69">
        <v>0.94030000000000002</v>
      </c>
      <c r="AD18" s="1">
        <v>0.92069999999999996</v>
      </c>
      <c r="AE18" s="69">
        <v>2.3E-3</v>
      </c>
      <c r="AF18" s="69">
        <v>2.9999999999999997E-4</v>
      </c>
      <c r="AG18" s="69">
        <v>2.0999999999999999E-3</v>
      </c>
      <c r="AH18" s="69">
        <v>2.853E-5</v>
      </c>
      <c r="AI18" s="1">
        <v>1.2E-2</v>
      </c>
      <c r="AJ18" s="1">
        <v>0.15509999999999999</v>
      </c>
      <c r="AK18" s="1">
        <v>0.9264</v>
      </c>
    </row>
    <row r="19" spans="1:37" ht="13.9" customHeight="1" x14ac:dyDescent="0.25">
      <c r="A19" s="5"/>
      <c r="B19" s="236">
        <f t="shared" si="0"/>
        <v>7</v>
      </c>
      <c r="C19" s="236"/>
      <c r="D19" s="289">
        <f t="shared" si="1"/>
        <v>0.153</v>
      </c>
      <c r="E19" s="289"/>
      <c r="F19" s="289">
        <f t="shared" si="2"/>
        <v>0</v>
      </c>
      <c r="G19" s="289"/>
      <c r="H19" s="289">
        <f t="shared" si="3"/>
        <v>0</v>
      </c>
      <c r="I19" s="289"/>
      <c r="J19" s="289">
        <f t="shared" si="4"/>
        <v>9.9099999999999994E-2</v>
      </c>
      <c r="K19" s="289"/>
      <c r="L19" s="289">
        <f t="shared" si="5"/>
        <v>0.94030000000000002</v>
      </c>
      <c r="M19" s="289"/>
      <c r="N19" s="289">
        <f t="shared" si="6"/>
        <v>0.92069999999999996</v>
      </c>
      <c r="O19" s="289"/>
      <c r="P19" s="289">
        <f t="shared" si="7"/>
        <v>0.1014</v>
      </c>
      <c r="Q19" s="289"/>
      <c r="S19" s="254" t="s">
        <v>234</v>
      </c>
      <c r="T19" s="254"/>
      <c r="U19" s="7"/>
      <c r="W19" s="1" t="s">
        <v>84</v>
      </c>
      <c r="X19" s="1">
        <v>7</v>
      </c>
      <c r="Y19" s="1">
        <v>0.153</v>
      </c>
      <c r="Z19" s="69">
        <v>0</v>
      </c>
      <c r="AA19" s="69">
        <v>0</v>
      </c>
      <c r="AB19" s="69">
        <v>9.9099999999999994E-2</v>
      </c>
      <c r="AC19" s="1">
        <v>0.94030000000000002</v>
      </c>
      <c r="AD19" s="1">
        <v>0.92069999999999996</v>
      </c>
      <c r="AE19" s="69">
        <v>0.1014</v>
      </c>
      <c r="AF19" s="69">
        <v>2.0999999999999999E-3</v>
      </c>
      <c r="AG19" s="69">
        <v>1.4E-3</v>
      </c>
      <c r="AH19" s="69">
        <v>3.2179999999999999E-6</v>
      </c>
      <c r="AI19" s="1">
        <v>1.41E-2</v>
      </c>
      <c r="AJ19" s="1">
        <v>0.1565</v>
      </c>
      <c r="AK19" s="1">
        <v>0.9264</v>
      </c>
    </row>
    <row r="20" spans="1:37" ht="13.9" customHeight="1" x14ac:dyDescent="0.25">
      <c r="A20" s="5"/>
      <c r="B20" s="236">
        <f t="shared" si="0"/>
        <v>8</v>
      </c>
      <c r="C20" s="236"/>
      <c r="D20" s="289">
        <f t="shared" si="1"/>
        <v>0.14699999999999999</v>
      </c>
      <c r="E20" s="289"/>
      <c r="F20" s="289">
        <f t="shared" si="2"/>
        <v>6.9869999999999998E-7</v>
      </c>
      <c r="G20" s="289"/>
      <c r="H20" s="289">
        <f t="shared" si="3"/>
        <v>0</v>
      </c>
      <c r="I20" s="289"/>
      <c r="J20" s="289">
        <f t="shared" si="4"/>
        <v>0.17449999999999999</v>
      </c>
      <c r="K20" s="289"/>
      <c r="L20" s="289">
        <f t="shared" si="5"/>
        <v>0.94030000000000002</v>
      </c>
      <c r="M20" s="289"/>
      <c r="N20" s="289">
        <f t="shared" si="6"/>
        <v>0.92069999999999996</v>
      </c>
      <c r="O20" s="289"/>
      <c r="P20" s="289">
        <f t="shared" si="7"/>
        <v>0.27589999999999998</v>
      </c>
      <c r="Q20" s="289"/>
      <c r="S20" s="290">
        <f>D14</f>
        <v>0.375</v>
      </c>
      <c r="T20" s="254"/>
      <c r="U20" s="7"/>
      <c r="W20" s="1" t="s">
        <v>84</v>
      </c>
      <c r="X20" s="1">
        <v>8</v>
      </c>
      <c r="Y20" s="1">
        <v>0.14699999999999999</v>
      </c>
      <c r="Z20" s="69">
        <v>6.9869999999999998E-7</v>
      </c>
      <c r="AA20" s="69">
        <v>0</v>
      </c>
      <c r="AB20" s="69">
        <v>0.17449999999999999</v>
      </c>
      <c r="AC20" s="1">
        <v>0.94030000000000002</v>
      </c>
      <c r="AD20" s="1">
        <v>0.92069999999999996</v>
      </c>
      <c r="AE20" s="69">
        <v>0.27589999999999998</v>
      </c>
      <c r="AF20" s="1">
        <v>1E-4</v>
      </c>
      <c r="AG20" s="69">
        <v>1E-4</v>
      </c>
      <c r="AH20" s="69">
        <v>2.1440000000000001E-5</v>
      </c>
      <c r="AI20" s="1">
        <v>1.43E-2</v>
      </c>
      <c r="AJ20" s="1">
        <v>0.15659999999999999</v>
      </c>
      <c r="AK20" s="1">
        <v>0.92649999999999999</v>
      </c>
    </row>
    <row r="21" spans="1:37" ht="13.9" customHeight="1" x14ac:dyDescent="0.25">
      <c r="A21" s="5"/>
      <c r="B21" s="236">
        <f t="shared" si="0"/>
        <v>9</v>
      </c>
      <c r="C21" s="236"/>
      <c r="D21" s="289">
        <f t="shared" si="1"/>
        <v>0.14099999999999999</v>
      </c>
      <c r="E21" s="289"/>
      <c r="F21" s="289">
        <f t="shared" si="2"/>
        <v>2.368E-6</v>
      </c>
      <c r="G21" s="289"/>
      <c r="H21" s="289">
        <f t="shared" si="3"/>
        <v>0</v>
      </c>
      <c r="I21" s="289"/>
      <c r="J21" s="289">
        <f t="shared" si="4"/>
        <v>9.1000000000000004E-3</v>
      </c>
      <c r="K21" s="289"/>
      <c r="L21" s="289">
        <f t="shared" si="5"/>
        <v>0.94030000000000002</v>
      </c>
      <c r="M21" s="289"/>
      <c r="N21" s="289">
        <f t="shared" si="6"/>
        <v>0.92069999999999996</v>
      </c>
      <c r="O21" s="289"/>
      <c r="P21" s="289">
        <f t="shared" si="7"/>
        <v>0.28510000000000002</v>
      </c>
      <c r="Q21" s="289"/>
      <c r="S21" s="40"/>
      <c r="T21" s="40"/>
      <c r="U21" s="7"/>
      <c r="W21" s="1" t="s">
        <v>84</v>
      </c>
      <c r="X21" s="1">
        <v>9</v>
      </c>
      <c r="Y21" s="1">
        <v>0.14099999999999999</v>
      </c>
      <c r="Z21" s="69">
        <v>2.368E-6</v>
      </c>
      <c r="AA21" s="69">
        <v>0</v>
      </c>
      <c r="AB21" s="69">
        <v>9.1000000000000004E-3</v>
      </c>
      <c r="AC21" s="1">
        <v>0.94030000000000002</v>
      </c>
      <c r="AD21" s="1">
        <v>0.92069999999999996</v>
      </c>
      <c r="AE21" s="1">
        <v>0.28510000000000002</v>
      </c>
      <c r="AF21" s="69">
        <v>1.1900000000000001E-2</v>
      </c>
      <c r="AG21" s="69">
        <v>2.0000000000000001E-4</v>
      </c>
      <c r="AH21" s="69">
        <v>1E-4</v>
      </c>
      <c r="AI21" s="1">
        <v>2.6100000000000002E-2</v>
      </c>
      <c r="AJ21" s="1">
        <v>0.15679999999999999</v>
      </c>
      <c r="AK21" s="1">
        <v>0.92649999999999999</v>
      </c>
    </row>
    <row r="22" spans="1:37" ht="13.9" customHeight="1" x14ac:dyDescent="0.25">
      <c r="A22" s="5"/>
      <c r="B22" s="236">
        <f t="shared" si="0"/>
        <v>10</v>
      </c>
      <c r="C22" s="236"/>
      <c r="D22" s="289">
        <f t="shared" si="1"/>
        <v>0.13900000000000001</v>
      </c>
      <c r="E22" s="289"/>
      <c r="F22" s="289">
        <f t="shared" si="2"/>
        <v>0</v>
      </c>
      <c r="G22" s="289"/>
      <c r="H22" s="289">
        <f t="shared" si="3"/>
        <v>0</v>
      </c>
      <c r="I22" s="289"/>
      <c r="J22" s="289">
        <f t="shared" si="4"/>
        <v>2.9999999999999997E-4</v>
      </c>
      <c r="K22" s="289"/>
      <c r="L22" s="289">
        <f t="shared" si="5"/>
        <v>0.94030000000000002</v>
      </c>
      <c r="M22" s="289"/>
      <c r="N22" s="289">
        <f t="shared" si="6"/>
        <v>0.92069999999999996</v>
      </c>
      <c r="O22" s="289"/>
      <c r="P22" s="289">
        <f t="shared" si="7"/>
        <v>0.2853</v>
      </c>
      <c r="Q22" s="289"/>
      <c r="S22" s="254" t="s">
        <v>235</v>
      </c>
      <c r="T22" s="254"/>
      <c r="U22" s="7"/>
      <c r="W22" s="1" t="s">
        <v>84</v>
      </c>
      <c r="X22" s="1">
        <v>10</v>
      </c>
      <c r="Y22" s="1">
        <v>0.13900000000000001</v>
      </c>
      <c r="Z22" s="69">
        <v>0</v>
      </c>
      <c r="AA22" s="69">
        <v>0</v>
      </c>
      <c r="AB22" s="69">
        <v>2.9999999999999997E-4</v>
      </c>
      <c r="AC22" s="1">
        <v>0.94030000000000002</v>
      </c>
      <c r="AD22" s="1">
        <v>0.92069999999999996</v>
      </c>
      <c r="AE22" s="1">
        <v>0.2853</v>
      </c>
      <c r="AF22" s="69">
        <v>8.8400000000000006E-2</v>
      </c>
      <c r="AG22" s="69">
        <v>1.9609999999999999E-6</v>
      </c>
      <c r="AH22" s="69">
        <v>0</v>
      </c>
      <c r="AI22" s="1">
        <v>0.11459999999999999</v>
      </c>
      <c r="AJ22" s="1">
        <v>0.15679999999999999</v>
      </c>
      <c r="AK22" s="1">
        <v>0.92649999999999999</v>
      </c>
    </row>
    <row r="23" spans="1:37" ht="13.9" customHeight="1" x14ac:dyDescent="0.25">
      <c r="A23" s="5"/>
      <c r="B23" s="236">
        <f t="shared" si="0"/>
        <v>11</v>
      </c>
      <c r="C23" s="236"/>
      <c r="D23" s="289">
        <f t="shared" si="1"/>
        <v>0.13100000000000001</v>
      </c>
      <c r="E23" s="289"/>
      <c r="F23" s="289">
        <f t="shared" si="2"/>
        <v>9.2999999999999999E-7</v>
      </c>
      <c r="G23" s="289"/>
      <c r="H23" s="289">
        <f t="shared" si="3"/>
        <v>1.9539999999999998E-6</v>
      </c>
      <c r="I23" s="289"/>
      <c r="J23" s="289">
        <f t="shared" si="4"/>
        <v>1.6999999999999999E-3</v>
      </c>
      <c r="K23" s="289"/>
      <c r="L23" s="289">
        <f t="shared" si="5"/>
        <v>0.94030000000000002</v>
      </c>
      <c r="M23" s="289"/>
      <c r="N23" s="289">
        <f t="shared" si="6"/>
        <v>0.92069999999999996</v>
      </c>
      <c r="O23" s="289"/>
      <c r="P23" s="289">
        <f t="shared" si="7"/>
        <v>0.28699999999999998</v>
      </c>
      <c r="Q23" s="289"/>
      <c r="S23" s="254" t="s">
        <v>192</v>
      </c>
      <c r="T23" s="254"/>
      <c r="U23" s="7"/>
      <c r="W23" s="1" t="s">
        <v>84</v>
      </c>
      <c r="X23" s="1">
        <v>11</v>
      </c>
      <c r="Y23" s="1">
        <v>0.13100000000000001</v>
      </c>
      <c r="Z23" s="69">
        <v>9.2999999999999999E-7</v>
      </c>
      <c r="AA23" s="69">
        <v>1.9539999999999998E-6</v>
      </c>
      <c r="AB23" s="69">
        <v>1.6999999999999999E-3</v>
      </c>
      <c r="AC23" s="1">
        <v>0.94030000000000002</v>
      </c>
      <c r="AD23" s="1">
        <v>0.92069999999999996</v>
      </c>
      <c r="AE23" s="1">
        <v>0.28699999999999998</v>
      </c>
      <c r="AF23" s="69">
        <v>5.5800000000000002E-2</v>
      </c>
      <c r="AG23" s="69">
        <v>3.0180000000000002E-6</v>
      </c>
      <c r="AH23" s="69">
        <v>6.1230000000000005E-7</v>
      </c>
      <c r="AI23" s="1">
        <v>0.1704</v>
      </c>
      <c r="AJ23" s="1">
        <v>0.15679999999999999</v>
      </c>
      <c r="AK23" s="1">
        <v>0.92649999999999999</v>
      </c>
    </row>
    <row r="24" spans="1:37" ht="13.9" customHeight="1" x14ac:dyDescent="0.25">
      <c r="A24" s="5"/>
      <c r="B24" s="236">
        <f t="shared" si="0"/>
        <v>12</v>
      </c>
      <c r="C24" s="236"/>
      <c r="D24" s="289">
        <f t="shared" si="1"/>
        <v>0.126</v>
      </c>
      <c r="E24" s="289"/>
      <c r="F24" s="289">
        <f t="shared" si="2"/>
        <v>6.3029999999999996E-6</v>
      </c>
      <c r="G24" s="289"/>
      <c r="H24" s="289">
        <f t="shared" si="3"/>
        <v>0</v>
      </c>
      <c r="I24" s="289"/>
      <c r="J24" s="289">
        <f t="shared" si="4"/>
        <v>1.202E-5</v>
      </c>
      <c r="K24" s="289"/>
      <c r="L24" s="289">
        <f t="shared" si="5"/>
        <v>0.94030000000000002</v>
      </c>
      <c r="M24" s="289"/>
      <c r="N24" s="289">
        <f t="shared" si="6"/>
        <v>0.92069999999999996</v>
      </c>
      <c r="O24" s="289"/>
      <c r="P24" s="289">
        <f t="shared" si="7"/>
        <v>0.28699999999999998</v>
      </c>
      <c r="Q24" s="289"/>
      <c r="S24" s="291">
        <f>MAX(N13:O64)</f>
        <v>0.92069999999999996</v>
      </c>
      <c r="T24" s="292"/>
      <c r="U24" s="7"/>
      <c r="W24" s="1" t="s">
        <v>84</v>
      </c>
      <c r="X24" s="1">
        <v>12</v>
      </c>
      <c r="Y24" s="1">
        <v>0.126</v>
      </c>
      <c r="Z24" s="69">
        <v>6.3029999999999996E-6</v>
      </c>
      <c r="AA24" s="69">
        <v>0</v>
      </c>
      <c r="AB24" s="69">
        <v>1.202E-5</v>
      </c>
      <c r="AC24" s="1">
        <v>0.94030000000000002</v>
      </c>
      <c r="AD24" s="1">
        <v>0.92069999999999996</v>
      </c>
      <c r="AE24" s="1">
        <v>0.28699999999999998</v>
      </c>
      <c r="AF24" s="69">
        <v>1.385E-5</v>
      </c>
      <c r="AG24" s="69">
        <v>4.1999999999999997E-3</v>
      </c>
      <c r="AH24" s="69">
        <v>0</v>
      </c>
      <c r="AI24" s="1">
        <v>0.1704</v>
      </c>
      <c r="AJ24" s="1">
        <v>0.161</v>
      </c>
      <c r="AK24" s="1">
        <v>0.92649999999999999</v>
      </c>
    </row>
    <row r="25" spans="1:37" ht="13.9" customHeight="1" x14ac:dyDescent="0.25">
      <c r="A25" s="5"/>
      <c r="B25" s="236">
        <f t="shared" si="0"/>
        <v>13</v>
      </c>
      <c r="C25" s="236"/>
      <c r="D25" s="289">
        <f t="shared" si="1"/>
        <v>0.126</v>
      </c>
      <c r="E25" s="289"/>
      <c r="F25" s="289">
        <f t="shared" si="2"/>
        <v>2.3999999999999998E-3</v>
      </c>
      <c r="G25" s="289"/>
      <c r="H25" s="289">
        <f t="shared" si="3"/>
        <v>0</v>
      </c>
      <c r="I25" s="289"/>
      <c r="J25" s="289">
        <f t="shared" si="4"/>
        <v>2.2500000000000001E-6</v>
      </c>
      <c r="K25" s="289"/>
      <c r="L25" s="289">
        <f t="shared" si="5"/>
        <v>0.94269999999999998</v>
      </c>
      <c r="M25" s="289"/>
      <c r="N25" s="289">
        <f t="shared" si="6"/>
        <v>0.92069999999999996</v>
      </c>
      <c r="O25" s="289"/>
      <c r="P25" s="289">
        <f t="shared" si="7"/>
        <v>0.28699999999999998</v>
      </c>
      <c r="Q25" s="289"/>
      <c r="S25" s="254" t="str">
        <f>IF(S24&gt;=0.9,"OK","N/C")</f>
        <v>OK</v>
      </c>
      <c r="T25" s="254"/>
      <c r="U25" s="7"/>
      <c r="W25" s="1" t="s">
        <v>84</v>
      </c>
      <c r="X25" s="1">
        <v>13</v>
      </c>
      <c r="Y25" s="1">
        <v>0.126</v>
      </c>
      <c r="Z25" s="69">
        <v>2.3999999999999998E-3</v>
      </c>
      <c r="AA25" s="69">
        <v>0</v>
      </c>
      <c r="AB25" s="69">
        <v>2.2500000000000001E-6</v>
      </c>
      <c r="AC25" s="1">
        <v>0.94269999999999998</v>
      </c>
      <c r="AD25" s="1">
        <v>0.92069999999999996</v>
      </c>
      <c r="AE25" s="1">
        <v>0.28699999999999998</v>
      </c>
      <c r="AF25" s="69">
        <v>8.4079999999999996E-7</v>
      </c>
      <c r="AG25" s="69">
        <v>8.5000000000000006E-3</v>
      </c>
      <c r="AH25" s="69">
        <v>6.0959999999999997E-6</v>
      </c>
      <c r="AI25" s="1">
        <v>0.1704</v>
      </c>
      <c r="AJ25" s="1">
        <v>0.16950000000000001</v>
      </c>
      <c r="AK25" s="1">
        <v>0.92649999999999999</v>
      </c>
    </row>
    <row r="26" spans="1:37" ht="13.9" customHeight="1" x14ac:dyDescent="0.25">
      <c r="A26" s="5"/>
      <c r="B26" s="236">
        <f t="shared" si="0"/>
        <v>14</v>
      </c>
      <c r="C26" s="236"/>
      <c r="D26" s="289">
        <f t="shared" si="1"/>
        <v>0.125</v>
      </c>
      <c r="E26" s="289"/>
      <c r="F26" s="289">
        <f t="shared" si="2"/>
        <v>0</v>
      </c>
      <c r="G26" s="289"/>
      <c r="H26" s="289">
        <f t="shared" si="3"/>
        <v>0</v>
      </c>
      <c r="I26" s="289"/>
      <c r="J26" s="289">
        <f t="shared" si="4"/>
        <v>9.9000000000000008E-3</v>
      </c>
      <c r="K26" s="289"/>
      <c r="L26" s="289">
        <f t="shared" si="5"/>
        <v>0.94269999999999998</v>
      </c>
      <c r="M26" s="289"/>
      <c r="N26" s="289">
        <f t="shared" si="6"/>
        <v>0.92069999999999996</v>
      </c>
      <c r="O26" s="289"/>
      <c r="P26" s="289">
        <f t="shared" si="7"/>
        <v>0.29699999999999999</v>
      </c>
      <c r="Q26" s="289"/>
      <c r="S26" s="254" t="s">
        <v>234</v>
      </c>
      <c r="T26" s="254"/>
      <c r="U26" s="7"/>
      <c r="W26" s="1" t="s">
        <v>84</v>
      </c>
      <c r="X26" s="1">
        <v>14</v>
      </c>
      <c r="Y26" s="1">
        <v>0.125</v>
      </c>
      <c r="Z26" s="69">
        <v>0</v>
      </c>
      <c r="AA26" s="69">
        <v>0</v>
      </c>
      <c r="AB26" s="69">
        <v>9.9000000000000008E-3</v>
      </c>
      <c r="AC26" s="1">
        <v>0.94269999999999998</v>
      </c>
      <c r="AD26" s="1">
        <v>0.92069999999999996</v>
      </c>
      <c r="AE26" s="1">
        <v>0.29699999999999999</v>
      </c>
      <c r="AF26" s="69">
        <v>4.71E-5</v>
      </c>
      <c r="AG26" s="69">
        <v>3.2450000000000003E-5</v>
      </c>
      <c r="AH26" s="69">
        <v>0</v>
      </c>
      <c r="AI26" s="1">
        <v>0.17050000000000001</v>
      </c>
      <c r="AJ26" s="1">
        <v>0.1696</v>
      </c>
      <c r="AK26" s="1">
        <v>0.92649999999999999</v>
      </c>
    </row>
    <row r="27" spans="1:37" ht="13.9" customHeight="1" x14ac:dyDescent="0.25">
      <c r="A27" s="5"/>
      <c r="B27" s="236">
        <f t="shared" si="0"/>
        <v>15</v>
      </c>
      <c r="C27" s="236"/>
      <c r="D27" s="289">
        <f t="shared" si="1"/>
        <v>0.125</v>
      </c>
      <c r="E27" s="289"/>
      <c r="F27" s="289">
        <f t="shared" si="2"/>
        <v>1.5719999999999999E-6</v>
      </c>
      <c r="G27" s="289"/>
      <c r="H27" s="289">
        <f t="shared" si="3"/>
        <v>0</v>
      </c>
      <c r="I27" s="289"/>
      <c r="J27" s="289">
        <f t="shared" si="4"/>
        <v>1.1999999999999999E-3</v>
      </c>
      <c r="K27" s="289"/>
      <c r="L27" s="289">
        <f t="shared" si="5"/>
        <v>0.94269999999999998</v>
      </c>
      <c r="M27" s="289"/>
      <c r="N27" s="289">
        <f t="shared" si="6"/>
        <v>0.92069999999999996</v>
      </c>
      <c r="O27" s="289"/>
      <c r="P27" s="289">
        <f t="shared" si="7"/>
        <v>0.29820000000000002</v>
      </c>
      <c r="Q27" s="289"/>
      <c r="S27" s="290">
        <f>D13</f>
        <v>0.42899999999999999</v>
      </c>
      <c r="T27" s="254"/>
      <c r="U27" s="7"/>
      <c r="W27" s="1" t="s">
        <v>84</v>
      </c>
      <c r="X27" s="1">
        <v>15</v>
      </c>
      <c r="Y27" s="1">
        <v>0.125</v>
      </c>
      <c r="Z27" s="69">
        <v>1.5719999999999999E-6</v>
      </c>
      <c r="AA27" s="69">
        <v>0</v>
      </c>
      <c r="AB27" s="69">
        <v>1.1999999999999999E-3</v>
      </c>
      <c r="AC27" s="1">
        <v>0.94269999999999998</v>
      </c>
      <c r="AD27" s="1">
        <v>0.92069999999999996</v>
      </c>
      <c r="AE27" s="1">
        <v>0.29820000000000002</v>
      </c>
      <c r="AF27" s="69">
        <v>4.9110000000000002E-5</v>
      </c>
      <c r="AG27" s="69">
        <v>3.2000000000000002E-3</v>
      </c>
      <c r="AH27" s="69">
        <v>6.4040000000000004E-7</v>
      </c>
      <c r="AI27" s="1">
        <v>0.17050000000000001</v>
      </c>
      <c r="AJ27" s="1">
        <v>0.17280000000000001</v>
      </c>
      <c r="AK27" s="1">
        <v>0.92649999999999999</v>
      </c>
    </row>
    <row r="28" spans="1:37" ht="13.9" customHeight="1" x14ac:dyDescent="0.25">
      <c r="A28" s="5"/>
      <c r="B28" s="236">
        <f t="shared" si="0"/>
        <v>16</v>
      </c>
      <c r="C28" s="236"/>
      <c r="D28" s="289">
        <f t="shared" si="1"/>
        <v>0.124</v>
      </c>
      <c r="E28" s="289"/>
      <c r="F28" s="289">
        <f t="shared" si="2"/>
        <v>1E-4</v>
      </c>
      <c r="G28" s="289"/>
      <c r="H28" s="289">
        <f t="shared" si="3"/>
        <v>0</v>
      </c>
      <c r="I28" s="289"/>
      <c r="J28" s="289">
        <f t="shared" si="4"/>
        <v>8.0169999999999996E-6</v>
      </c>
      <c r="K28" s="289"/>
      <c r="L28" s="289">
        <f t="shared" si="5"/>
        <v>0.94289999999999996</v>
      </c>
      <c r="M28" s="289"/>
      <c r="N28" s="289">
        <f t="shared" si="6"/>
        <v>0.92069999999999996</v>
      </c>
      <c r="O28" s="289"/>
      <c r="P28" s="289">
        <f t="shared" si="7"/>
        <v>0.29820000000000002</v>
      </c>
      <c r="Q28" s="289"/>
      <c r="U28" s="7"/>
      <c r="W28" s="1" t="s">
        <v>84</v>
      </c>
      <c r="X28" s="1">
        <v>16</v>
      </c>
      <c r="Y28" s="1">
        <v>0.124</v>
      </c>
      <c r="Z28" s="69">
        <v>1E-4</v>
      </c>
      <c r="AA28" s="69">
        <v>0</v>
      </c>
      <c r="AB28" s="69">
        <v>8.0169999999999996E-6</v>
      </c>
      <c r="AC28" s="1">
        <v>0.94289999999999996</v>
      </c>
      <c r="AD28" s="1">
        <v>0.92069999999999996</v>
      </c>
      <c r="AE28" s="1">
        <v>0.29820000000000002</v>
      </c>
      <c r="AF28" s="69">
        <v>0</v>
      </c>
      <c r="AG28" s="69">
        <v>8.0000000000000004E-4</v>
      </c>
      <c r="AH28" s="69">
        <v>9.2140000000000002E-6</v>
      </c>
      <c r="AI28" s="1">
        <v>0.17050000000000001</v>
      </c>
      <c r="AJ28" s="1">
        <v>0.17349999999999999</v>
      </c>
      <c r="AK28" s="1">
        <v>0.92649999999999999</v>
      </c>
    </row>
    <row r="29" spans="1:37" ht="13.9" customHeight="1" x14ac:dyDescent="0.25">
      <c r="A29" s="5"/>
      <c r="B29" s="236">
        <f t="shared" si="0"/>
        <v>17</v>
      </c>
      <c r="C29" s="236"/>
      <c r="D29" s="289">
        <f t="shared" si="1"/>
        <v>0.124</v>
      </c>
      <c r="E29" s="289"/>
      <c r="F29" s="289">
        <f t="shared" si="2"/>
        <v>1.1999999999999999E-3</v>
      </c>
      <c r="G29" s="289"/>
      <c r="H29" s="289">
        <f t="shared" si="3"/>
        <v>0</v>
      </c>
      <c r="I29" s="289"/>
      <c r="J29" s="289">
        <f t="shared" si="4"/>
        <v>1.1749999999999999E-5</v>
      </c>
      <c r="K29" s="289"/>
      <c r="L29" s="289">
        <f t="shared" si="5"/>
        <v>0.94399999999999995</v>
      </c>
      <c r="M29" s="289"/>
      <c r="N29" s="289">
        <f t="shared" si="6"/>
        <v>0.92069999999999996</v>
      </c>
      <c r="O29" s="289"/>
      <c r="P29" s="289">
        <f t="shared" si="7"/>
        <v>0.29820000000000002</v>
      </c>
      <c r="Q29" s="289"/>
      <c r="U29" s="7"/>
      <c r="W29" s="1" t="s">
        <v>84</v>
      </c>
      <c r="X29" s="1">
        <v>17</v>
      </c>
      <c r="Y29" s="1">
        <v>0.124</v>
      </c>
      <c r="Z29" s="69">
        <v>1.1999999999999999E-3</v>
      </c>
      <c r="AA29" s="69">
        <v>0</v>
      </c>
      <c r="AB29" s="69">
        <v>1.1749999999999999E-5</v>
      </c>
      <c r="AC29" s="1">
        <v>0.94399999999999995</v>
      </c>
      <c r="AD29" s="1">
        <v>0.92069999999999996</v>
      </c>
      <c r="AE29" s="1">
        <v>0.29820000000000002</v>
      </c>
      <c r="AF29" s="69">
        <v>0</v>
      </c>
      <c r="AG29" s="69">
        <v>7.4999999999999997E-3</v>
      </c>
      <c r="AH29" s="69">
        <v>8.7870000000000007E-6</v>
      </c>
      <c r="AI29" s="1">
        <v>0.17050000000000001</v>
      </c>
      <c r="AJ29" s="1">
        <v>0.18099999999999999</v>
      </c>
      <c r="AK29" s="1">
        <v>0.92649999999999999</v>
      </c>
    </row>
    <row r="30" spans="1:37" ht="13.9" customHeight="1" x14ac:dyDescent="0.25">
      <c r="A30" s="5"/>
      <c r="B30" s="236">
        <f t="shared" si="0"/>
        <v>18</v>
      </c>
      <c r="C30" s="236"/>
      <c r="D30" s="289">
        <f t="shared" si="1"/>
        <v>0.124</v>
      </c>
      <c r="E30" s="289"/>
      <c r="F30" s="289">
        <f t="shared" si="2"/>
        <v>0</v>
      </c>
      <c r="G30" s="289"/>
      <c r="H30" s="289">
        <f t="shared" si="3"/>
        <v>0</v>
      </c>
      <c r="I30" s="289"/>
      <c r="J30" s="289">
        <f t="shared" si="4"/>
        <v>4.2249999999999997E-5</v>
      </c>
      <c r="K30" s="289"/>
      <c r="L30" s="289">
        <f t="shared" si="5"/>
        <v>0.94399999999999995</v>
      </c>
      <c r="M30" s="289"/>
      <c r="N30" s="289">
        <f t="shared" si="6"/>
        <v>0.92069999999999996</v>
      </c>
      <c r="O30" s="289"/>
      <c r="P30" s="289">
        <f t="shared" si="7"/>
        <v>0.29820000000000002</v>
      </c>
      <c r="Q30" s="289"/>
      <c r="U30" s="7"/>
      <c r="W30" s="1" t="s">
        <v>84</v>
      </c>
      <c r="X30" s="1">
        <v>18</v>
      </c>
      <c r="Y30" s="1">
        <v>0.124</v>
      </c>
      <c r="Z30" s="69">
        <v>0</v>
      </c>
      <c r="AA30" s="69">
        <v>0</v>
      </c>
      <c r="AB30" s="69">
        <v>4.2249999999999997E-5</v>
      </c>
      <c r="AC30" s="1">
        <v>0.94399999999999995</v>
      </c>
      <c r="AD30" s="1">
        <v>0.92069999999999996</v>
      </c>
      <c r="AE30" s="1">
        <v>0.29820000000000002</v>
      </c>
      <c r="AF30" s="69">
        <v>2.0769999999999999E-5</v>
      </c>
      <c r="AG30" s="69">
        <v>7.8110000000000003E-7</v>
      </c>
      <c r="AH30" s="69">
        <v>0</v>
      </c>
      <c r="AI30" s="1">
        <v>0.17050000000000001</v>
      </c>
      <c r="AJ30" s="1">
        <v>0.18099999999999999</v>
      </c>
      <c r="AK30" s="1">
        <v>0.92649999999999999</v>
      </c>
    </row>
    <row r="31" spans="1:37" ht="13.9" customHeight="1" x14ac:dyDescent="0.25">
      <c r="A31" s="5"/>
      <c r="B31" s="236">
        <f t="shared" si="0"/>
        <v>19</v>
      </c>
      <c r="C31" s="236"/>
      <c r="D31" s="289">
        <f t="shared" si="1"/>
        <v>0.124</v>
      </c>
      <c r="E31" s="289"/>
      <c r="F31" s="289">
        <f t="shared" si="2"/>
        <v>0</v>
      </c>
      <c r="G31" s="289"/>
      <c r="H31" s="289">
        <f t="shared" si="3"/>
        <v>0</v>
      </c>
      <c r="I31" s="289"/>
      <c r="J31" s="289">
        <f t="shared" si="4"/>
        <v>2.3779999999999999E-5</v>
      </c>
      <c r="K31" s="289"/>
      <c r="L31" s="289">
        <f t="shared" si="5"/>
        <v>0.94399999999999995</v>
      </c>
      <c r="M31" s="289"/>
      <c r="N31" s="289">
        <f t="shared" si="6"/>
        <v>0.92069999999999996</v>
      </c>
      <c r="O31" s="289"/>
      <c r="P31" s="289">
        <f t="shared" si="7"/>
        <v>0.29830000000000001</v>
      </c>
      <c r="Q31" s="289"/>
      <c r="U31" s="7"/>
      <c r="W31" s="1" t="s">
        <v>84</v>
      </c>
      <c r="X31" s="1">
        <v>19</v>
      </c>
      <c r="Y31" s="1">
        <v>0.124</v>
      </c>
      <c r="Z31" s="69">
        <v>0</v>
      </c>
      <c r="AA31" s="69">
        <v>0</v>
      </c>
      <c r="AB31" s="69">
        <v>2.3779999999999999E-5</v>
      </c>
      <c r="AC31" s="1">
        <v>0.94399999999999995</v>
      </c>
      <c r="AD31" s="1">
        <v>0.92069999999999996</v>
      </c>
      <c r="AE31" s="1">
        <v>0.29830000000000001</v>
      </c>
      <c r="AF31" s="69">
        <v>6.8039999999999998E-7</v>
      </c>
      <c r="AG31" s="69">
        <v>6.1859999999999999E-7</v>
      </c>
      <c r="AH31" s="69">
        <v>0</v>
      </c>
      <c r="AI31" s="1">
        <v>0.17050000000000001</v>
      </c>
      <c r="AJ31" s="1">
        <v>0.18099999999999999</v>
      </c>
      <c r="AK31" s="1">
        <v>0.92649999999999999</v>
      </c>
    </row>
    <row r="32" spans="1:37" ht="13.9" customHeight="1" x14ac:dyDescent="0.25">
      <c r="A32" s="5"/>
      <c r="B32" s="236">
        <f t="shared" si="0"/>
        <v>20</v>
      </c>
      <c r="C32" s="236"/>
      <c r="D32" s="289">
        <f t="shared" si="1"/>
        <v>0.124</v>
      </c>
      <c r="E32" s="289"/>
      <c r="F32" s="289">
        <f t="shared" si="2"/>
        <v>6.1220000000000004E-7</v>
      </c>
      <c r="G32" s="289"/>
      <c r="H32" s="289">
        <f t="shared" si="3"/>
        <v>0</v>
      </c>
      <c r="I32" s="289"/>
      <c r="J32" s="289">
        <f t="shared" si="4"/>
        <v>1E-4</v>
      </c>
      <c r="K32" s="289"/>
      <c r="L32" s="289">
        <f t="shared" si="5"/>
        <v>0.94399999999999995</v>
      </c>
      <c r="M32" s="289"/>
      <c r="N32" s="289">
        <f t="shared" si="6"/>
        <v>0.92069999999999996</v>
      </c>
      <c r="O32" s="289"/>
      <c r="P32" s="289">
        <f t="shared" si="7"/>
        <v>0.29830000000000001</v>
      </c>
      <c r="Q32" s="289"/>
      <c r="U32" s="7"/>
      <c r="W32" s="1" t="s">
        <v>84</v>
      </c>
      <c r="X32" s="1">
        <v>20</v>
      </c>
      <c r="Y32" s="1">
        <v>0.124</v>
      </c>
      <c r="Z32" s="69">
        <v>6.1220000000000004E-7</v>
      </c>
      <c r="AA32" s="69">
        <v>0</v>
      </c>
      <c r="AB32" s="69">
        <v>1E-4</v>
      </c>
      <c r="AC32" s="1">
        <v>0.94399999999999995</v>
      </c>
      <c r="AD32" s="1">
        <v>0.92069999999999996</v>
      </c>
      <c r="AE32" s="1">
        <v>0.29830000000000001</v>
      </c>
      <c r="AF32" s="69">
        <v>0</v>
      </c>
      <c r="AG32" s="69">
        <v>1.72E-6</v>
      </c>
      <c r="AH32" s="69">
        <v>0</v>
      </c>
      <c r="AI32" s="1">
        <v>0.17050000000000001</v>
      </c>
      <c r="AJ32" s="1">
        <v>0.18099999999999999</v>
      </c>
      <c r="AK32" s="1">
        <v>0.92649999999999999</v>
      </c>
    </row>
    <row r="33" spans="1:37" ht="13.9" customHeight="1" x14ac:dyDescent="0.25">
      <c r="A33" s="5"/>
      <c r="B33" s="236">
        <f t="shared" si="0"/>
        <v>21</v>
      </c>
      <c r="C33" s="236"/>
      <c r="D33" s="289">
        <f t="shared" si="1"/>
        <v>0.124</v>
      </c>
      <c r="E33" s="289"/>
      <c r="F33" s="289">
        <f t="shared" si="2"/>
        <v>1.3859999999999999E-6</v>
      </c>
      <c r="G33" s="289"/>
      <c r="H33" s="289">
        <f t="shared" si="3"/>
        <v>0</v>
      </c>
      <c r="I33" s="289"/>
      <c r="J33" s="289">
        <f t="shared" si="4"/>
        <v>1E-4</v>
      </c>
      <c r="K33" s="289"/>
      <c r="L33" s="289">
        <f t="shared" si="5"/>
        <v>0.94399999999999995</v>
      </c>
      <c r="M33" s="289"/>
      <c r="N33" s="289">
        <f t="shared" si="6"/>
        <v>0.92069999999999996</v>
      </c>
      <c r="O33" s="289"/>
      <c r="P33" s="289">
        <f t="shared" si="7"/>
        <v>0.29849999999999999</v>
      </c>
      <c r="Q33" s="289"/>
      <c r="U33" s="7"/>
      <c r="W33" s="1" t="s">
        <v>84</v>
      </c>
      <c r="X33" s="1">
        <v>21</v>
      </c>
      <c r="Y33" s="1">
        <v>0.124</v>
      </c>
      <c r="Z33" s="69">
        <v>1.3859999999999999E-6</v>
      </c>
      <c r="AA33" s="69">
        <v>0</v>
      </c>
      <c r="AB33" s="69">
        <v>1E-4</v>
      </c>
      <c r="AC33" s="1">
        <v>0.94399999999999995</v>
      </c>
      <c r="AD33" s="1">
        <v>0.92069999999999996</v>
      </c>
      <c r="AE33" s="1">
        <v>0.29849999999999999</v>
      </c>
      <c r="AF33" s="69">
        <v>1.137E-5</v>
      </c>
      <c r="AG33" s="69">
        <v>5.7690000000000002E-6</v>
      </c>
      <c r="AH33" s="69">
        <v>1.2109999999999999E-6</v>
      </c>
      <c r="AI33" s="1">
        <v>0.17050000000000001</v>
      </c>
      <c r="AJ33" s="1">
        <v>0.18099999999999999</v>
      </c>
      <c r="AK33" s="1">
        <v>0.92649999999999999</v>
      </c>
    </row>
    <row r="34" spans="1:37" ht="13.9" customHeight="1" x14ac:dyDescent="0.25">
      <c r="A34" s="5"/>
      <c r="B34" s="236">
        <f t="shared" si="0"/>
        <v>22</v>
      </c>
      <c r="C34" s="236"/>
      <c r="D34" s="289">
        <f t="shared" si="1"/>
        <v>0.124</v>
      </c>
      <c r="E34" s="289"/>
      <c r="F34" s="289">
        <f t="shared" si="2"/>
        <v>8.3289999999999994E-6</v>
      </c>
      <c r="G34" s="289"/>
      <c r="H34" s="289">
        <f t="shared" si="3"/>
        <v>0</v>
      </c>
      <c r="I34" s="289"/>
      <c r="J34" s="289">
        <f t="shared" si="4"/>
        <v>2.0000000000000001E-4</v>
      </c>
      <c r="K34" s="289"/>
      <c r="L34" s="289">
        <f t="shared" si="5"/>
        <v>0.94410000000000005</v>
      </c>
      <c r="M34" s="289"/>
      <c r="N34" s="289">
        <f t="shared" si="6"/>
        <v>0.92069999999999996</v>
      </c>
      <c r="O34" s="289"/>
      <c r="P34" s="289">
        <f t="shared" si="7"/>
        <v>0.29859999999999998</v>
      </c>
      <c r="Q34" s="289"/>
      <c r="U34" s="7"/>
      <c r="W34" s="1" t="s">
        <v>84</v>
      </c>
      <c r="X34" s="1">
        <v>22</v>
      </c>
      <c r="Y34" s="1">
        <v>0.124</v>
      </c>
      <c r="Z34" s="69">
        <v>8.3289999999999994E-6</v>
      </c>
      <c r="AA34" s="69">
        <v>0</v>
      </c>
      <c r="AB34" s="69">
        <v>2.0000000000000001E-4</v>
      </c>
      <c r="AC34" s="1">
        <v>0.94410000000000005</v>
      </c>
      <c r="AD34" s="1">
        <v>0.92069999999999996</v>
      </c>
      <c r="AE34" s="1">
        <v>0.29859999999999998</v>
      </c>
      <c r="AF34" s="69">
        <v>0</v>
      </c>
      <c r="AG34" s="69">
        <v>1.3709999999999999E-5</v>
      </c>
      <c r="AH34" s="69">
        <v>0</v>
      </c>
      <c r="AI34" s="1">
        <v>0.17050000000000001</v>
      </c>
      <c r="AJ34" s="1">
        <v>0.18110000000000001</v>
      </c>
      <c r="AK34" s="1">
        <v>0.92649999999999999</v>
      </c>
    </row>
    <row r="35" spans="1:37" ht="13.9" customHeight="1" x14ac:dyDescent="0.25">
      <c r="A35" s="5"/>
      <c r="B35" s="236">
        <f t="shared" si="0"/>
        <v>23</v>
      </c>
      <c r="C35" s="236"/>
      <c r="D35" s="289">
        <f t="shared" si="1"/>
        <v>0.124</v>
      </c>
      <c r="E35" s="289"/>
      <c r="F35" s="289">
        <f t="shared" si="2"/>
        <v>2.0789999999999999E-5</v>
      </c>
      <c r="G35" s="289"/>
      <c r="H35" s="289">
        <f t="shared" si="3"/>
        <v>0</v>
      </c>
      <c r="I35" s="289"/>
      <c r="J35" s="289">
        <f t="shared" si="4"/>
        <v>2.0000000000000001E-4</v>
      </c>
      <c r="K35" s="289"/>
      <c r="L35" s="289">
        <f t="shared" si="5"/>
        <v>0.94410000000000005</v>
      </c>
      <c r="M35" s="289"/>
      <c r="N35" s="289">
        <f t="shared" si="6"/>
        <v>0.92069999999999996</v>
      </c>
      <c r="O35" s="289"/>
      <c r="P35" s="289">
        <f t="shared" si="7"/>
        <v>0.2989</v>
      </c>
      <c r="Q35" s="289"/>
      <c r="U35" s="7"/>
      <c r="W35" s="1" t="s">
        <v>84</v>
      </c>
      <c r="X35" s="1">
        <v>23</v>
      </c>
      <c r="Y35" s="1">
        <v>0.124</v>
      </c>
      <c r="Z35" s="69">
        <v>2.0789999999999999E-5</v>
      </c>
      <c r="AA35" s="69">
        <v>0</v>
      </c>
      <c r="AB35" s="69">
        <v>2.0000000000000001E-4</v>
      </c>
      <c r="AC35" s="1">
        <v>0.94410000000000005</v>
      </c>
      <c r="AD35" s="1">
        <v>0.92069999999999996</v>
      </c>
      <c r="AE35" s="1">
        <v>0.2989</v>
      </c>
      <c r="AF35" s="69">
        <v>1E-4</v>
      </c>
      <c r="AG35" s="69">
        <v>4.5189999999999999E-5</v>
      </c>
      <c r="AH35" s="69">
        <v>1.5149999999999999E-6</v>
      </c>
      <c r="AI35" s="1">
        <v>0.1706</v>
      </c>
      <c r="AJ35" s="1">
        <v>0.18110000000000001</v>
      </c>
      <c r="AK35" s="1">
        <v>0.92649999999999999</v>
      </c>
    </row>
    <row r="36" spans="1:37" ht="13.9" customHeight="1" x14ac:dyDescent="0.25">
      <c r="A36" s="5"/>
      <c r="B36" s="236">
        <f t="shared" si="0"/>
        <v>24</v>
      </c>
      <c r="C36" s="236"/>
      <c r="D36" s="289">
        <f t="shared" si="1"/>
        <v>0.123</v>
      </c>
      <c r="E36" s="289"/>
      <c r="F36" s="289">
        <f t="shared" si="2"/>
        <v>0</v>
      </c>
      <c r="G36" s="289"/>
      <c r="H36" s="289">
        <f t="shared" si="3"/>
        <v>0</v>
      </c>
      <c r="I36" s="289"/>
      <c r="J36" s="289">
        <f t="shared" si="4"/>
        <v>4.32E-5</v>
      </c>
      <c r="K36" s="289"/>
      <c r="L36" s="289">
        <f t="shared" si="5"/>
        <v>0.94410000000000005</v>
      </c>
      <c r="M36" s="289"/>
      <c r="N36" s="289">
        <f t="shared" si="6"/>
        <v>0.92069999999999996</v>
      </c>
      <c r="O36" s="289"/>
      <c r="P36" s="289">
        <f t="shared" si="7"/>
        <v>0.2989</v>
      </c>
      <c r="Q36" s="289"/>
      <c r="U36" s="7"/>
      <c r="W36" s="1" t="s">
        <v>84</v>
      </c>
      <c r="X36" s="1">
        <v>24</v>
      </c>
      <c r="Y36" s="1">
        <v>0.123</v>
      </c>
      <c r="Z36" s="69">
        <v>0</v>
      </c>
      <c r="AA36" s="69">
        <v>0</v>
      </c>
      <c r="AB36" s="69">
        <v>4.32E-5</v>
      </c>
      <c r="AC36" s="1">
        <v>0.94410000000000005</v>
      </c>
      <c r="AD36" s="1">
        <v>0.92069999999999996</v>
      </c>
      <c r="AE36" s="1">
        <v>0.2989</v>
      </c>
      <c r="AF36" s="69">
        <v>1E-4</v>
      </c>
      <c r="AG36" s="69">
        <v>6.3529999999999998E-7</v>
      </c>
      <c r="AH36" s="69">
        <v>6.9999999999999999E-4</v>
      </c>
      <c r="AI36" s="1">
        <v>0.17069999999999999</v>
      </c>
      <c r="AJ36" s="1">
        <v>0.18110000000000001</v>
      </c>
      <c r="AK36" s="1">
        <v>0.92720000000000002</v>
      </c>
    </row>
    <row r="37" spans="1:37" ht="13.9" customHeight="1" x14ac:dyDescent="0.25">
      <c r="A37" s="5"/>
      <c r="B37" s="236">
        <f t="shared" si="0"/>
        <v>25</v>
      </c>
      <c r="C37" s="236"/>
      <c r="D37" s="289">
        <f t="shared" si="1"/>
        <v>0.123</v>
      </c>
      <c r="E37" s="289"/>
      <c r="F37" s="289">
        <f t="shared" si="2"/>
        <v>7.0210000000000002E-7</v>
      </c>
      <c r="G37" s="289"/>
      <c r="H37" s="289">
        <f t="shared" si="3"/>
        <v>0</v>
      </c>
      <c r="I37" s="289"/>
      <c r="J37" s="289">
        <f t="shared" si="4"/>
        <v>1E-4</v>
      </c>
      <c r="K37" s="289"/>
      <c r="L37" s="289">
        <f t="shared" si="5"/>
        <v>0.94410000000000005</v>
      </c>
      <c r="M37" s="289"/>
      <c r="N37" s="289">
        <f t="shared" si="6"/>
        <v>0.92069999999999996</v>
      </c>
      <c r="O37" s="289"/>
      <c r="P37" s="289">
        <f t="shared" si="7"/>
        <v>0.29899999999999999</v>
      </c>
      <c r="Q37" s="289"/>
      <c r="U37" s="7"/>
      <c r="W37" s="1" t="s">
        <v>84</v>
      </c>
      <c r="X37" s="1">
        <v>25</v>
      </c>
      <c r="Y37" s="1">
        <v>0.123</v>
      </c>
      <c r="Z37" s="69">
        <v>7.0210000000000002E-7</v>
      </c>
      <c r="AA37" s="69">
        <v>0</v>
      </c>
      <c r="AB37" s="69">
        <v>1E-4</v>
      </c>
      <c r="AC37" s="1">
        <v>0.94410000000000005</v>
      </c>
      <c r="AD37" s="1">
        <v>0.92069999999999996</v>
      </c>
      <c r="AE37" s="1">
        <v>0.29899999999999999</v>
      </c>
      <c r="AF37" s="69">
        <v>1E-4</v>
      </c>
      <c r="AG37" s="69">
        <v>0</v>
      </c>
      <c r="AH37" s="69">
        <v>3.5439999999999999E-6</v>
      </c>
      <c r="AI37" s="1">
        <v>0.17069999999999999</v>
      </c>
      <c r="AJ37" s="1">
        <v>0.18110000000000001</v>
      </c>
      <c r="AK37" s="1">
        <v>0.92720000000000002</v>
      </c>
    </row>
    <row r="38" spans="1:37" ht="13.9" customHeight="1" x14ac:dyDescent="0.25">
      <c r="A38" s="5"/>
      <c r="B38" s="236">
        <f t="shared" si="0"/>
        <v>26</v>
      </c>
      <c r="C38" s="236"/>
      <c r="D38" s="289">
        <f t="shared" si="1"/>
        <v>0.123</v>
      </c>
      <c r="E38" s="289"/>
      <c r="F38" s="289">
        <f t="shared" si="2"/>
        <v>0</v>
      </c>
      <c r="G38" s="289"/>
      <c r="H38" s="289">
        <f t="shared" si="3"/>
        <v>0</v>
      </c>
      <c r="I38" s="289"/>
      <c r="J38" s="289">
        <f t="shared" si="4"/>
        <v>7.0360000000000001E-6</v>
      </c>
      <c r="K38" s="289"/>
      <c r="L38" s="289">
        <f t="shared" si="5"/>
        <v>0.94410000000000005</v>
      </c>
      <c r="M38" s="289"/>
      <c r="N38" s="289">
        <f t="shared" si="6"/>
        <v>0.92069999999999996</v>
      </c>
      <c r="O38" s="289"/>
      <c r="P38" s="289">
        <f t="shared" si="7"/>
        <v>0.29899999999999999</v>
      </c>
      <c r="Q38" s="289"/>
      <c r="U38" s="7"/>
      <c r="W38" s="1" t="s">
        <v>84</v>
      </c>
      <c r="X38" s="1">
        <v>26</v>
      </c>
      <c r="Y38" s="1">
        <v>0.123</v>
      </c>
      <c r="Z38" s="69">
        <v>0</v>
      </c>
      <c r="AA38" s="69">
        <v>0</v>
      </c>
      <c r="AB38" s="69">
        <v>7.0360000000000001E-6</v>
      </c>
      <c r="AC38" s="1">
        <v>0.94410000000000005</v>
      </c>
      <c r="AD38" s="1">
        <v>0.92069999999999996</v>
      </c>
      <c r="AE38" s="1">
        <v>0.29899999999999999</v>
      </c>
      <c r="AF38" s="69">
        <v>2.4640000000000001E-5</v>
      </c>
      <c r="AG38" s="69">
        <v>0</v>
      </c>
      <c r="AH38" s="69">
        <v>4.7180000000000004E-6</v>
      </c>
      <c r="AI38" s="1">
        <v>0.17080000000000001</v>
      </c>
      <c r="AJ38" s="1">
        <v>0.18110000000000001</v>
      </c>
      <c r="AK38" s="1">
        <v>0.92720000000000002</v>
      </c>
    </row>
    <row r="39" spans="1:37" ht="13.9" customHeight="1" x14ac:dyDescent="0.25">
      <c r="A39" s="5"/>
      <c r="B39" s="236">
        <f t="shared" si="0"/>
        <v>27</v>
      </c>
      <c r="C39" s="236"/>
      <c r="D39" s="289">
        <f t="shared" si="1"/>
        <v>0.123</v>
      </c>
      <c r="E39" s="289"/>
      <c r="F39" s="289">
        <f t="shared" si="2"/>
        <v>0</v>
      </c>
      <c r="G39" s="289"/>
      <c r="H39" s="289">
        <f t="shared" si="3"/>
        <v>0</v>
      </c>
      <c r="I39" s="289"/>
      <c r="J39" s="289">
        <f t="shared" si="4"/>
        <v>1E-4</v>
      </c>
      <c r="K39" s="289"/>
      <c r="L39" s="289">
        <f t="shared" si="5"/>
        <v>0.94410000000000005</v>
      </c>
      <c r="M39" s="289"/>
      <c r="N39" s="289">
        <f t="shared" si="6"/>
        <v>0.92069999999999996</v>
      </c>
      <c r="O39" s="289"/>
      <c r="P39" s="289">
        <f t="shared" si="7"/>
        <v>0.29909999999999998</v>
      </c>
      <c r="Q39" s="289"/>
      <c r="U39" s="7"/>
      <c r="W39" s="1" t="s">
        <v>84</v>
      </c>
      <c r="X39" s="1">
        <v>27</v>
      </c>
      <c r="Y39" s="1">
        <v>0.123</v>
      </c>
      <c r="Z39" s="69">
        <v>0</v>
      </c>
      <c r="AA39" s="69">
        <v>0</v>
      </c>
      <c r="AB39" s="69">
        <v>1E-4</v>
      </c>
      <c r="AC39" s="1">
        <v>0.94410000000000005</v>
      </c>
      <c r="AD39" s="1">
        <v>0.92069999999999996</v>
      </c>
      <c r="AE39" s="1">
        <v>0.29909999999999998</v>
      </c>
      <c r="AF39" s="69">
        <v>0</v>
      </c>
      <c r="AG39" s="69">
        <v>0</v>
      </c>
      <c r="AH39" s="69">
        <v>0</v>
      </c>
      <c r="AI39" s="1">
        <v>0.17080000000000001</v>
      </c>
      <c r="AJ39" s="1">
        <v>0.18110000000000001</v>
      </c>
      <c r="AK39" s="1">
        <v>0.92720000000000002</v>
      </c>
    </row>
    <row r="40" spans="1:37" ht="13.9" customHeight="1" x14ac:dyDescent="0.25">
      <c r="A40" s="5"/>
      <c r="B40" s="236">
        <f t="shared" si="0"/>
        <v>28</v>
      </c>
      <c r="C40" s="236"/>
      <c r="D40" s="289">
        <f t="shared" si="1"/>
        <v>0.123</v>
      </c>
      <c r="E40" s="289"/>
      <c r="F40" s="289">
        <f t="shared" si="2"/>
        <v>0</v>
      </c>
      <c r="G40" s="289"/>
      <c r="H40" s="289">
        <f t="shared" si="3"/>
        <v>0</v>
      </c>
      <c r="I40" s="289"/>
      <c r="J40" s="289">
        <f t="shared" si="4"/>
        <v>1E-4</v>
      </c>
      <c r="K40" s="289"/>
      <c r="L40" s="289">
        <f t="shared" si="5"/>
        <v>0.94410000000000005</v>
      </c>
      <c r="M40" s="289"/>
      <c r="N40" s="289">
        <f t="shared" si="6"/>
        <v>0.92069999999999996</v>
      </c>
      <c r="O40" s="289"/>
      <c r="P40" s="289">
        <f t="shared" si="7"/>
        <v>0.29920000000000002</v>
      </c>
      <c r="Q40" s="289"/>
      <c r="U40" s="7"/>
      <c r="W40" s="1" t="s">
        <v>84</v>
      </c>
      <c r="X40" s="1">
        <v>28</v>
      </c>
      <c r="Y40" s="1">
        <v>0.123</v>
      </c>
      <c r="Z40" s="69">
        <v>0</v>
      </c>
      <c r="AA40" s="69">
        <v>0</v>
      </c>
      <c r="AB40" s="69">
        <v>1E-4</v>
      </c>
      <c r="AC40" s="1">
        <v>0.94410000000000005</v>
      </c>
      <c r="AD40" s="1">
        <v>0.92069999999999996</v>
      </c>
      <c r="AE40" s="1">
        <v>0.29920000000000002</v>
      </c>
      <c r="AF40" s="69">
        <v>1E-4</v>
      </c>
      <c r="AG40" s="69">
        <v>0</v>
      </c>
      <c r="AH40" s="69">
        <v>1.669E-6</v>
      </c>
      <c r="AI40" s="1">
        <v>0.17080000000000001</v>
      </c>
      <c r="AJ40" s="1">
        <v>0.18110000000000001</v>
      </c>
      <c r="AK40" s="1">
        <v>0.92720000000000002</v>
      </c>
    </row>
    <row r="41" spans="1:37" ht="13.9" customHeight="1" x14ac:dyDescent="0.25">
      <c r="A41" s="5"/>
      <c r="B41" s="236">
        <f t="shared" si="0"/>
        <v>29</v>
      </c>
      <c r="C41" s="236"/>
      <c r="D41" s="289">
        <f t="shared" si="1"/>
        <v>0.123</v>
      </c>
      <c r="E41" s="289"/>
      <c r="F41" s="289">
        <f t="shared" si="2"/>
        <v>0</v>
      </c>
      <c r="G41" s="289"/>
      <c r="H41" s="289">
        <f t="shared" si="3"/>
        <v>0</v>
      </c>
      <c r="I41" s="289"/>
      <c r="J41" s="289">
        <f t="shared" si="4"/>
        <v>3.7660000000000002E-5</v>
      </c>
      <c r="K41" s="289"/>
      <c r="L41" s="289">
        <f t="shared" si="5"/>
        <v>0.94410000000000005</v>
      </c>
      <c r="M41" s="289"/>
      <c r="N41" s="289">
        <f t="shared" si="6"/>
        <v>0.92069999999999996</v>
      </c>
      <c r="O41" s="289"/>
      <c r="P41" s="289">
        <f t="shared" si="7"/>
        <v>0.29920000000000002</v>
      </c>
      <c r="Q41" s="289"/>
      <c r="U41" s="7"/>
      <c r="W41" s="1" t="s">
        <v>84</v>
      </c>
      <c r="X41" s="1">
        <v>29</v>
      </c>
      <c r="Y41" s="1">
        <v>0.123</v>
      </c>
      <c r="Z41" s="69">
        <v>0</v>
      </c>
      <c r="AA41" s="69">
        <v>0</v>
      </c>
      <c r="AB41" s="69">
        <v>3.7660000000000002E-5</v>
      </c>
      <c r="AC41" s="1">
        <v>0.94410000000000005</v>
      </c>
      <c r="AD41" s="1">
        <v>0.92069999999999996</v>
      </c>
      <c r="AE41" s="1">
        <v>0.29920000000000002</v>
      </c>
      <c r="AF41" s="69">
        <v>2.9850000000000001E-5</v>
      </c>
      <c r="AG41" s="69">
        <v>0</v>
      </c>
      <c r="AH41" s="69">
        <v>0</v>
      </c>
      <c r="AI41" s="1">
        <v>0.1709</v>
      </c>
      <c r="AJ41" s="1">
        <v>0.18110000000000001</v>
      </c>
      <c r="AK41" s="1">
        <v>0.92720000000000002</v>
      </c>
    </row>
    <row r="42" spans="1:37" ht="13.9" customHeight="1" x14ac:dyDescent="0.25">
      <c r="A42" s="5"/>
      <c r="B42" s="236">
        <f t="shared" si="0"/>
        <v>30</v>
      </c>
      <c r="C42" s="236"/>
      <c r="D42" s="289">
        <f t="shared" si="1"/>
        <v>0.123</v>
      </c>
      <c r="E42" s="289"/>
      <c r="F42" s="289">
        <f t="shared" si="2"/>
        <v>1.207E-6</v>
      </c>
      <c r="G42" s="289"/>
      <c r="H42" s="289">
        <f t="shared" si="3"/>
        <v>0</v>
      </c>
      <c r="I42" s="289"/>
      <c r="J42" s="289">
        <f t="shared" si="4"/>
        <v>1.6390000000000001E-5</v>
      </c>
      <c r="K42" s="289"/>
      <c r="L42" s="289">
        <f t="shared" si="5"/>
        <v>0.94410000000000005</v>
      </c>
      <c r="M42" s="289"/>
      <c r="N42" s="289">
        <f t="shared" si="6"/>
        <v>0.92069999999999996</v>
      </c>
      <c r="O42" s="289"/>
      <c r="P42" s="289">
        <f t="shared" si="7"/>
        <v>0.29920000000000002</v>
      </c>
      <c r="Q42" s="289"/>
      <c r="U42" s="7"/>
      <c r="W42" s="1" t="s">
        <v>84</v>
      </c>
      <c r="X42" s="1">
        <v>30</v>
      </c>
      <c r="Y42" s="1">
        <v>0.123</v>
      </c>
      <c r="Z42" s="69">
        <v>1.207E-6</v>
      </c>
      <c r="AA42" s="69">
        <v>0</v>
      </c>
      <c r="AB42" s="69">
        <v>1.6390000000000001E-5</v>
      </c>
      <c r="AC42" s="1">
        <v>0.94410000000000005</v>
      </c>
      <c r="AD42" s="1">
        <v>0.92069999999999996</v>
      </c>
      <c r="AE42" s="1">
        <v>0.29920000000000002</v>
      </c>
      <c r="AF42" s="69">
        <v>4.0000000000000002E-4</v>
      </c>
      <c r="AG42" s="69">
        <v>7.7359999999999999E-7</v>
      </c>
      <c r="AH42" s="69">
        <v>3.2849999999999999E-5</v>
      </c>
      <c r="AI42" s="1">
        <v>0.17130000000000001</v>
      </c>
      <c r="AJ42" s="1">
        <v>0.18110000000000001</v>
      </c>
      <c r="AK42" s="1">
        <v>0.92720000000000002</v>
      </c>
    </row>
    <row r="43" spans="1:37" ht="13.9" customHeight="1" x14ac:dyDescent="0.25">
      <c r="A43" s="5"/>
      <c r="B43" s="236">
        <f t="shared" si="0"/>
        <v>31</v>
      </c>
      <c r="C43" s="236"/>
      <c r="D43" s="289">
        <f t="shared" si="1"/>
        <v>0.123</v>
      </c>
      <c r="E43" s="289"/>
      <c r="F43" s="289">
        <f t="shared" si="2"/>
        <v>1.029E-6</v>
      </c>
      <c r="G43" s="289"/>
      <c r="H43" s="289">
        <f t="shared" si="3"/>
        <v>0</v>
      </c>
      <c r="I43" s="289"/>
      <c r="J43" s="289">
        <f t="shared" si="4"/>
        <v>2.9999999999999997E-4</v>
      </c>
      <c r="K43" s="289"/>
      <c r="L43" s="289">
        <f t="shared" si="5"/>
        <v>0.94410000000000005</v>
      </c>
      <c r="M43" s="289"/>
      <c r="N43" s="289">
        <f t="shared" si="6"/>
        <v>0.92069999999999996</v>
      </c>
      <c r="O43" s="289"/>
      <c r="P43" s="289">
        <f t="shared" si="7"/>
        <v>0.29959999999999998</v>
      </c>
      <c r="Q43" s="289"/>
      <c r="U43" s="7"/>
      <c r="W43" s="1" t="s">
        <v>84</v>
      </c>
      <c r="X43" s="1">
        <v>31</v>
      </c>
      <c r="Y43" s="1">
        <v>0.123</v>
      </c>
      <c r="Z43" s="69">
        <v>1.029E-6</v>
      </c>
      <c r="AA43" s="69">
        <v>0</v>
      </c>
      <c r="AB43" s="69">
        <v>2.9999999999999997E-4</v>
      </c>
      <c r="AC43" s="1">
        <v>0.94410000000000005</v>
      </c>
      <c r="AD43" s="1">
        <v>0.92069999999999996</v>
      </c>
      <c r="AE43" s="1">
        <v>0.29959999999999998</v>
      </c>
      <c r="AF43" s="69">
        <v>2.0000000000000001E-4</v>
      </c>
      <c r="AG43" s="69">
        <v>3.811E-6</v>
      </c>
      <c r="AH43" s="69">
        <v>0</v>
      </c>
      <c r="AI43" s="1">
        <v>0.17150000000000001</v>
      </c>
      <c r="AJ43" s="1">
        <v>0.18110000000000001</v>
      </c>
      <c r="AK43" s="1">
        <v>0.92720000000000002</v>
      </c>
    </row>
    <row r="44" spans="1:37" ht="13.9" customHeight="1" x14ac:dyDescent="0.25">
      <c r="A44" s="5"/>
      <c r="B44" s="236">
        <f t="shared" si="0"/>
        <v>32</v>
      </c>
      <c r="C44" s="236"/>
      <c r="D44" s="289">
        <f t="shared" si="1"/>
        <v>0.123</v>
      </c>
      <c r="E44" s="289"/>
      <c r="F44" s="289">
        <f t="shared" si="2"/>
        <v>0</v>
      </c>
      <c r="G44" s="289"/>
      <c r="H44" s="289">
        <f t="shared" si="3"/>
        <v>0</v>
      </c>
      <c r="I44" s="289"/>
      <c r="J44" s="289">
        <f t="shared" si="4"/>
        <v>1.101E-5</v>
      </c>
      <c r="K44" s="289"/>
      <c r="L44" s="289">
        <f t="shared" si="5"/>
        <v>0.94410000000000005</v>
      </c>
      <c r="M44" s="289"/>
      <c r="N44" s="289">
        <f t="shared" si="6"/>
        <v>0.92069999999999996</v>
      </c>
      <c r="O44" s="289"/>
      <c r="P44" s="289">
        <f t="shared" si="7"/>
        <v>0.29959999999999998</v>
      </c>
      <c r="Q44" s="289"/>
      <c r="U44" s="7"/>
      <c r="W44" s="1" t="s">
        <v>84</v>
      </c>
      <c r="X44" s="1">
        <v>32</v>
      </c>
      <c r="Y44" s="1">
        <v>0.123</v>
      </c>
      <c r="Z44" s="69">
        <v>0</v>
      </c>
      <c r="AA44" s="69">
        <v>0</v>
      </c>
      <c r="AB44" s="69">
        <v>1.101E-5</v>
      </c>
      <c r="AC44" s="1">
        <v>0.94410000000000005</v>
      </c>
      <c r="AD44" s="1">
        <v>0.92069999999999996</v>
      </c>
      <c r="AE44" s="1">
        <v>0.29959999999999998</v>
      </c>
      <c r="AF44" s="69">
        <v>1E-4</v>
      </c>
      <c r="AG44" s="69">
        <v>0</v>
      </c>
      <c r="AH44" s="69">
        <v>2.4109999999999999E-6</v>
      </c>
      <c r="AI44" s="1">
        <v>0.1716</v>
      </c>
      <c r="AJ44" s="1">
        <v>0.18110000000000001</v>
      </c>
      <c r="AK44" s="1">
        <v>0.92720000000000002</v>
      </c>
    </row>
    <row r="45" spans="1:37" ht="13.9" customHeight="1" x14ac:dyDescent="0.25">
      <c r="A45" s="5"/>
      <c r="B45" s="236">
        <f t="shared" si="0"/>
        <v>33</v>
      </c>
      <c r="C45" s="236"/>
      <c r="D45" s="289">
        <f t="shared" si="1"/>
        <v>0.123</v>
      </c>
      <c r="E45" s="289"/>
      <c r="F45" s="289">
        <f t="shared" si="2"/>
        <v>1.189E-6</v>
      </c>
      <c r="G45" s="289"/>
      <c r="H45" s="289">
        <f t="shared" si="3"/>
        <v>0</v>
      </c>
      <c r="I45" s="289"/>
      <c r="J45" s="289">
        <f t="shared" si="4"/>
        <v>2.9999999999999997E-4</v>
      </c>
      <c r="K45" s="289"/>
      <c r="L45" s="289">
        <f t="shared" si="5"/>
        <v>0.94410000000000005</v>
      </c>
      <c r="M45" s="289"/>
      <c r="N45" s="289">
        <f t="shared" si="6"/>
        <v>0.92069999999999996</v>
      </c>
      <c r="O45" s="289"/>
      <c r="P45" s="289">
        <f t="shared" si="7"/>
        <v>0.2999</v>
      </c>
      <c r="Q45" s="289"/>
      <c r="U45" s="7"/>
      <c r="W45" s="1" t="s">
        <v>84</v>
      </c>
      <c r="X45" s="1">
        <v>33</v>
      </c>
      <c r="Y45" s="1">
        <v>0.123</v>
      </c>
      <c r="Z45" s="69">
        <v>1.189E-6</v>
      </c>
      <c r="AA45" s="69">
        <v>0</v>
      </c>
      <c r="AB45" s="69">
        <v>2.9999999999999997E-4</v>
      </c>
      <c r="AC45" s="1">
        <v>0.94410000000000005</v>
      </c>
      <c r="AD45" s="1">
        <v>0.92069999999999996</v>
      </c>
      <c r="AE45" s="1">
        <v>0.2999</v>
      </c>
      <c r="AF45" s="69">
        <v>1.333E-6</v>
      </c>
      <c r="AG45" s="69">
        <v>2.605E-6</v>
      </c>
      <c r="AH45" s="69">
        <v>0</v>
      </c>
      <c r="AI45" s="1">
        <v>0.1716</v>
      </c>
      <c r="AJ45" s="1">
        <v>0.18110000000000001</v>
      </c>
      <c r="AK45" s="1">
        <v>0.92720000000000002</v>
      </c>
    </row>
    <row r="46" spans="1:37" ht="13.9" customHeight="1" x14ac:dyDescent="0.25">
      <c r="A46" s="5"/>
      <c r="B46" s="236">
        <f t="shared" si="0"/>
        <v>34</v>
      </c>
      <c r="C46" s="236"/>
      <c r="D46" s="289">
        <f t="shared" si="1"/>
        <v>0.123</v>
      </c>
      <c r="E46" s="289"/>
      <c r="F46" s="289">
        <f t="shared" si="2"/>
        <v>0</v>
      </c>
      <c r="G46" s="289"/>
      <c r="H46" s="289">
        <f t="shared" si="3"/>
        <v>0</v>
      </c>
      <c r="I46" s="289"/>
      <c r="J46" s="289">
        <f t="shared" si="4"/>
        <v>1E-4</v>
      </c>
      <c r="K46" s="289"/>
      <c r="L46" s="289">
        <f t="shared" si="5"/>
        <v>0.94410000000000005</v>
      </c>
      <c r="M46" s="289"/>
      <c r="N46" s="289">
        <f t="shared" si="6"/>
        <v>0.92069999999999996</v>
      </c>
      <c r="O46" s="289"/>
      <c r="P46" s="289">
        <f t="shared" si="7"/>
        <v>0.3</v>
      </c>
      <c r="Q46" s="289"/>
      <c r="U46" s="7"/>
      <c r="W46" s="1" t="s">
        <v>84</v>
      </c>
      <c r="X46" s="1">
        <v>34</v>
      </c>
      <c r="Y46" s="1">
        <v>0.123</v>
      </c>
      <c r="Z46" s="69">
        <v>0</v>
      </c>
      <c r="AA46" s="69">
        <v>0</v>
      </c>
      <c r="AB46" s="69">
        <v>1E-4</v>
      </c>
      <c r="AC46" s="1">
        <v>0.94410000000000005</v>
      </c>
      <c r="AD46" s="1">
        <v>0.92069999999999996</v>
      </c>
      <c r="AE46" s="1">
        <v>0.3</v>
      </c>
      <c r="AF46" s="69">
        <v>2.0000000000000001E-4</v>
      </c>
      <c r="AG46" s="69">
        <v>2.605E-6</v>
      </c>
      <c r="AH46" s="69">
        <v>1.0540000000000001E-5</v>
      </c>
      <c r="AI46" s="1">
        <v>0.17169999999999999</v>
      </c>
      <c r="AJ46" s="1">
        <v>0.18110000000000001</v>
      </c>
      <c r="AK46" s="1">
        <v>0.92730000000000001</v>
      </c>
    </row>
    <row r="47" spans="1:37" ht="13.9" customHeight="1" x14ac:dyDescent="0.25">
      <c r="A47" s="5"/>
      <c r="B47" s="236">
        <f t="shared" si="0"/>
        <v>35</v>
      </c>
      <c r="C47" s="236"/>
      <c r="D47" s="289">
        <f t="shared" si="1"/>
        <v>0.123</v>
      </c>
      <c r="E47" s="289"/>
      <c r="F47" s="289">
        <f t="shared" si="2"/>
        <v>0</v>
      </c>
      <c r="G47" s="289"/>
      <c r="H47" s="289">
        <f t="shared" si="3"/>
        <v>0</v>
      </c>
      <c r="I47" s="289"/>
      <c r="J47" s="289">
        <f t="shared" si="4"/>
        <v>1E-4</v>
      </c>
      <c r="K47" s="289"/>
      <c r="L47" s="289">
        <f t="shared" si="5"/>
        <v>0.94410000000000005</v>
      </c>
      <c r="M47" s="289"/>
      <c r="N47" s="289">
        <f t="shared" si="6"/>
        <v>0.92069999999999996</v>
      </c>
      <c r="O47" s="289"/>
      <c r="P47" s="289">
        <f t="shared" si="7"/>
        <v>0.30009999999999998</v>
      </c>
      <c r="Q47" s="289"/>
      <c r="U47" s="7"/>
      <c r="W47" s="1" t="s">
        <v>84</v>
      </c>
      <c r="X47" s="1">
        <v>35</v>
      </c>
      <c r="Y47" s="1">
        <v>0.123</v>
      </c>
      <c r="Z47" s="69">
        <v>0</v>
      </c>
      <c r="AA47" s="69">
        <v>0</v>
      </c>
      <c r="AB47" s="69">
        <v>1E-4</v>
      </c>
      <c r="AC47" s="1">
        <v>0.94410000000000005</v>
      </c>
      <c r="AD47" s="1">
        <v>0.92069999999999996</v>
      </c>
      <c r="AE47" s="1">
        <v>0.30009999999999998</v>
      </c>
      <c r="AF47" s="69">
        <v>3.6329999999999999E-5</v>
      </c>
      <c r="AG47" s="69">
        <v>1.2150000000000001E-5</v>
      </c>
      <c r="AH47" s="69">
        <v>1.73E-6</v>
      </c>
      <c r="AI47" s="1">
        <v>0.17180000000000001</v>
      </c>
      <c r="AJ47" s="1">
        <v>0.18110000000000001</v>
      </c>
      <c r="AK47" s="1">
        <v>0.92730000000000001</v>
      </c>
    </row>
    <row r="48" spans="1:37" ht="13.9" customHeight="1" x14ac:dyDescent="0.25">
      <c r="A48" s="5"/>
      <c r="B48" s="236">
        <f t="shared" si="0"/>
        <v>36</v>
      </c>
      <c r="C48" s="236"/>
      <c r="D48" s="289">
        <f t="shared" si="1"/>
        <v>0.123</v>
      </c>
      <c r="E48" s="289"/>
      <c r="F48" s="289">
        <f t="shared" si="2"/>
        <v>1.593E-6</v>
      </c>
      <c r="G48" s="289"/>
      <c r="H48" s="289">
        <f t="shared" si="3"/>
        <v>0</v>
      </c>
      <c r="I48" s="289"/>
      <c r="J48" s="289">
        <f t="shared" si="4"/>
        <v>4.1999999999999997E-3</v>
      </c>
      <c r="K48" s="289"/>
      <c r="L48" s="289">
        <f t="shared" si="5"/>
        <v>0.94410000000000005</v>
      </c>
      <c r="M48" s="289"/>
      <c r="N48" s="289">
        <f t="shared" si="6"/>
        <v>0.92069999999999996</v>
      </c>
      <c r="O48" s="289"/>
      <c r="P48" s="289">
        <f t="shared" si="7"/>
        <v>0.30430000000000001</v>
      </c>
      <c r="Q48" s="289"/>
      <c r="U48" s="8"/>
      <c r="W48" s="1" t="s">
        <v>84</v>
      </c>
      <c r="X48" s="1">
        <v>36</v>
      </c>
      <c r="Y48" s="1">
        <v>0.123</v>
      </c>
      <c r="Z48" s="69">
        <v>1.593E-6</v>
      </c>
      <c r="AA48" s="69">
        <v>0</v>
      </c>
      <c r="AB48" s="69">
        <v>4.1999999999999997E-3</v>
      </c>
      <c r="AC48" s="1">
        <v>0.94410000000000005</v>
      </c>
      <c r="AD48" s="1">
        <v>0.92069999999999996</v>
      </c>
      <c r="AE48" s="1">
        <v>0.30430000000000001</v>
      </c>
      <c r="AF48" s="69">
        <v>4.0000000000000002E-4</v>
      </c>
      <c r="AG48" s="69">
        <v>1.6000000000000001E-3</v>
      </c>
      <c r="AH48" s="69">
        <v>0</v>
      </c>
      <c r="AI48" s="1">
        <v>0.17219999999999999</v>
      </c>
      <c r="AJ48" s="1">
        <v>0.1827</v>
      </c>
      <c r="AK48" s="1">
        <v>0.92730000000000001</v>
      </c>
    </row>
    <row r="49" spans="1:37" ht="13.9" customHeight="1" x14ac:dyDescent="0.25">
      <c r="A49" s="5"/>
      <c r="B49" s="236">
        <f t="shared" si="0"/>
        <v>37</v>
      </c>
      <c r="C49" s="236"/>
      <c r="D49" s="289">
        <f t="shared" si="1"/>
        <v>0.123</v>
      </c>
      <c r="E49" s="289"/>
      <c r="F49" s="289">
        <f t="shared" si="2"/>
        <v>7.1549999999999997E-7</v>
      </c>
      <c r="G49" s="289"/>
      <c r="H49" s="289">
        <f t="shared" si="3"/>
        <v>0</v>
      </c>
      <c r="I49" s="289"/>
      <c r="J49" s="289">
        <f t="shared" si="4"/>
        <v>1.4E-3</v>
      </c>
      <c r="K49" s="289"/>
      <c r="L49" s="289">
        <f t="shared" si="5"/>
        <v>0.94410000000000005</v>
      </c>
      <c r="M49" s="289"/>
      <c r="N49" s="289">
        <f t="shared" si="6"/>
        <v>0.92069999999999996</v>
      </c>
      <c r="O49" s="289"/>
      <c r="P49" s="289">
        <f t="shared" si="7"/>
        <v>0.30570000000000003</v>
      </c>
      <c r="Q49" s="289"/>
      <c r="U49" s="7"/>
      <c r="W49" s="1" t="s">
        <v>84</v>
      </c>
      <c r="X49" s="1">
        <v>37</v>
      </c>
      <c r="Y49" s="1">
        <v>0.123</v>
      </c>
      <c r="Z49" s="69">
        <v>7.1549999999999997E-7</v>
      </c>
      <c r="AA49" s="69">
        <v>0</v>
      </c>
      <c r="AB49" s="69">
        <v>1.4E-3</v>
      </c>
      <c r="AC49" s="1">
        <v>0.94410000000000005</v>
      </c>
      <c r="AD49" s="1">
        <v>0.92069999999999996</v>
      </c>
      <c r="AE49" s="1">
        <v>0.30570000000000003</v>
      </c>
      <c r="AF49" s="69">
        <v>2.7350000000000001E-5</v>
      </c>
      <c r="AG49" s="69">
        <v>3.718E-5</v>
      </c>
      <c r="AH49" s="69">
        <v>4.0000000000000002E-4</v>
      </c>
      <c r="AI49" s="1">
        <v>0.17219999999999999</v>
      </c>
      <c r="AJ49" s="1">
        <v>0.1827</v>
      </c>
      <c r="AK49" s="1">
        <v>0.92759999999999998</v>
      </c>
    </row>
    <row r="50" spans="1:37" ht="13.9" customHeight="1" x14ac:dyDescent="0.25">
      <c r="A50" s="5"/>
      <c r="B50" s="236">
        <f t="shared" si="0"/>
        <v>38</v>
      </c>
      <c r="C50" s="236"/>
      <c r="D50" s="289">
        <f t="shared" si="1"/>
        <v>0.123</v>
      </c>
      <c r="E50" s="289"/>
      <c r="F50" s="289">
        <f t="shared" si="2"/>
        <v>0</v>
      </c>
      <c r="G50" s="289"/>
      <c r="H50" s="289">
        <f t="shared" si="3"/>
        <v>0</v>
      </c>
      <c r="I50" s="289"/>
      <c r="J50" s="289">
        <f t="shared" si="4"/>
        <v>5.7000000000000002E-3</v>
      </c>
      <c r="K50" s="289"/>
      <c r="L50" s="289">
        <f t="shared" si="5"/>
        <v>0.94410000000000005</v>
      </c>
      <c r="M50" s="289"/>
      <c r="N50" s="289">
        <f t="shared" si="6"/>
        <v>0.92069999999999996</v>
      </c>
      <c r="O50" s="289"/>
      <c r="P50" s="289">
        <f t="shared" si="7"/>
        <v>0.31140000000000001</v>
      </c>
      <c r="Q50" s="289"/>
      <c r="U50" s="7"/>
      <c r="W50" s="1" t="s">
        <v>84</v>
      </c>
      <c r="X50" s="1">
        <v>38</v>
      </c>
      <c r="Y50" s="1">
        <v>0.123</v>
      </c>
      <c r="Z50" s="69">
        <v>0</v>
      </c>
      <c r="AA50" s="69">
        <v>0</v>
      </c>
      <c r="AB50" s="69">
        <v>5.7000000000000002E-3</v>
      </c>
      <c r="AC50" s="1">
        <v>0.94410000000000005</v>
      </c>
      <c r="AD50" s="1">
        <v>0.92069999999999996</v>
      </c>
      <c r="AE50" s="1">
        <v>0.31140000000000001</v>
      </c>
      <c r="AF50" s="69">
        <v>1.203E-6</v>
      </c>
      <c r="AG50" s="69">
        <v>5.9999999999999995E-4</v>
      </c>
      <c r="AH50" s="69">
        <v>2.419E-5</v>
      </c>
      <c r="AI50" s="1">
        <v>0.17219999999999999</v>
      </c>
      <c r="AJ50" s="1">
        <v>0.18329999999999999</v>
      </c>
      <c r="AK50" s="1">
        <v>0.92759999999999998</v>
      </c>
    </row>
    <row r="51" spans="1:37" ht="13.9" customHeight="1" x14ac:dyDescent="0.25">
      <c r="A51" s="5"/>
      <c r="B51" s="236">
        <f t="shared" si="0"/>
        <v>39</v>
      </c>
      <c r="C51" s="236"/>
      <c r="D51" s="289">
        <f t="shared" si="1"/>
        <v>0.123</v>
      </c>
      <c r="E51" s="289"/>
      <c r="F51" s="289">
        <f t="shared" si="2"/>
        <v>8.7180000000000002E-6</v>
      </c>
      <c r="G51" s="289"/>
      <c r="H51" s="289">
        <f t="shared" si="3"/>
        <v>0</v>
      </c>
      <c r="I51" s="289"/>
      <c r="J51" s="289">
        <f t="shared" si="4"/>
        <v>1.6000000000000001E-3</v>
      </c>
      <c r="K51" s="289"/>
      <c r="L51" s="289">
        <f t="shared" si="5"/>
        <v>0.94410000000000005</v>
      </c>
      <c r="M51" s="289"/>
      <c r="N51" s="289">
        <f t="shared" si="6"/>
        <v>0.92069999999999996</v>
      </c>
      <c r="O51" s="289"/>
      <c r="P51" s="289">
        <f t="shared" si="7"/>
        <v>0.313</v>
      </c>
      <c r="Q51" s="289"/>
      <c r="U51" s="7"/>
      <c r="W51" s="1" t="s">
        <v>84</v>
      </c>
      <c r="X51" s="1">
        <v>39</v>
      </c>
      <c r="Y51" s="1">
        <v>0.123</v>
      </c>
      <c r="Z51" s="69">
        <v>8.7180000000000002E-6</v>
      </c>
      <c r="AA51" s="69">
        <v>0</v>
      </c>
      <c r="AB51" s="69">
        <v>1.6000000000000001E-3</v>
      </c>
      <c r="AC51" s="1">
        <v>0.94410000000000005</v>
      </c>
      <c r="AD51" s="1">
        <v>0.92069999999999996</v>
      </c>
      <c r="AE51" s="1">
        <v>0.313</v>
      </c>
      <c r="AF51" s="69">
        <v>1.328E-5</v>
      </c>
      <c r="AG51" s="69">
        <v>8.0000000000000004E-4</v>
      </c>
      <c r="AH51" s="69">
        <v>0</v>
      </c>
      <c r="AI51" s="1">
        <v>0.17219999999999999</v>
      </c>
      <c r="AJ51" s="1">
        <v>0.1842</v>
      </c>
      <c r="AK51" s="1">
        <v>0.92759999999999998</v>
      </c>
    </row>
    <row r="52" spans="1:37" ht="13.9" customHeight="1" x14ac:dyDescent="0.25">
      <c r="A52" s="5"/>
      <c r="B52" s="236">
        <f t="shared" si="0"/>
        <v>40</v>
      </c>
      <c r="C52" s="236"/>
      <c r="D52" s="289">
        <f t="shared" si="1"/>
        <v>0.123</v>
      </c>
      <c r="E52" s="289"/>
      <c r="F52" s="289">
        <f t="shared" si="2"/>
        <v>0</v>
      </c>
      <c r="G52" s="289"/>
      <c r="H52" s="289">
        <f t="shared" si="3"/>
        <v>0</v>
      </c>
      <c r="I52" s="289"/>
      <c r="J52" s="289">
        <f t="shared" si="4"/>
        <v>2.0740000000000001E-5</v>
      </c>
      <c r="K52" s="289"/>
      <c r="L52" s="289">
        <f t="shared" si="5"/>
        <v>0.94410000000000005</v>
      </c>
      <c r="M52" s="289"/>
      <c r="N52" s="289">
        <f t="shared" si="6"/>
        <v>0.92069999999999996</v>
      </c>
      <c r="O52" s="289"/>
      <c r="P52" s="289">
        <f t="shared" si="7"/>
        <v>0.313</v>
      </c>
      <c r="Q52" s="289"/>
      <c r="U52" s="7"/>
      <c r="W52" s="1" t="s">
        <v>84</v>
      </c>
      <c r="X52" s="1">
        <v>40</v>
      </c>
      <c r="Y52" s="1">
        <v>0.123</v>
      </c>
      <c r="Z52" s="69">
        <v>0</v>
      </c>
      <c r="AA52" s="69">
        <v>0</v>
      </c>
      <c r="AB52" s="69">
        <v>2.0740000000000001E-5</v>
      </c>
      <c r="AC52" s="1">
        <v>0.94410000000000005</v>
      </c>
      <c r="AD52" s="1">
        <v>0.92069999999999996</v>
      </c>
      <c r="AE52" s="1">
        <v>0.313</v>
      </c>
      <c r="AF52" s="69">
        <v>1E-3</v>
      </c>
      <c r="AG52" s="69">
        <v>1.364E-6</v>
      </c>
      <c r="AH52" s="69">
        <v>0</v>
      </c>
      <c r="AI52" s="1">
        <v>0.17319999999999999</v>
      </c>
      <c r="AJ52" s="1">
        <v>0.1842</v>
      </c>
      <c r="AK52" s="1">
        <v>0.92759999999999998</v>
      </c>
    </row>
    <row r="53" spans="1:37" ht="13.9" customHeight="1" x14ac:dyDescent="0.25">
      <c r="A53" s="5"/>
      <c r="B53" s="236">
        <f t="shared" si="0"/>
        <v>41</v>
      </c>
      <c r="C53" s="236"/>
      <c r="D53" s="289">
        <f t="shared" si="1"/>
        <v>0.122</v>
      </c>
      <c r="E53" s="289"/>
      <c r="F53" s="289">
        <f t="shared" si="2"/>
        <v>6.5710000000000003E-6</v>
      </c>
      <c r="G53" s="289"/>
      <c r="H53" s="289">
        <f t="shared" si="3"/>
        <v>0</v>
      </c>
      <c r="I53" s="289"/>
      <c r="J53" s="289">
        <f t="shared" si="4"/>
        <v>1.1000000000000001E-3</v>
      </c>
      <c r="K53" s="289"/>
      <c r="L53" s="289">
        <f t="shared" si="5"/>
        <v>0.94410000000000005</v>
      </c>
      <c r="M53" s="289"/>
      <c r="N53" s="289">
        <f t="shared" si="6"/>
        <v>0.92069999999999996</v>
      </c>
      <c r="O53" s="289"/>
      <c r="P53" s="289">
        <f t="shared" si="7"/>
        <v>0.31419999999999998</v>
      </c>
      <c r="Q53" s="289"/>
      <c r="U53" s="7"/>
      <c r="W53" s="1" t="s">
        <v>84</v>
      </c>
      <c r="X53" s="1">
        <v>41</v>
      </c>
      <c r="Y53" s="1">
        <v>0.122</v>
      </c>
      <c r="Z53" s="69">
        <v>6.5710000000000003E-6</v>
      </c>
      <c r="AA53" s="69">
        <v>0</v>
      </c>
      <c r="AB53" s="69">
        <v>1.1000000000000001E-3</v>
      </c>
      <c r="AC53" s="1">
        <v>0.94410000000000005</v>
      </c>
      <c r="AD53" s="1">
        <v>0.92069999999999996</v>
      </c>
      <c r="AE53" s="1">
        <v>0.31419999999999998</v>
      </c>
      <c r="AF53" s="69">
        <v>8.1429999999999998E-6</v>
      </c>
      <c r="AG53" s="69">
        <v>5.9999999999999995E-4</v>
      </c>
      <c r="AH53" s="69">
        <v>0</v>
      </c>
      <c r="AI53" s="1">
        <v>0.17330000000000001</v>
      </c>
      <c r="AJ53" s="1">
        <v>0.18479999999999999</v>
      </c>
      <c r="AK53" s="1">
        <v>0.92759999999999998</v>
      </c>
    </row>
    <row r="54" spans="1:37" ht="13.9" customHeight="1" x14ac:dyDescent="0.25">
      <c r="A54" s="5"/>
      <c r="B54" s="236">
        <f t="shared" si="0"/>
        <v>42</v>
      </c>
      <c r="C54" s="236"/>
      <c r="D54" s="289">
        <f t="shared" si="1"/>
        <v>0.122</v>
      </c>
      <c r="E54" s="289"/>
      <c r="F54" s="289">
        <f t="shared" si="2"/>
        <v>0</v>
      </c>
      <c r="G54" s="289"/>
      <c r="H54" s="289">
        <f t="shared" si="3"/>
        <v>0</v>
      </c>
      <c r="I54" s="289"/>
      <c r="J54" s="289">
        <f t="shared" si="4"/>
        <v>1E-4</v>
      </c>
      <c r="K54" s="289"/>
      <c r="L54" s="289">
        <f t="shared" si="5"/>
        <v>0.94410000000000005</v>
      </c>
      <c r="M54" s="289"/>
      <c r="N54" s="289">
        <f t="shared" si="6"/>
        <v>0.92069999999999996</v>
      </c>
      <c r="O54" s="289"/>
      <c r="P54" s="289">
        <f t="shared" si="7"/>
        <v>0.31419999999999998</v>
      </c>
      <c r="Q54" s="289"/>
      <c r="U54" s="7"/>
      <c r="W54" s="1" t="s">
        <v>84</v>
      </c>
      <c r="X54" s="1">
        <v>42</v>
      </c>
      <c r="Y54" s="1">
        <v>0.122</v>
      </c>
      <c r="Z54" s="69">
        <v>0</v>
      </c>
      <c r="AA54" s="69">
        <v>0</v>
      </c>
      <c r="AB54" s="69">
        <v>1E-4</v>
      </c>
      <c r="AC54" s="1">
        <v>0.94410000000000005</v>
      </c>
      <c r="AD54" s="1">
        <v>0.92069999999999996</v>
      </c>
      <c r="AE54" s="1">
        <v>0.31419999999999998</v>
      </c>
      <c r="AF54" s="69">
        <v>5.9999999999999995E-4</v>
      </c>
      <c r="AG54" s="69">
        <v>0</v>
      </c>
      <c r="AH54" s="69">
        <v>0</v>
      </c>
      <c r="AI54" s="1">
        <v>0.1739</v>
      </c>
      <c r="AJ54" s="1">
        <v>0.18479999999999999</v>
      </c>
      <c r="AK54" s="1">
        <v>0.92759999999999998</v>
      </c>
    </row>
    <row r="55" spans="1:37" ht="13.9" customHeight="1" x14ac:dyDescent="0.25">
      <c r="A55" s="5"/>
      <c r="B55" s="236">
        <f t="shared" si="0"/>
        <v>43</v>
      </c>
      <c r="C55" s="236"/>
      <c r="D55" s="289">
        <f t="shared" si="1"/>
        <v>0.122</v>
      </c>
      <c r="E55" s="289"/>
      <c r="F55" s="289">
        <f t="shared" si="2"/>
        <v>0</v>
      </c>
      <c r="G55" s="289"/>
      <c r="H55" s="289">
        <f t="shared" si="3"/>
        <v>0</v>
      </c>
      <c r="I55" s="289"/>
      <c r="J55" s="289">
        <f t="shared" si="4"/>
        <v>5.0119999999999996E-6</v>
      </c>
      <c r="K55" s="289"/>
      <c r="L55" s="289">
        <f t="shared" si="5"/>
        <v>0.94410000000000005</v>
      </c>
      <c r="M55" s="289"/>
      <c r="N55" s="289">
        <f t="shared" si="6"/>
        <v>0.92069999999999996</v>
      </c>
      <c r="O55" s="289"/>
      <c r="P55" s="289">
        <f t="shared" si="7"/>
        <v>0.31419999999999998</v>
      </c>
      <c r="Q55" s="289"/>
      <c r="U55" s="7"/>
      <c r="W55" s="1" t="s">
        <v>84</v>
      </c>
      <c r="X55" s="1">
        <v>43</v>
      </c>
      <c r="Y55" s="1">
        <v>0.122</v>
      </c>
      <c r="Z55" s="69">
        <v>0</v>
      </c>
      <c r="AA55" s="69">
        <v>0</v>
      </c>
      <c r="AB55" s="69">
        <v>5.0119999999999996E-6</v>
      </c>
      <c r="AC55" s="1">
        <v>0.94410000000000005</v>
      </c>
      <c r="AD55" s="1">
        <v>0.92069999999999996</v>
      </c>
      <c r="AE55" s="1">
        <v>0.31419999999999998</v>
      </c>
      <c r="AF55" s="69">
        <v>4.0000000000000002E-4</v>
      </c>
      <c r="AG55" s="69">
        <v>3.6339999999999999E-6</v>
      </c>
      <c r="AH55" s="69">
        <v>9.7540000000000001E-6</v>
      </c>
      <c r="AI55" s="1">
        <v>0.17419999999999999</v>
      </c>
      <c r="AJ55" s="1">
        <v>0.18479999999999999</v>
      </c>
      <c r="AK55" s="1">
        <v>0.92769999999999997</v>
      </c>
    </row>
    <row r="56" spans="1:37" ht="13.9" customHeight="1" x14ac:dyDescent="0.25">
      <c r="A56" s="5"/>
      <c r="B56" s="236">
        <f t="shared" si="0"/>
        <v>44</v>
      </c>
      <c r="C56" s="236"/>
      <c r="D56" s="289">
        <f t="shared" si="1"/>
        <v>0.122</v>
      </c>
      <c r="E56" s="289"/>
      <c r="F56" s="289">
        <f t="shared" si="2"/>
        <v>0</v>
      </c>
      <c r="G56" s="289"/>
      <c r="H56" s="289">
        <f t="shared" si="3"/>
        <v>0</v>
      </c>
      <c r="I56" s="289"/>
      <c r="J56" s="289">
        <f t="shared" si="4"/>
        <v>1.658E-5</v>
      </c>
      <c r="K56" s="289"/>
      <c r="L56" s="289">
        <f t="shared" si="5"/>
        <v>0.94410000000000005</v>
      </c>
      <c r="M56" s="289"/>
      <c r="N56" s="289">
        <f t="shared" si="6"/>
        <v>0.92069999999999996</v>
      </c>
      <c r="O56" s="289"/>
      <c r="P56" s="289">
        <f t="shared" si="7"/>
        <v>0.31419999999999998</v>
      </c>
      <c r="Q56" s="289"/>
      <c r="U56" s="7"/>
      <c r="W56" s="1" t="s">
        <v>84</v>
      </c>
      <c r="X56" s="1">
        <v>44</v>
      </c>
      <c r="Y56" s="1">
        <v>0.122</v>
      </c>
      <c r="Z56" s="69">
        <v>0</v>
      </c>
      <c r="AA56" s="69">
        <v>0</v>
      </c>
      <c r="AB56" s="69">
        <v>1.658E-5</v>
      </c>
      <c r="AC56" s="1">
        <v>0.94410000000000005</v>
      </c>
      <c r="AD56" s="1">
        <v>0.92069999999999996</v>
      </c>
      <c r="AE56" s="1">
        <v>0.31419999999999998</v>
      </c>
      <c r="AF56" s="69">
        <v>2.2000000000000001E-3</v>
      </c>
      <c r="AG56" s="69">
        <v>2.8649999999999998E-5</v>
      </c>
      <c r="AH56" s="69">
        <v>3.6880000000000001E-6</v>
      </c>
      <c r="AI56" s="1">
        <v>0.1764</v>
      </c>
      <c r="AJ56" s="1">
        <v>0.18479999999999999</v>
      </c>
      <c r="AK56" s="1">
        <v>0.92769999999999997</v>
      </c>
    </row>
    <row r="57" spans="1:37" ht="13.9" customHeight="1" x14ac:dyDescent="0.25">
      <c r="A57" s="5"/>
      <c r="B57" s="236">
        <f t="shared" si="0"/>
        <v>45</v>
      </c>
      <c r="C57" s="236"/>
      <c r="D57" s="289">
        <f t="shared" si="1"/>
        <v>0.122</v>
      </c>
      <c r="E57" s="289"/>
      <c r="F57" s="289">
        <f t="shared" si="2"/>
        <v>0</v>
      </c>
      <c r="G57" s="289"/>
      <c r="H57" s="289">
        <f t="shared" si="3"/>
        <v>0</v>
      </c>
      <c r="I57" s="289"/>
      <c r="J57" s="289">
        <f t="shared" si="4"/>
        <v>1E-4</v>
      </c>
      <c r="K57" s="289"/>
      <c r="L57" s="289">
        <f t="shared" si="5"/>
        <v>0.94410000000000005</v>
      </c>
      <c r="M57" s="289"/>
      <c r="N57" s="289">
        <f t="shared" si="6"/>
        <v>0.92069999999999996</v>
      </c>
      <c r="O57" s="289"/>
      <c r="P57" s="289">
        <f t="shared" si="7"/>
        <v>0.31440000000000001</v>
      </c>
      <c r="Q57" s="289"/>
      <c r="U57" s="7"/>
      <c r="W57" s="1" t="s">
        <v>84</v>
      </c>
      <c r="X57" s="1">
        <v>45</v>
      </c>
      <c r="Y57" s="1">
        <v>0.122</v>
      </c>
      <c r="Z57" s="69">
        <v>0</v>
      </c>
      <c r="AA57" s="69">
        <v>0</v>
      </c>
      <c r="AB57" s="69">
        <v>1E-4</v>
      </c>
      <c r="AC57" s="1">
        <v>0.94410000000000005</v>
      </c>
      <c r="AD57" s="1">
        <v>0.92069999999999996</v>
      </c>
      <c r="AE57" s="1">
        <v>0.31440000000000001</v>
      </c>
      <c r="AF57" s="69">
        <v>2E-3</v>
      </c>
      <c r="AG57" s="69">
        <v>1.524E-5</v>
      </c>
      <c r="AH57" s="69">
        <v>2.0619999999999999E-6</v>
      </c>
      <c r="AI57" s="1">
        <v>0.1784</v>
      </c>
      <c r="AJ57" s="1">
        <v>0.18479999999999999</v>
      </c>
      <c r="AK57" s="1">
        <v>0.92769999999999997</v>
      </c>
    </row>
    <row r="58" spans="1:37" ht="13.9" customHeight="1" x14ac:dyDescent="0.25">
      <c r="A58" s="5"/>
      <c r="B58" s="236">
        <f t="shared" si="0"/>
        <v>46</v>
      </c>
      <c r="C58" s="236"/>
      <c r="D58" s="289">
        <f t="shared" si="1"/>
        <v>0.122</v>
      </c>
      <c r="E58" s="289"/>
      <c r="F58" s="289">
        <f t="shared" si="2"/>
        <v>1.137E-5</v>
      </c>
      <c r="G58" s="289"/>
      <c r="H58" s="289">
        <f t="shared" si="3"/>
        <v>0</v>
      </c>
      <c r="I58" s="289"/>
      <c r="J58" s="289">
        <f t="shared" si="4"/>
        <v>1E-4</v>
      </c>
      <c r="K58" s="289"/>
      <c r="L58" s="289">
        <f t="shared" si="5"/>
        <v>0.94410000000000005</v>
      </c>
      <c r="M58" s="289"/>
      <c r="N58" s="289">
        <f t="shared" si="6"/>
        <v>0.92069999999999996</v>
      </c>
      <c r="O58" s="289"/>
      <c r="P58" s="289">
        <f t="shared" si="7"/>
        <v>0.3145</v>
      </c>
      <c r="Q58" s="289"/>
      <c r="U58" s="7"/>
      <c r="W58" s="1" t="s">
        <v>84</v>
      </c>
      <c r="X58" s="1">
        <v>46</v>
      </c>
      <c r="Y58" s="1">
        <v>0.122</v>
      </c>
      <c r="Z58" s="69">
        <v>1.137E-5</v>
      </c>
      <c r="AA58" s="69">
        <v>0</v>
      </c>
      <c r="AB58" s="69">
        <v>1E-4</v>
      </c>
      <c r="AC58" s="1">
        <v>0.94410000000000005</v>
      </c>
      <c r="AD58" s="1">
        <v>0.92069999999999996</v>
      </c>
      <c r="AE58" s="1">
        <v>0.3145</v>
      </c>
      <c r="AF58" s="69">
        <v>5.0000000000000001E-4</v>
      </c>
      <c r="AG58" s="69">
        <v>0</v>
      </c>
      <c r="AH58" s="69">
        <v>0</v>
      </c>
      <c r="AI58" s="1">
        <v>0.1789</v>
      </c>
      <c r="AJ58" s="1">
        <v>0.18479999999999999</v>
      </c>
      <c r="AK58" s="1">
        <v>0.92769999999999997</v>
      </c>
    </row>
    <row r="59" spans="1:37" ht="13.9" customHeight="1" x14ac:dyDescent="0.25">
      <c r="A59" s="5"/>
      <c r="B59" s="236">
        <f t="shared" si="0"/>
        <v>47</v>
      </c>
      <c r="C59" s="236"/>
      <c r="D59" s="289">
        <f t="shared" si="1"/>
        <v>0.122</v>
      </c>
      <c r="E59" s="289"/>
      <c r="F59" s="289">
        <f t="shared" si="2"/>
        <v>6.9099999999999999E-6</v>
      </c>
      <c r="G59" s="289"/>
      <c r="H59" s="289">
        <f t="shared" si="3"/>
        <v>0</v>
      </c>
      <c r="I59" s="289"/>
      <c r="J59" s="289">
        <f t="shared" si="4"/>
        <v>2.0000000000000001E-4</v>
      </c>
      <c r="K59" s="289"/>
      <c r="L59" s="289">
        <f t="shared" si="5"/>
        <v>0.94410000000000005</v>
      </c>
      <c r="M59" s="289"/>
      <c r="N59" s="289">
        <f t="shared" si="6"/>
        <v>0.92069999999999996</v>
      </c>
      <c r="O59" s="289"/>
      <c r="P59" s="289">
        <f t="shared" si="7"/>
        <v>0.31469999999999998</v>
      </c>
      <c r="Q59" s="289"/>
      <c r="U59" s="7"/>
      <c r="W59" s="1" t="s">
        <v>84</v>
      </c>
      <c r="X59" s="1">
        <v>47</v>
      </c>
      <c r="Y59" s="1">
        <v>0.122</v>
      </c>
      <c r="Z59" s="69">
        <v>6.9099999999999999E-6</v>
      </c>
      <c r="AA59" s="69">
        <v>0</v>
      </c>
      <c r="AB59" s="69">
        <v>2.0000000000000001E-4</v>
      </c>
      <c r="AC59" s="1">
        <v>0.94410000000000005</v>
      </c>
      <c r="AD59" s="1">
        <v>0.92069999999999996</v>
      </c>
      <c r="AE59" s="1">
        <v>0.31469999999999998</v>
      </c>
      <c r="AF59" s="69">
        <v>2.321E-5</v>
      </c>
      <c r="AG59" s="69">
        <v>2.8010000000000001E-5</v>
      </c>
      <c r="AH59" s="69">
        <v>8.1679999999999996E-7</v>
      </c>
      <c r="AI59" s="1">
        <v>0.17899999999999999</v>
      </c>
      <c r="AJ59" s="1">
        <v>0.18490000000000001</v>
      </c>
      <c r="AK59" s="1">
        <v>0.92769999999999997</v>
      </c>
    </row>
    <row r="60" spans="1:37" ht="13.9" customHeight="1" x14ac:dyDescent="0.25">
      <c r="A60" s="5"/>
      <c r="B60" s="236">
        <f t="shared" si="0"/>
        <v>48</v>
      </c>
      <c r="C60" s="236"/>
      <c r="D60" s="289">
        <f t="shared" si="1"/>
        <v>0.122</v>
      </c>
      <c r="E60" s="289"/>
      <c r="F60" s="289">
        <f t="shared" si="2"/>
        <v>1E-4</v>
      </c>
      <c r="G60" s="289"/>
      <c r="H60" s="289">
        <f t="shared" si="3"/>
        <v>0</v>
      </c>
      <c r="I60" s="289"/>
      <c r="J60" s="289">
        <f t="shared" si="4"/>
        <v>1E-4</v>
      </c>
      <c r="K60" s="289"/>
      <c r="L60" s="289">
        <f t="shared" si="5"/>
        <v>0.94420000000000004</v>
      </c>
      <c r="M60" s="289"/>
      <c r="N60" s="289">
        <f t="shared" si="6"/>
        <v>0.92069999999999996</v>
      </c>
      <c r="O60" s="289"/>
      <c r="P60" s="289">
        <f t="shared" si="7"/>
        <v>0.31469999999999998</v>
      </c>
      <c r="Q60" s="289"/>
      <c r="U60" s="7"/>
      <c r="W60" s="1" t="s">
        <v>84</v>
      </c>
      <c r="X60" s="1">
        <v>48</v>
      </c>
      <c r="Y60" s="1">
        <v>0.122</v>
      </c>
      <c r="Z60" s="69">
        <v>1E-4</v>
      </c>
      <c r="AA60" s="69">
        <v>0</v>
      </c>
      <c r="AB60" s="69">
        <v>1E-4</v>
      </c>
      <c r="AC60" s="1">
        <v>0.94420000000000004</v>
      </c>
      <c r="AD60" s="1">
        <v>0.92069999999999996</v>
      </c>
      <c r="AE60" s="1">
        <v>0.31469999999999998</v>
      </c>
      <c r="AF60" s="69">
        <v>9.2E-6</v>
      </c>
      <c r="AG60" s="69">
        <v>1E-4</v>
      </c>
      <c r="AH60" s="69">
        <v>2.559E-6</v>
      </c>
      <c r="AI60" s="1">
        <v>0.17899999999999999</v>
      </c>
      <c r="AJ60" s="1">
        <v>0.18490000000000001</v>
      </c>
      <c r="AK60" s="1">
        <v>0.92769999999999997</v>
      </c>
    </row>
    <row r="61" spans="1:37" ht="13.9" customHeight="1" x14ac:dyDescent="0.25">
      <c r="A61" s="5"/>
      <c r="B61" s="236">
        <f t="shared" si="0"/>
        <v>49</v>
      </c>
      <c r="C61" s="236"/>
      <c r="D61" s="289">
        <f t="shared" si="1"/>
        <v>0.122</v>
      </c>
      <c r="E61" s="289"/>
      <c r="F61" s="289">
        <f t="shared" si="2"/>
        <v>1.443E-6</v>
      </c>
      <c r="G61" s="289"/>
      <c r="H61" s="289">
        <f t="shared" si="3"/>
        <v>0</v>
      </c>
      <c r="I61" s="289"/>
      <c r="J61" s="289">
        <f t="shared" si="4"/>
        <v>8.0000000000000004E-4</v>
      </c>
      <c r="K61" s="289"/>
      <c r="L61" s="289">
        <f t="shared" si="5"/>
        <v>0.94420000000000004</v>
      </c>
      <c r="M61" s="289"/>
      <c r="N61" s="289">
        <f t="shared" si="6"/>
        <v>0.92069999999999996</v>
      </c>
      <c r="O61" s="289"/>
      <c r="P61" s="289">
        <f t="shared" si="7"/>
        <v>0.3155</v>
      </c>
      <c r="Q61" s="289"/>
      <c r="U61" s="7"/>
      <c r="W61" s="1" t="s">
        <v>84</v>
      </c>
      <c r="X61" s="1">
        <v>49</v>
      </c>
      <c r="Y61" s="1">
        <v>0.122</v>
      </c>
      <c r="Z61" s="69">
        <v>1.443E-6</v>
      </c>
      <c r="AA61" s="69">
        <v>0</v>
      </c>
      <c r="AB61" s="69">
        <v>8.0000000000000004E-4</v>
      </c>
      <c r="AC61" s="1">
        <v>0.94420000000000004</v>
      </c>
      <c r="AD61" s="1">
        <v>0.92069999999999996</v>
      </c>
      <c r="AE61" s="1">
        <v>0.3155</v>
      </c>
      <c r="AF61" s="69">
        <v>2.0000000000000001E-4</v>
      </c>
      <c r="AG61" s="69">
        <v>1.8309999999999999E-6</v>
      </c>
      <c r="AH61" s="69">
        <v>0</v>
      </c>
      <c r="AI61" s="1">
        <v>0.1792</v>
      </c>
      <c r="AJ61" s="1">
        <v>0.18490000000000001</v>
      </c>
      <c r="AK61" s="1">
        <v>0.92769999999999997</v>
      </c>
    </row>
    <row r="62" spans="1:37" ht="13.9" customHeight="1" x14ac:dyDescent="0.25">
      <c r="A62" s="5"/>
      <c r="B62" s="236">
        <f t="shared" si="0"/>
        <v>50</v>
      </c>
      <c r="C62" s="236"/>
      <c r="D62" s="289">
        <f t="shared" si="1"/>
        <v>0.122</v>
      </c>
      <c r="E62" s="289"/>
      <c r="F62" s="289">
        <f t="shared" si="2"/>
        <v>1.6779999999999999E-5</v>
      </c>
      <c r="G62" s="289"/>
      <c r="H62" s="289">
        <f t="shared" si="3"/>
        <v>0</v>
      </c>
      <c r="I62" s="289"/>
      <c r="J62" s="289">
        <f t="shared" si="4"/>
        <v>1.5E-3</v>
      </c>
      <c r="K62" s="289"/>
      <c r="L62" s="289">
        <f t="shared" si="5"/>
        <v>0.94430000000000003</v>
      </c>
      <c r="M62" s="289"/>
      <c r="N62" s="289">
        <f t="shared" si="6"/>
        <v>0.92069999999999996</v>
      </c>
      <c r="O62" s="289"/>
      <c r="P62" s="289">
        <f t="shared" si="7"/>
        <v>0.317</v>
      </c>
      <c r="Q62" s="289"/>
      <c r="U62" s="7"/>
      <c r="W62" s="1" t="s">
        <v>84</v>
      </c>
      <c r="X62" s="1">
        <v>50</v>
      </c>
      <c r="Y62" s="1">
        <v>0.122</v>
      </c>
      <c r="Z62" s="69">
        <v>1.6779999999999999E-5</v>
      </c>
      <c r="AA62" s="69">
        <v>0</v>
      </c>
      <c r="AB62" s="69">
        <v>1.5E-3</v>
      </c>
      <c r="AC62" s="1">
        <v>0.94430000000000003</v>
      </c>
      <c r="AD62" s="1">
        <v>0.92069999999999996</v>
      </c>
      <c r="AE62" s="1">
        <v>0.317</v>
      </c>
      <c r="AF62" s="69">
        <v>1E-4</v>
      </c>
      <c r="AG62" s="69">
        <v>4.7000000000000002E-3</v>
      </c>
      <c r="AH62" s="69">
        <v>0</v>
      </c>
      <c r="AI62" s="1">
        <v>0.1792</v>
      </c>
      <c r="AJ62" s="1">
        <v>0.18959999999999999</v>
      </c>
      <c r="AK62" s="1">
        <v>0.92769999999999997</v>
      </c>
    </row>
    <row r="63" spans="1:37" ht="13.9" customHeight="1" x14ac:dyDescent="0.25">
      <c r="A63" s="5"/>
      <c r="B63" s="236">
        <f t="shared" ref="B63:B64" si="8">X63</f>
        <v>51</v>
      </c>
      <c r="C63" s="236"/>
      <c r="D63" s="289">
        <f t="shared" si="1"/>
        <v>0.122</v>
      </c>
      <c r="E63" s="289"/>
      <c r="F63" s="289">
        <f t="shared" si="2"/>
        <v>6.1140000000000002E-6</v>
      </c>
      <c r="G63" s="289"/>
      <c r="H63" s="289">
        <f t="shared" si="3"/>
        <v>0</v>
      </c>
      <c r="I63" s="289"/>
      <c r="J63" s="289">
        <f t="shared" si="4"/>
        <v>2.3999999999999998E-3</v>
      </c>
      <c r="K63" s="289"/>
      <c r="L63" s="289">
        <f t="shared" si="5"/>
        <v>0.94430000000000003</v>
      </c>
      <c r="M63" s="289"/>
      <c r="N63" s="289">
        <f t="shared" si="6"/>
        <v>0.92069999999999996</v>
      </c>
      <c r="O63" s="289"/>
      <c r="P63" s="289">
        <f t="shared" si="7"/>
        <v>0.31940000000000002</v>
      </c>
      <c r="Q63" s="289"/>
      <c r="U63" s="7"/>
      <c r="W63" s="1" t="s">
        <v>84</v>
      </c>
      <c r="X63" s="1">
        <v>51</v>
      </c>
      <c r="Y63" s="1">
        <v>0.122</v>
      </c>
      <c r="Z63" s="69">
        <v>6.1140000000000002E-6</v>
      </c>
      <c r="AA63" s="69">
        <v>0</v>
      </c>
      <c r="AB63" s="69">
        <v>2.3999999999999998E-3</v>
      </c>
      <c r="AC63" s="1">
        <v>0.94430000000000003</v>
      </c>
      <c r="AD63" s="1">
        <v>0.92069999999999996</v>
      </c>
      <c r="AE63" s="1">
        <v>0.31940000000000002</v>
      </c>
      <c r="AF63" s="69">
        <v>1E-4</v>
      </c>
      <c r="AG63" s="69">
        <v>2E-3</v>
      </c>
      <c r="AH63" s="69">
        <v>2.3190000000000002E-6</v>
      </c>
      <c r="AI63" s="1">
        <v>0.17929999999999999</v>
      </c>
      <c r="AJ63" s="1">
        <v>0.19159999999999999</v>
      </c>
      <c r="AK63" s="1">
        <v>0.92769999999999997</v>
      </c>
    </row>
    <row r="64" spans="1:37" ht="13.9" customHeight="1" x14ac:dyDescent="0.25">
      <c r="A64" s="5"/>
      <c r="B64" s="236">
        <f t="shared" si="8"/>
        <v>52</v>
      </c>
      <c r="C64" s="236"/>
      <c r="D64" s="289">
        <f t="shared" si="1"/>
        <v>0.122</v>
      </c>
      <c r="E64" s="289"/>
      <c r="F64" s="289">
        <f t="shared" si="2"/>
        <v>3.2660000000000002E-5</v>
      </c>
      <c r="G64" s="289"/>
      <c r="H64" s="289">
        <f t="shared" si="3"/>
        <v>0</v>
      </c>
      <c r="I64" s="289"/>
      <c r="J64" s="289">
        <f t="shared" si="4"/>
        <v>5.434E-6</v>
      </c>
      <c r="K64" s="289"/>
      <c r="L64" s="289">
        <f t="shared" si="5"/>
        <v>0.94430000000000003</v>
      </c>
      <c r="M64" s="289"/>
      <c r="N64" s="289">
        <f t="shared" si="6"/>
        <v>0.92069999999999996</v>
      </c>
      <c r="O64" s="289"/>
      <c r="P64" s="289">
        <f t="shared" si="7"/>
        <v>0.31940000000000002</v>
      </c>
      <c r="Q64" s="289"/>
      <c r="U64" s="7"/>
      <c r="W64" s="1" t="s">
        <v>84</v>
      </c>
      <c r="X64" s="1">
        <v>52</v>
      </c>
      <c r="Y64" s="1">
        <v>0.122</v>
      </c>
      <c r="Z64" s="69">
        <v>3.2660000000000002E-5</v>
      </c>
      <c r="AA64" s="69">
        <v>0</v>
      </c>
      <c r="AB64" s="69">
        <v>5.434E-6</v>
      </c>
      <c r="AC64" s="1">
        <v>0.94430000000000003</v>
      </c>
      <c r="AD64" s="1">
        <v>0.92069999999999996</v>
      </c>
      <c r="AE64" s="1">
        <v>0.31940000000000002</v>
      </c>
      <c r="AF64" s="69">
        <v>1E-4</v>
      </c>
      <c r="AG64" s="69">
        <v>1E-4</v>
      </c>
      <c r="AH64" s="69">
        <v>3.5599999999999998E-5</v>
      </c>
      <c r="AI64" s="1">
        <v>0.1794</v>
      </c>
      <c r="AJ64" s="1">
        <v>0.19170000000000001</v>
      </c>
      <c r="AK64" s="1">
        <v>0.92769999999999997</v>
      </c>
    </row>
    <row r="65" spans="1:37" x14ac:dyDescent="0.25">
      <c r="A65" s="9"/>
      <c r="B65" s="10"/>
      <c r="C65" s="10"/>
      <c r="D65" s="10"/>
      <c r="E65" s="10"/>
      <c r="F65" s="10"/>
      <c r="G65" s="10"/>
      <c r="H65" s="10"/>
      <c r="I65" s="10"/>
      <c r="J65" s="10"/>
      <c r="K65" s="10"/>
      <c r="L65" s="10"/>
      <c r="M65" s="10"/>
      <c r="N65" s="10"/>
      <c r="O65" s="10"/>
      <c r="P65" s="10"/>
      <c r="Q65" s="10"/>
      <c r="R65" s="10"/>
      <c r="S65" s="10"/>
      <c r="T65" s="10"/>
      <c r="U65" s="11"/>
      <c r="W65" s="1" t="s">
        <v>84</v>
      </c>
      <c r="X65" s="1">
        <v>53</v>
      </c>
      <c r="Y65" s="1">
        <v>0.122</v>
      </c>
      <c r="Z65" s="69">
        <v>3.3850000000000002E-6</v>
      </c>
      <c r="AA65" s="69">
        <v>0</v>
      </c>
      <c r="AB65" s="69">
        <v>1E-4</v>
      </c>
      <c r="AC65" s="1">
        <v>0.94430000000000003</v>
      </c>
      <c r="AD65" s="1">
        <v>0.92069999999999996</v>
      </c>
      <c r="AE65" s="1">
        <v>0.31950000000000001</v>
      </c>
      <c r="AF65" s="69">
        <v>1E-4</v>
      </c>
      <c r="AG65" s="69">
        <v>1E-4</v>
      </c>
      <c r="AH65" s="69">
        <v>3.3840000000000001E-5</v>
      </c>
      <c r="AI65" s="1">
        <v>0.17949999999999999</v>
      </c>
      <c r="AJ65" s="1">
        <v>0.1918</v>
      </c>
      <c r="AK65" s="1">
        <v>0.92769999999999997</v>
      </c>
    </row>
    <row r="66" spans="1:37" x14ac:dyDescent="0.25">
      <c r="W66" s="1" t="s">
        <v>84</v>
      </c>
      <c r="X66" s="1">
        <v>54</v>
      </c>
      <c r="Y66" s="1">
        <v>0.122</v>
      </c>
      <c r="Z66" s="69">
        <v>0</v>
      </c>
      <c r="AA66" s="69">
        <v>0</v>
      </c>
      <c r="AB66" s="69">
        <v>7.1110000000000002E-6</v>
      </c>
      <c r="AC66" s="1">
        <v>0.94430000000000003</v>
      </c>
      <c r="AD66" s="1">
        <v>0.92069999999999996</v>
      </c>
      <c r="AE66" s="1">
        <v>0.31950000000000001</v>
      </c>
      <c r="AF66" s="69">
        <v>1.9E-3</v>
      </c>
      <c r="AG66" s="69">
        <v>3.4510000000000001E-6</v>
      </c>
      <c r="AH66" s="69">
        <v>4.977E-6</v>
      </c>
      <c r="AI66" s="1">
        <v>0.18140000000000001</v>
      </c>
      <c r="AJ66" s="1">
        <v>0.1918</v>
      </c>
      <c r="AK66" s="1">
        <v>0.92769999999999997</v>
      </c>
    </row>
    <row r="67" spans="1:37" x14ac:dyDescent="0.25">
      <c r="B67" s="254" t="s">
        <v>153</v>
      </c>
      <c r="C67" s="254"/>
      <c r="D67" s="254" t="s">
        <v>154</v>
      </c>
      <c r="E67" s="254"/>
      <c r="F67" s="254" t="s">
        <v>155</v>
      </c>
      <c r="G67" s="254"/>
      <c r="H67" s="254" t="s">
        <v>156</v>
      </c>
      <c r="I67" s="254"/>
      <c r="J67" s="254" t="s">
        <v>157</v>
      </c>
      <c r="K67" s="254"/>
      <c r="L67" s="254" t="s">
        <v>158</v>
      </c>
      <c r="M67" s="254"/>
      <c r="N67" s="254" t="s">
        <v>159</v>
      </c>
      <c r="O67" s="254"/>
      <c r="P67" s="254" t="s">
        <v>160</v>
      </c>
      <c r="Q67" s="254"/>
      <c r="W67" s="1" t="s">
        <v>84</v>
      </c>
      <c r="X67" s="1">
        <v>55</v>
      </c>
      <c r="Y67" s="1">
        <v>0.122</v>
      </c>
      <c r="Z67" s="69">
        <v>7.9439999999999997E-7</v>
      </c>
      <c r="AA67" s="69">
        <v>0</v>
      </c>
      <c r="AB67" s="69">
        <v>1.1209999999999999E-5</v>
      </c>
      <c r="AC67" s="1">
        <v>0.94430000000000003</v>
      </c>
      <c r="AD67" s="1">
        <v>0.92069999999999996</v>
      </c>
      <c r="AE67" s="1">
        <v>0.31950000000000001</v>
      </c>
      <c r="AF67" s="69">
        <v>1.1000000000000001E-3</v>
      </c>
      <c r="AG67" s="69">
        <v>1.469E-6</v>
      </c>
      <c r="AH67" s="69">
        <v>4.279E-6</v>
      </c>
      <c r="AI67" s="1">
        <v>0.1825</v>
      </c>
      <c r="AJ67" s="1">
        <v>0.1918</v>
      </c>
      <c r="AK67" s="1">
        <v>0.92769999999999997</v>
      </c>
    </row>
    <row r="68" spans="1:37" x14ac:dyDescent="0.25">
      <c r="B68" s="254"/>
      <c r="C68" s="254"/>
      <c r="D68" s="254" t="s">
        <v>161</v>
      </c>
      <c r="E68" s="254"/>
      <c r="F68" s="254"/>
      <c r="G68" s="254"/>
      <c r="H68" s="254"/>
      <c r="I68" s="254"/>
      <c r="J68" s="254"/>
      <c r="K68" s="254"/>
      <c r="L68" s="254"/>
      <c r="M68" s="254"/>
      <c r="N68" s="254"/>
      <c r="O68" s="254"/>
      <c r="P68" s="254"/>
      <c r="Q68" s="254"/>
      <c r="W68" s="1" t="s">
        <v>84</v>
      </c>
      <c r="X68" s="1">
        <v>56</v>
      </c>
      <c r="Y68" s="1">
        <v>0.122</v>
      </c>
      <c r="Z68" s="69">
        <v>0</v>
      </c>
      <c r="AA68" s="69">
        <v>0</v>
      </c>
      <c r="AB68" s="69">
        <v>2.3999999999999998E-3</v>
      </c>
      <c r="AC68" s="1">
        <v>0.94430000000000003</v>
      </c>
      <c r="AD68" s="1">
        <v>0.92069999999999996</v>
      </c>
      <c r="AE68" s="1">
        <v>0.32190000000000002</v>
      </c>
      <c r="AF68" s="69">
        <v>1E-4</v>
      </c>
      <c r="AG68" s="69">
        <v>6.0000000000000001E-3</v>
      </c>
      <c r="AH68" s="69">
        <v>0</v>
      </c>
      <c r="AI68" s="1">
        <v>0.18260000000000001</v>
      </c>
      <c r="AJ68" s="1">
        <v>0.1978</v>
      </c>
      <c r="AK68" s="1">
        <v>0.92769999999999997</v>
      </c>
    </row>
    <row r="69" spans="1:37" x14ac:dyDescent="0.25">
      <c r="B69" s="236">
        <f>X65</f>
        <v>53</v>
      </c>
      <c r="C69" s="236"/>
      <c r="D69" s="289">
        <f>Y65</f>
        <v>0.122</v>
      </c>
      <c r="E69" s="289"/>
      <c r="F69" s="289">
        <f>Z65</f>
        <v>3.3850000000000002E-6</v>
      </c>
      <c r="G69" s="289"/>
      <c r="H69" s="289">
        <f>AA65</f>
        <v>0</v>
      </c>
      <c r="I69" s="289"/>
      <c r="J69" s="289">
        <f>AB65</f>
        <v>1E-4</v>
      </c>
      <c r="K69" s="289"/>
      <c r="L69" s="289">
        <f>AC65</f>
        <v>0.94430000000000003</v>
      </c>
      <c r="M69" s="289"/>
      <c r="N69" s="289">
        <f>AD65</f>
        <v>0.92069999999999996</v>
      </c>
      <c r="O69" s="289"/>
      <c r="P69" s="289">
        <f>AE65</f>
        <v>0.31950000000000001</v>
      </c>
      <c r="Q69" s="289"/>
      <c r="W69" s="1" t="s">
        <v>84</v>
      </c>
      <c r="X69" s="1">
        <v>57</v>
      </c>
      <c r="Y69" s="1">
        <v>0.122</v>
      </c>
      <c r="Z69" s="69">
        <v>2.0429999999999999E-5</v>
      </c>
      <c r="AA69" s="69">
        <v>0</v>
      </c>
      <c r="AB69" s="69">
        <v>2.0000000000000001E-4</v>
      </c>
      <c r="AC69" s="1">
        <v>0.94430000000000003</v>
      </c>
      <c r="AD69" s="1">
        <v>0.92069999999999996</v>
      </c>
      <c r="AE69" s="1">
        <v>0.3221</v>
      </c>
      <c r="AF69" s="69">
        <v>8.4770000000000003E-6</v>
      </c>
      <c r="AG69" s="69">
        <v>2.0000000000000001E-4</v>
      </c>
      <c r="AH69" s="69">
        <v>0</v>
      </c>
      <c r="AI69" s="1">
        <v>0.18260000000000001</v>
      </c>
      <c r="AJ69" s="1">
        <v>0.19800000000000001</v>
      </c>
      <c r="AK69" s="1">
        <v>0.92769999999999997</v>
      </c>
    </row>
    <row r="70" spans="1:37" x14ac:dyDescent="0.25">
      <c r="B70" s="236">
        <f t="shared" ref="B70:B79" si="9">X66</f>
        <v>54</v>
      </c>
      <c r="C70" s="236"/>
      <c r="D70" s="289">
        <f t="shared" ref="D70:D79" si="10">Y66</f>
        <v>0.122</v>
      </c>
      <c r="E70" s="289"/>
      <c r="F70" s="289">
        <f t="shared" ref="F70:F79" si="11">Z66</f>
        <v>0</v>
      </c>
      <c r="G70" s="289"/>
      <c r="H70" s="289">
        <f t="shared" ref="H70:H79" si="12">AA66</f>
        <v>0</v>
      </c>
      <c r="I70" s="289"/>
      <c r="J70" s="289">
        <f t="shared" ref="J70:J79" si="13">AB66</f>
        <v>7.1110000000000002E-6</v>
      </c>
      <c r="K70" s="289"/>
      <c r="L70" s="289">
        <f t="shared" ref="L70:L79" si="14">AC66</f>
        <v>0.94430000000000003</v>
      </c>
      <c r="M70" s="289"/>
      <c r="N70" s="289">
        <f t="shared" ref="N70:N79" si="15">AD66</f>
        <v>0.92069999999999996</v>
      </c>
      <c r="O70" s="289"/>
      <c r="P70" s="289">
        <f t="shared" ref="P70:P79" si="16">AE66</f>
        <v>0.31950000000000001</v>
      </c>
      <c r="Q70" s="289"/>
      <c r="W70" s="1" t="s">
        <v>84</v>
      </c>
      <c r="X70" s="1">
        <v>58</v>
      </c>
      <c r="Y70" s="1">
        <v>0.122</v>
      </c>
      <c r="Z70" s="69">
        <v>3.2550000000000002E-6</v>
      </c>
      <c r="AA70" s="69">
        <v>0</v>
      </c>
      <c r="AB70" s="69">
        <v>7.4999999999999997E-3</v>
      </c>
      <c r="AC70" s="1">
        <v>0.94430000000000003</v>
      </c>
      <c r="AD70" s="1">
        <v>0.92069999999999996</v>
      </c>
      <c r="AE70" s="1">
        <v>0.32969999999999999</v>
      </c>
      <c r="AF70" s="69">
        <v>2.0000000000000001E-4</v>
      </c>
      <c r="AG70" s="69">
        <v>6.9999999999999999E-4</v>
      </c>
      <c r="AH70" s="69">
        <v>0</v>
      </c>
      <c r="AI70" s="1">
        <v>0.18290000000000001</v>
      </c>
      <c r="AJ70" s="1">
        <v>0.19869999999999999</v>
      </c>
      <c r="AK70" s="1">
        <v>0.92769999999999997</v>
      </c>
    </row>
    <row r="71" spans="1:37" x14ac:dyDescent="0.25">
      <c r="B71" s="236">
        <f t="shared" si="9"/>
        <v>55</v>
      </c>
      <c r="C71" s="236"/>
      <c r="D71" s="289">
        <f t="shared" si="10"/>
        <v>0.122</v>
      </c>
      <c r="E71" s="289"/>
      <c r="F71" s="289">
        <f t="shared" si="11"/>
        <v>7.9439999999999997E-7</v>
      </c>
      <c r="G71" s="289"/>
      <c r="H71" s="289">
        <f t="shared" si="12"/>
        <v>0</v>
      </c>
      <c r="I71" s="289"/>
      <c r="J71" s="289">
        <f t="shared" si="13"/>
        <v>1.1209999999999999E-5</v>
      </c>
      <c r="K71" s="289"/>
      <c r="L71" s="289">
        <f t="shared" si="14"/>
        <v>0.94430000000000003</v>
      </c>
      <c r="M71" s="289"/>
      <c r="N71" s="289">
        <f t="shared" si="15"/>
        <v>0.92069999999999996</v>
      </c>
      <c r="O71" s="289"/>
      <c r="P71" s="289">
        <f t="shared" si="16"/>
        <v>0.31950000000000001</v>
      </c>
      <c r="Q71" s="289"/>
      <c r="W71" s="1" t="s">
        <v>84</v>
      </c>
      <c r="X71" s="1">
        <v>59</v>
      </c>
      <c r="Y71" s="1">
        <v>0.121</v>
      </c>
      <c r="Z71" s="69">
        <v>4.2200000000000003E-5</v>
      </c>
      <c r="AA71" s="69">
        <v>0</v>
      </c>
      <c r="AB71" s="69">
        <v>4.0000000000000002E-4</v>
      </c>
      <c r="AC71" s="1">
        <v>0.94440000000000002</v>
      </c>
      <c r="AD71" s="1">
        <v>0.92069999999999996</v>
      </c>
      <c r="AE71" s="1">
        <v>0.3301</v>
      </c>
      <c r="AF71" s="69">
        <v>2.599E-6</v>
      </c>
      <c r="AG71" s="69">
        <v>1E-4</v>
      </c>
      <c r="AH71" s="69">
        <v>0</v>
      </c>
      <c r="AI71" s="1">
        <v>0.18290000000000001</v>
      </c>
      <c r="AJ71" s="1">
        <v>0.19869999999999999</v>
      </c>
      <c r="AK71" s="1">
        <v>0.92769999999999997</v>
      </c>
    </row>
    <row r="72" spans="1:37" x14ac:dyDescent="0.25">
      <c r="B72" s="236">
        <f t="shared" si="9"/>
        <v>56</v>
      </c>
      <c r="C72" s="236"/>
      <c r="D72" s="289">
        <f t="shared" si="10"/>
        <v>0.122</v>
      </c>
      <c r="E72" s="289"/>
      <c r="F72" s="289">
        <f t="shared" si="11"/>
        <v>0</v>
      </c>
      <c r="G72" s="289"/>
      <c r="H72" s="289">
        <f t="shared" si="12"/>
        <v>0</v>
      </c>
      <c r="I72" s="289"/>
      <c r="J72" s="289">
        <f t="shared" si="13"/>
        <v>2.3999999999999998E-3</v>
      </c>
      <c r="K72" s="289"/>
      <c r="L72" s="289">
        <f t="shared" si="14"/>
        <v>0.94430000000000003</v>
      </c>
      <c r="M72" s="289"/>
      <c r="N72" s="289">
        <f t="shared" si="15"/>
        <v>0.92069999999999996</v>
      </c>
      <c r="O72" s="289"/>
      <c r="P72" s="289">
        <f t="shared" si="16"/>
        <v>0.32190000000000002</v>
      </c>
      <c r="Q72" s="289"/>
      <c r="W72" s="1" t="s">
        <v>84</v>
      </c>
      <c r="X72" s="1">
        <v>60</v>
      </c>
      <c r="Y72" s="1">
        <v>0.121</v>
      </c>
      <c r="Z72" s="69">
        <v>4.3859999999999997E-5</v>
      </c>
      <c r="AA72" s="69">
        <v>0</v>
      </c>
      <c r="AB72" s="69">
        <v>5.9190000000000004E-6</v>
      </c>
      <c r="AC72" s="1">
        <v>0.94440000000000002</v>
      </c>
      <c r="AD72" s="1">
        <v>0.92069999999999996</v>
      </c>
      <c r="AE72" s="1">
        <v>0.3301</v>
      </c>
      <c r="AF72" s="69">
        <v>1.005E-5</v>
      </c>
      <c r="AG72" s="69">
        <v>4.8310000000000003E-5</v>
      </c>
      <c r="AH72" s="69">
        <v>1.2300000000000001E-5</v>
      </c>
      <c r="AI72" s="1">
        <v>0.18290000000000001</v>
      </c>
      <c r="AJ72" s="1">
        <v>0.1988</v>
      </c>
      <c r="AK72" s="1">
        <v>0.92779999999999996</v>
      </c>
    </row>
    <row r="73" spans="1:37" x14ac:dyDescent="0.25">
      <c r="B73" s="236">
        <f t="shared" si="9"/>
        <v>57</v>
      </c>
      <c r="C73" s="236"/>
      <c r="D73" s="289">
        <f t="shared" si="10"/>
        <v>0.122</v>
      </c>
      <c r="E73" s="289"/>
      <c r="F73" s="289">
        <f t="shared" si="11"/>
        <v>2.0429999999999999E-5</v>
      </c>
      <c r="G73" s="289"/>
      <c r="H73" s="289">
        <f t="shared" si="12"/>
        <v>0</v>
      </c>
      <c r="I73" s="289"/>
      <c r="J73" s="289">
        <f t="shared" si="13"/>
        <v>2.0000000000000001E-4</v>
      </c>
      <c r="K73" s="289"/>
      <c r="L73" s="289">
        <f t="shared" si="14"/>
        <v>0.94430000000000003</v>
      </c>
      <c r="M73" s="289"/>
      <c r="N73" s="289">
        <f t="shared" si="15"/>
        <v>0.92069999999999996</v>
      </c>
      <c r="O73" s="289"/>
      <c r="P73" s="289">
        <f t="shared" si="16"/>
        <v>0.3221</v>
      </c>
      <c r="Q73" s="289"/>
      <c r="W73" s="1" t="s">
        <v>84</v>
      </c>
      <c r="X73" s="1">
        <v>61</v>
      </c>
      <c r="Y73" s="1">
        <v>0.121</v>
      </c>
      <c r="Z73" s="69">
        <v>0</v>
      </c>
      <c r="AA73" s="69">
        <v>0</v>
      </c>
      <c r="AB73" s="69">
        <v>1E-4</v>
      </c>
      <c r="AC73" s="1">
        <v>0.94440000000000002</v>
      </c>
      <c r="AD73" s="1">
        <v>0.92069999999999996</v>
      </c>
      <c r="AE73" s="1">
        <v>0.3301</v>
      </c>
      <c r="AF73" s="69">
        <v>2.5999999999999999E-3</v>
      </c>
      <c r="AG73" s="69">
        <v>1E-4</v>
      </c>
      <c r="AH73" s="69">
        <v>0</v>
      </c>
      <c r="AI73" s="1">
        <v>0.1855</v>
      </c>
      <c r="AJ73" s="1">
        <v>0.19889999999999999</v>
      </c>
      <c r="AK73" s="1">
        <v>0.92779999999999996</v>
      </c>
    </row>
    <row r="74" spans="1:37" x14ac:dyDescent="0.25">
      <c r="B74" s="236">
        <f t="shared" si="9"/>
        <v>58</v>
      </c>
      <c r="C74" s="236"/>
      <c r="D74" s="289">
        <f t="shared" si="10"/>
        <v>0.122</v>
      </c>
      <c r="E74" s="289"/>
      <c r="F74" s="289">
        <f t="shared" si="11"/>
        <v>3.2550000000000002E-6</v>
      </c>
      <c r="G74" s="289"/>
      <c r="H74" s="289">
        <f t="shared" si="12"/>
        <v>0</v>
      </c>
      <c r="I74" s="289"/>
      <c r="J74" s="289">
        <f t="shared" si="13"/>
        <v>7.4999999999999997E-3</v>
      </c>
      <c r="K74" s="289"/>
      <c r="L74" s="289">
        <f t="shared" si="14"/>
        <v>0.94430000000000003</v>
      </c>
      <c r="M74" s="289"/>
      <c r="N74" s="289">
        <f t="shared" si="15"/>
        <v>0.92069999999999996</v>
      </c>
      <c r="O74" s="289"/>
      <c r="P74" s="289">
        <f t="shared" si="16"/>
        <v>0.32969999999999999</v>
      </c>
      <c r="Q74" s="289"/>
      <c r="W74" s="1" t="s">
        <v>84</v>
      </c>
      <c r="X74" s="1">
        <v>62</v>
      </c>
      <c r="Y74" s="1">
        <v>0.121</v>
      </c>
      <c r="Z74" s="69">
        <v>1.2510000000000001E-5</v>
      </c>
      <c r="AA74" s="69">
        <v>0</v>
      </c>
      <c r="AB74" s="69">
        <v>8.9999999999999998E-4</v>
      </c>
      <c r="AC74" s="1">
        <v>0.94440000000000002</v>
      </c>
      <c r="AD74" s="1">
        <v>0.92069999999999996</v>
      </c>
      <c r="AE74" s="1">
        <v>0.33110000000000001</v>
      </c>
      <c r="AF74" s="69">
        <v>1.1999999999999999E-3</v>
      </c>
      <c r="AG74" s="69">
        <v>1E-3</v>
      </c>
      <c r="AH74" s="69">
        <v>6.9269999999999999E-6</v>
      </c>
      <c r="AI74" s="1">
        <v>0.1867</v>
      </c>
      <c r="AJ74" s="1">
        <v>0.19989999999999999</v>
      </c>
      <c r="AK74" s="1">
        <v>0.92779999999999996</v>
      </c>
    </row>
    <row r="75" spans="1:37" x14ac:dyDescent="0.25">
      <c r="B75" s="236">
        <f t="shared" si="9"/>
        <v>59</v>
      </c>
      <c r="C75" s="236"/>
      <c r="D75" s="289">
        <f t="shared" si="10"/>
        <v>0.121</v>
      </c>
      <c r="E75" s="289"/>
      <c r="F75" s="289">
        <f t="shared" si="11"/>
        <v>4.2200000000000003E-5</v>
      </c>
      <c r="G75" s="289"/>
      <c r="H75" s="289">
        <f t="shared" si="12"/>
        <v>0</v>
      </c>
      <c r="I75" s="289"/>
      <c r="J75" s="289">
        <f t="shared" si="13"/>
        <v>4.0000000000000002E-4</v>
      </c>
      <c r="K75" s="289"/>
      <c r="L75" s="289">
        <f t="shared" si="14"/>
        <v>0.94440000000000002</v>
      </c>
      <c r="M75" s="289"/>
      <c r="N75" s="289">
        <f t="shared" si="15"/>
        <v>0.92069999999999996</v>
      </c>
      <c r="O75" s="289"/>
      <c r="P75" s="289">
        <f t="shared" si="16"/>
        <v>0.3301</v>
      </c>
      <c r="Q75" s="289"/>
      <c r="W75" s="1" t="s">
        <v>84</v>
      </c>
      <c r="X75" s="1">
        <v>63</v>
      </c>
      <c r="Y75" s="1">
        <v>0.121</v>
      </c>
      <c r="Z75" s="69">
        <v>0</v>
      </c>
      <c r="AA75" s="69">
        <v>0</v>
      </c>
      <c r="AB75" s="69">
        <v>4.0000000000000002E-4</v>
      </c>
      <c r="AC75" s="1">
        <v>0.94440000000000002</v>
      </c>
      <c r="AD75" s="1">
        <v>0.92069999999999996</v>
      </c>
      <c r="AE75" s="1">
        <v>0.33150000000000002</v>
      </c>
      <c r="AF75" s="69">
        <v>3.2000000000000002E-3</v>
      </c>
      <c r="AG75" s="69">
        <v>1E-4</v>
      </c>
      <c r="AH75" s="69">
        <v>0</v>
      </c>
      <c r="AI75" s="1">
        <v>0.18990000000000001</v>
      </c>
      <c r="AJ75" s="1">
        <v>0.2</v>
      </c>
      <c r="AK75" s="1">
        <v>0.92779999999999996</v>
      </c>
    </row>
    <row r="76" spans="1:37" x14ac:dyDescent="0.25">
      <c r="B76" s="236">
        <f t="shared" si="9"/>
        <v>60</v>
      </c>
      <c r="C76" s="236"/>
      <c r="D76" s="289">
        <f t="shared" si="10"/>
        <v>0.121</v>
      </c>
      <c r="E76" s="289"/>
      <c r="F76" s="289">
        <f t="shared" si="11"/>
        <v>4.3859999999999997E-5</v>
      </c>
      <c r="G76" s="289"/>
      <c r="H76" s="289">
        <f t="shared" si="12"/>
        <v>0</v>
      </c>
      <c r="I76" s="289"/>
      <c r="J76" s="289">
        <f t="shared" si="13"/>
        <v>5.9190000000000004E-6</v>
      </c>
      <c r="K76" s="289"/>
      <c r="L76" s="289">
        <f t="shared" si="14"/>
        <v>0.94440000000000002</v>
      </c>
      <c r="M76" s="289"/>
      <c r="N76" s="289">
        <f t="shared" si="15"/>
        <v>0.92069999999999996</v>
      </c>
      <c r="O76" s="289"/>
      <c r="P76" s="289">
        <f t="shared" si="16"/>
        <v>0.3301</v>
      </c>
      <c r="Q76" s="289"/>
      <c r="W76" s="1" t="s">
        <v>84</v>
      </c>
      <c r="X76" s="1">
        <v>64</v>
      </c>
      <c r="Y76" s="1">
        <v>0.121</v>
      </c>
      <c r="Z76" s="69">
        <v>0</v>
      </c>
      <c r="AA76" s="69">
        <v>0</v>
      </c>
      <c r="AB76" s="69">
        <v>1E-4</v>
      </c>
      <c r="AC76" s="1">
        <v>0.94440000000000002</v>
      </c>
      <c r="AD76" s="1">
        <v>0.92069999999999996</v>
      </c>
      <c r="AE76" s="1">
        <v>0.33160000000000001</v>
      </c>
      <c r="AF76" s="69">
        <v>8.8200000000000003E-6</v>
      </c>
      <c r="AG76" s="69">
        <v>4.0000000000000002E-4</v>
      </c>
      <c r="AH76" s="69">
        <v>0</v>
      </c>
      <c r="AI76" s="1">
        <v>0.18990000000000001</v>
      </c>
      <c r="AJ76" s="1">
        <v>0.20039999999999999</v>
      </c>
      <c r="AK76" s="1">
        <v>0.92779999999999996</v>
      </c>
    </row>
    <row r="77" spans="1:37" x14ac:dyDescent="0.25">
      <c r="B77" s="236">
        <f t="shared" si="9"/>
        <v>61</v>
      </c>
      <c r="C77" s="236"/>
      <c r="D77" s="289">
        <f t="shared" si="10"/>
        <v>0.121</v>
      </c>
      <c r="E77" s="289"/>
      <c r="F77" s="289">
        <f t="shared" si="11"/>
        <v>0</v>
      </c>
      <c r="G77" s="289"/>
      <c r="H77" s="289">
        <f t="shared" si="12"/>
        <v>0</v>
      </c>
      <c r="I77" s="289"/>
      <c r="J77" s="289">
        <f t="shared" si="13"/>
        <v>1E-4</v>
      </c>
      <c r="K77" s="289"/>
      <c r="L77" s="289">
        <f t="shared" si="14"/>
        <v>0.94440000000000002</v>
      </c>
      <c r="M77" s="289"/>
      <c r="N77" s="289">
        <f t="shared" si="15"/>
        <v>0.92069999999999996</v>
      </c>
      <c r="O77" s="289"/>
      <c r="P77" s="289">
        <f t="shared" si="16"/>
        <v>0.3301</v>
      </c>
      <c r="Q77" s="289"/>
      <c r="W77" s="1" t="s">
        <v>84</v>
      </c>
      <c r="X77" s="1">
        <v>65</v>
      </c>
      <c r="Y77" s="1">
        <v>0.121</v>
      </c>
      <c r="Z77" s="69">
        <v>1.4949999999999999E-5</v>
      </c>
      <c r="AA77" s="69">
        <v>0</v>
      </c>
      <c r="AB77" s="69">
        <v>1E-4</v>
      </c>
      <c r="AC77" s="1">
        <v>0.94440000000000002</v>
      </c>
      <c r="AD77" s="1">
        <v>0.92069999999999996</v>
      </c>
      <c r="AE77" s="1">
        <v>0.33169999999999999</v>
      </c>
      <c r="AF77" s="69">
        <v>8.6580000000000008E-6</v>
      </c>
      <c r="AG77" s="69">
        <v>8.0000000000000004E-4</v>
      </c>
      <c r="AH77" s="69">
        <v>0</v>
      </c>
      <c r="AI77" s="1">
        <v>0.18990000000000001</v>
      </c>
      <c r="AJ77" s="1">
        <v>0.20119999999999999</v>
      </c>
      <c r="AK77" s="1">
        <v>0.92779999999999996</v>
      </c>
    </row>
    <row r="78" spans="1:37" x14ac:dyDescent="0.25">
      <c r="B78" s="236">
        <f t="shared" si="9"/>
        <v>62</v>
      </c>
      <c r="C78" s="236"/>
      <c r="D78" s="289">
        <f t="shared" si="10"/>
        <v>0.121</v>
      </c>
      <c r="E78" s="289"/>
      <c r="F78" s="289">
        <f t="shared" si="11"/>
        <v>1.2510000000000001E-5</v>
      </c>
      <c r="G78" s="289"/>
      <c r="H78" s="289">
        <f t="shared" si="12"/>
        <v>0</v>
      </c>
      <c r="I78" s="289"/>
      <c r="J78" s="289">
        <f t="shared" si="13"/>
        <v>8.9999999999999998E-4</v>
      </c>
      <c r="K78" s="289"/>
      <c r="L78" s="289">
        <f t="shared" si="14"/>
        <v>0.94440000000000002</v>
      </c>
      <c r="M78" s="289"/>
      <c r="N78" s="289">
        <f t="shared" si="15"/>
        <v>0.92069999999999996</v>
      </c>
      <c r="O78" s="289"/>
      <c r="P78" s="289">
        <f t="shared" si="16"/>
        <v>0.33110000000000001</v>
      </c>
      <c r="Q78" s="289"/>
      <c r="W78" s="1" t="s">
        <v>84</v>
      </c>
      <c r="X78" s="1">
        <v>66</v>
      </c>
      <c r="Y78" s="1">
        <v>0.121</v>
      </c>
      <c r="Z78" s="69">
        <v>5.1109999999999999E-6</v>
      </c>
      <c r="AA78" s="69">
        <v>0</v>
      </c>
      <c r="AB78" s="69">
        <v>9.9080000000000007E-6</v>
      </c>
      <c r="AC78" s="1">
        <v>0.94440000000000002</v>
      </c>
      <c r="AD78" s="1">
        <v>0.92069999999999996</v>
      </c>
      <c r="AE78" s="1">
        <v>0.33169999999999999</v>
      </c>
      <c r="AF78" s="69">
        <v>8.1629999999999996E-6</v>
      </c>
      <c r="AG78" s="69">
        <v>4.0000000000000002E-4</v>
      </c>
      <c r="AH78" s="69">
        <v>1.4139999999999999E-6</v>
      </c>
      <c r="AI78" s="1">
        <v>0.18990000000000001</v>
      </c>
      <c r="AJ78" s="1">
        <v>0.2016</v>
      </c>
      <c r="AK78" s="1">
        <v>0.92779999999999996</v>
      </c>
    </row>
    <row r="79" spans="1:37" x14ac:dyDescent="0.25">
      <c r="B79" s="236">
        <f t="shared" si="9"/>
        <v>63</v>
      </c>
      <c r="C79" s="236"/>
      <c r="D79" s="289">
        <f t="shared" si="10"/>
        <v>0.121</v>
      </c>
      <c r="E79" s="289"/>
      <c r="F79" s="289">
        <f t="shared" si="11"/>
        <v>0</v>
      </c>
      <c r="G79" s="289"/>
      <c r="H79" s="289">
        <f t="shared" si="12"/>
        <v>0</v>
      </c>
      <c r="I79" s="289"/>
      <c r="J79" s="289">
        <f t="shared" si="13"/>
        <v>4.0000000000000002E-4</v>
      </c>
      <c r="K79" s="289"/>
      <c r="L79" s="289">
        <f t="shared" si="14"/>
        <v>0.94440000000000002</v>
      </c>
      <c r="M79" s="289"/>
      <c r="N79" s="289">
        <f t="shared" si="15"/>
        <v>0.92069999999999996</v>
      </c>
      <c r="O79" s="289"/>
      <c r="P79" s="289">
        <f t="shared" si="16"/>
        <v>0.33150000000000002</v>
      </c>
      <c r="Q79" s="289"/>
      <c r="W79" s="1" t="s">
        <v>84</v>
      </c>
      <c r="X79" s="1">
        <v>67</v>
      </c>
      <c r="Y79" s="1">
        <v>0.121</v>
      </c>
      <c r="Z79" s="69">
        <v>4.9189999999999998E-6</v>
      </c>
      <c r="AA79" s="69">
        <v>0</v>
      </c>
      <c r="AB79" s="69">
        <v>2.0000000000000001E-4</v>
      </c>
      <c r="AC79" s="1">
        <v>0.94440000000000002</v>
      </c>
      <c r="AD79" s="1">
        <v>0.92069999999999996</v>
      </c>
      <c r="AE79" s="1">
        <v>0.33189999999999997</v>
      </c>
      <c r="AF79" s="69">
        <v>4.0000000000000002E-4</v>
      </c>
      <c r="AG79" s="69">
        <v>1E-4</v>
      </c>
      <c r="AH79" s="69">
        <v>1.7320000000000001E-6</v>
      </c>
      <c r="AI79" s="1">
        <v>0.1903</v>
      </c>
      <c r="AJ79" s="1">
        <v>0.20180000000000001</v>
      </c>
      <c r="AK79" s="1">
        <v>0.92779999999999996</v>
      </c>
    </row>
    <row r="80" spans="1:37" x14ac:dyDescent="0.25">
      <c r="B80" s="236">
        <f>X76</f>
        <v>64</v>
      </c>
      <c r="C80" s="236"/>
      <c r="D80" s="289">
        <f>Y76</f>
        <v>0.121</v>
      </c>
      <c r="E80" s="289"/>
      <c r="F80" s="289">
        <f>Z76</f>
        <v>0</v>
      </c>
      <c r="G80" s="289"/>
      <c r="H80" s="289">
        <f>AA76</f>
        <v>0</v>
      </c>
      <c r="I80" s="289"/>
      <c r="J80" s="289">
        <f>AB76</f>
        <v>1E-4</v>
      </c>
      <c r="K80" s="289"/>
      <c r="L80" s="289">
        <f>AC76</f>
        <v>0.94440000000000002</v>
      </c>
      <c r="M80" s="289"/>
      <c r="N80" s="289">
        <f>AD76</f>
        <v>0.92069999999999996</v>
      </c>
      <c r="O80" s="289"/>
      <c r="P80" s="289">
        <f>AE76</f>
        <v>0.33160000000000001</v>
      </c>
      <c r="Q80" s="289"/>
      <c r="W80" s="1" t="s">
        <v>84</v>
      </c>
      <c r="X80" s="1">
        <v>68</v>
      </c>
      <c r="Y80" s="1">
        <v>0.121</v>
      </c>
      <c r="Z80" s="69">
        <v>9.9179999999999997E-7</v>
      </c>
      <c r="AA80" s="69">
        <v>0</v>
      </c>
      <c r="AB80" s="69">
        <v>2.6650000000000001E-5</v>
      </c>
      <c r="AC80" s="1">
        <v>0.94440000000000002</v>
      </c>
      <c r="AD80" s="1">
        <v>0.92069999999999996</v>
      </c>
      <c r="AE80" s="1">
        <v>0.33200000000000002</v>
      </c>
      <c r="AF80" s="69">
        <v>4.848E-6</v>
      </c>
      <c r="AG80" s="69">
        <v>5.848E-7</v>
      </c>
      <c r="AH80" s="69">
        <v>5.9039999999999997E-6</v>
      </c>
      <c r="AI80" s="1">
        <v>0.1903</v>
      </c>
      <c r="AJ80" s="1">
        <v>0.20180000000000001</v>
      </c>
      <c r="AK80" s="1">
        <v>0.92779999999999996</v>
      </c>
    </row>
    <row r="81" spans="2:37" x14ac:dyDescent="0.25">
      <c r="B81" s="236">
        <f t="shared" ref="B81:B89" si="17">X77</f>
        <v>65</v>
      </c>
      <c r="C81" s="236"/>
      <c r="D81" s="289">
        <f t="shared" ref="D81:D89" si="18">Y77</f>
        <v>0.121</v>
      </c>
      <c r="E81" s="289"/>
      <c r="F81" s="289">
        <f t="shared" ref="F81:F89" si="19">Z77</f>
        <v>1.4949999999999999E-5</v>
      </c>
      <c r="G81" s="289"/>
      <c r="H81" s="289">
        <f t="shared" ref="H81:H89" si="20">AA77</f>
        <v>0</v>
      </c>
      <c r="I81" s="289"/>
      <c r="J81" s="289">
        <f t="shared" ref="J81:J89" si="21">AB77</f>
        <v>1E-4</v>
      </c>
      <c r="K81" s="289"/>
      <c r="L81" s="289">
        <f t="shared" ref="L81:L89" si="22">AC77</f>
        <v>0.94440000000000002</v>
      </c>
      <c r="M81" s="289"/>
      <c r="N81" s="289">
        <f t="shared" ref="N81:N89" si="23">AD77</f>
        <v>0.92069999999999996</v>
      </c>
      <c r="O81" s="289"/>
      <c r="P81" s="289">
        <f t="shared" ref="P81:P89" si="24">AE77</f>
        <v>0.33169999999999999</v>
      </c>
      <c r="Q81" s="289"/>
      <c r="W81" s="1" t="s">
        <v>84</v>
      </c>
      <c r="X81" s="1">
        <v>69</v>
      </c>
      <c r="Y81" s="1">
        <v>0.121</v>
      </c>
      <c r="Z81" s="69">
        <v>0</v>
      </c>
      <c r="AA81" s="69">
        <v>0</v>
      </c>
      <c r="AB81" s="69">
        <v>1E-4</v>
      </c>
      <c r="AC81" s="1">
        <v>0.94440000000000002</v>
      </c>
      <c r="AD81" s="1">
        <v>0.92069999999999996</v>
      </c>
      <c r="AE81" s="1">
        <v>0.33210000000000001</v>
      </c>
      <c r="AF81" s="69">
        <v>2.9999999999999997E-4</v>
      </c>
      <c r="AG81" s="69">
        <v>1.0210000000000001E-5</v>
      </c>
      <c r="AH81" s="69">
        <v>0</v>
      </c>
      <c r="AI81" s="1">
        <v>0.1905</v>
      </c>
      <c r="AJ81" s="1">
        <v>0.20180000000000001</v>
      </c>
      <c r="AK81" s="1">
        <v>0.92779999999999996</v>
      </c>
    </row>
    <row r="82" spans="2:37" x14ac:dyDescent="0.25">
      <c r="B82" s="236">
        <f t="shared" si="17"/>
        <v>66</v>
      </c>
      <c r="C82" s="236"/>
      <c r="D82" s="289">
        <f t="shared" si="18"/>
        <v>0.121</v>
      </c>
      <c r="E82" s="289"/>
      <c r="F82" s="289">
        <f t="shared" si="19"/>
        <v>5.1109999999999999E-6</v>
      </c>
      <c r="G82" s="289"/>
      <c r="H82" s="289">
        <f t="shared" si="20"/>
        <v>0</v>
      </c>
      <c r="I82" s="289"/>
      <c r="J82" s="289">
        <f t="shared" si="21"/>
        <v>9.9080000000000007E-6</v>
      </c>
      <c r="K82" s="289"/>
      <c r="L82" s="289">
        <f t="shared" si="22"/>
        <v>0.94440000000000002</v>
      </c>
      <c r="M82" s="289"/>
      <c r="N82" s="289">
        <f t="shared" si="23"/>
        <v>0.92069999999999996</v>
      </c>
      <c r="O82" s="289"/>
      <c r="P82" s="289">
        <f t="shared" si="24"/>
        <v>0.33169999999999999</v>
      </c>
      <c r="Q82" s="289"/>
      <c r="W82" s="1" t="s">
        <v>84</v>
      </c>
      <c r="X82" s="1">
        <v>70</v>
      </c>
      <c r="Y82" s="1">
        <v>0.121</v>
      </c>
      <c r="Z82" s="69">
        <v>0</v>
      </c>
      <c r="AA82" s="69">
        <v>0</v>
      </c>
      <c r="AB82" s="69">
        <v>2.5899999999999999E-5</v>
      </c>
      <c r="AC82" s="1">
        <v>0.94440000000000002</v>
      </c>
      <c r="AD82" s="1">
        <v>0.92069999999999996</v>
      </c>
      <c r="AE82" s="1">
        <v>0.33210000000000001</v>
      </c>
      <c r="AF82" s="69">
        <v>1.4059999999999999E-5</v>
      </c>
      <c r="AG82" s="69">
        <v>0</v>
      </c>
      <c r="AH82" s="69">
        <v>0</v>
      </c>
      <c r="AI82" s="1">
        <v>0.19059999999999999</v>
      </c>
      <c r="AJ82" s="1">
        <v>0.20180000000000001</v>
      </c>
      <c r="AK82" s="1">
        <v>0.92779999999999996</v>
      </c>
    </row>
    <row r="83" spans="2:37" x14ac:dyDescent="0.25">
      <c r="B83" s="236">
        <f t="shared" si="17"/>
        <v>67</v>
      </c>
      <c r="C83" s="236"/>
      <c r="D83" s="289">
        <f t="shared" si="18"/>
        <v>0.121</v>
      </c>
      <c r="E83" s="289"/>
      <c r="F83" s="289">
        <f t="shared" si="19"/>
        <v>4.9189999999999998E-6</v>
      </c>
      <c r="G83" s="289"/>
      <c r="H83" s="289">
        <f t="shared" si="20"/>
        <v>0</v>
      </c>
      <c r="I83" s="289"/>
      <c r="J83" s="289">
        <f t="shared" si="21"/>
        <v>2.0000000000000001E-4</v>
      </c>
      <c r="K83" s="289"/>
      <c r="L83" s="289">
        <f t="shared" si="22"/>
        <v>0.94440000000000002</v>
      </c>
      <c r="M83" s="289"/>
      <c r="N83" s="289">
        <f t="shared" si="23"/>
        <v>0.92069999999999996</v>
      </c>
      <c r="O83" s="289"/>
      <c r="P83" s="289">
        <f t="shared" si="24"/>
        <v>0.33189999999999997</v>
      </c>
      <c r="Q83" s="289"/>
      <c r="W83" s="1" t="s">
        <v>84</v>
      </c>
      <c r="X83" s="1">
        <v>71</v>
      </c>
      <c r="Y83" s="1">
        <v>0.121</v>
      </c>
      <c r="Z83" s="69">
        <v>2.3549999999999999E-6</v>
      </c>
      <c r="AA83" s="69">
        <v>0</v>
      </c>
      <c r="AB83" s="69">
        <v>1E-3</v>
      </c>
      <c r="AC83" s="1">
        <v>0.94450000000000001</v>
      </c>
      <c r="AD83" s="1">
        <v>0.92069999999999996</v>
      </c>
      <c r="AE83" s="1">
        <v>0.33310000000000001</v>
      </c>
      <c r="AF83" s="69">
        <v>0</v>
      </c>
      <c r="AG83" s="69">
        <v>1.184E-5</v>
      </c>
      <c r="AH83" s="69">
        <v>0</v>
      </c>
      <c r="AI83" s="1">
        <v>0.19059999999999999</v>
      </c>
      <c r="AJ83" s="1">
        <v>0.20180000000000001</v>
      </c>
      <c r="AK83" s="1">
        <v>0.92779999999999996</v>
      </c>
    </row>
    <row r="84" spans="2:37" x14ac:dyDescent="0.25">
      <c r="B84" s="236">
        <f t="shared" si="17"/>
        <v>68</v>
      </c>
      <c r="C84" s="236"/>
      <c r="D84" s="289">
        <f t="shared" si="18"/>
        <v>0.121</v>
      </c>
      <c r="E84" s="289"/>
      <c r="F84" s="289">
        <f t="shared" si="19"/>
        <v>9.9179999999999997E-7</v>
      </c>
      <c r="G84" s="289"/>
      <c r="H84" s="289">
        <f t="shared" si="20"/>
        <v>0</v>
      </c>
      <c r="I84" s="289"/>
      <c r="J84" s="289">
        <f t="shared" si="21"/>
        <v>2.6650000000000001E-5</v>
      </c>
      <c r="K84" s="289"/>
      <c r="L84" s="289">
        <f t="shared" si="22"/>
        <v>0.94440000000000002</v>
      </c>
      <c r="M84" s="289"/>
      <c r="N84" s="289">
        <f t="shared" si="23"/>
        <v>0.92069999999999996</v>
      </c>
      <c r="O84" s="289"/>
      <c r="P84" s="289">
        <f t="shared" si="24"/>
        <v>0.33200000000000002</v>
      </c>
      <c r="Q84" s="289"/>
      <c r="W84" s="1" t="s">
        <v>84</v>
      </c>
      <c r="X84" s="1">
        <v>72</v>
      </c>
      <c r="Y84" s="1">
        <v>0.121</v>
      </c>
      <c r="Z84" s="69">
        <v>2.7669999999999999E-6</v>
      </c>
      <c r="AA84" s="69">
        <v>0</v>
      </c>
      <c r="AB84" s="69">
        <v>2.9999999999999997E-4</v>
      </c>
      <c r="AC84" s="1">
        <v>0.94450000000000001</v>
      </c>
      <c r="AD84" s="1">
        <v>0.92069999999999996</v>
      </c>
      <c r="AE84" s="1">
        <v>0.33339999999999997</v>
      </c>
      <c r="AF84" s="69">
        <v>1E-4</v>
      </c>
      <c r="AG84" s="69">
        <v>2.5660000000000002E-5</v>
      </c>
      <c r="AH84" s="69">
        <v>6.3659999999999997E-7</v>
      </c>
      <c r="AI84" s="1">
        <v>0.19070000000000001</v>
      </c>
      <c r="AJ84" s="1">
        <v>0.20180000000000001</v>
      </c>
      <c r="AK84" s="1">
        <v>0.92779999999999996</v>
      </c>
    </row>
    <row r="85" spans="2:37" x14ac:dyDescent="0.25">
      <c r="B85" s="236">
        <f t="shared" si="17"/>
        <v>69</v>
      </c>
      <c r="C85" s="236"/>
      <c r="D85" s="289">
        <f t="shared" si="18"/>
        <v>0.121</v>
      </c>
      <c r="E85" s="289"/>
      <c r="F85" s="289">
        <f t="shared" si="19"/>
        <v>0</v>
      </c>
      <c r="G85" s="289"/>
      <c r="H85" s="289">
        <f t="shared" si="20"/>
        <v>0</v>
      </c>
      <c r="I85" s="289"/>
      <c r="J85" s="289">
        <f t="shared" si="21"/>
        <v>1E-4</v>
      </c>
      <c r="K85" s="289"/>
      <c r="L85" s="289">
        <f t="shared" si="22"/>
        <v>0.94440000000000002</v>
      </c>
      <c r="M85" s="289"/>
      <c r="N85" s="289">
        <f t="shared" si="23"/>
        <v>0.92069999999999996</v>
      </c>
      <c r="O85" s="289"/>
      <c r="P85" s="289">
        <f t="shared" si="24"/>
        <v>0.33210000000000001</v>
      </c>
      <c r="Q85" s="289"/>
      <c r="W85" s="1" t="s">
        <v>84</v>
      </c>
      <c r="X85" s="1">
        <v>73</v>
      </c>
      <c r="Y85" s="1">
        <v>0.121</v>
      </c>
      <c r="Z85" s="69">
        <v>7.5519999999999999E-7</v>
      </c>
      <c r="AA85" s="69">
        <v>0</v>
      </c>
      <c r="AB85" s="69">
        <v>2.0000000000000001E-4</v>
      </c>
      <c r="AC85" s="1">
        <v>0.94450000000000001</v>
      </c>
      <c r="AD85" s="1">
        <v>0.92069999999999996</v>
      </c>
      <c r="AE85" s="1">
        <v>0.33360000000000001</v>
      </c>
      <c r="AF85" s="69">
        <v>5.0000000000000001E-4</v>
      </c>
      <c r="AG85" s="69">
        <v>2.1239999999999999E-6</v>
      </c>
      <c r="AH85" s="69">
        <v>2.1509999999999998E-6</v>
      </c>
      <c r="AI85" s="1">
        <v>0.19120000000000001</v>
      </c>
      <c r="AJ85" s="1">
        <v>0.20180000000000001</v>
      </c>
      <c r="AK85" s="1">
        <v>0.92779999999999996</v>
      </c>
    </row>
    <row r="86" spans="2:37" x14ac:dyDescent="0.25">
      <c r="B86" s="236">
        <f t="shared" si="17"/>
        <v>70</v>
      </c>
      <c r="C86" s="236"/>
      <c r="D86" s="289">
        <f t="shared" si="18"/>
        <v>0.121</v>
      </c>
      <c r="E86" s="289"/>
      <c r="F86" s="289">
        <f t="shared" si="19"/>
        <v>0</v>
      </c>
      <c r="G86" s="289"/>
      <c r="H86" s="289">
        <f t="shared" si="20"/>
        <v>0</v>
      </c>
      <c r="I86" s="289"/>
      <c r="J86" s="289">
        <f t="shared" si="21"/>
        <v>2.5899999999999999E-5</v>
      </c>
      <c r="K86" s="289"/>
      <c r="L86" s="289">
        <f t="shared" si="22"/>
        <v>0.94440000000000002</v>
      </c>
      <c r="M86" s="289"/>
      <c r="N86" s="289">
        <f t="shared" si="23"/>
        <v>0.92069999999999996</v>
      </c>
      <c r="O86" s="289"/>
      <c r="P86" s="289">
        <f t="shared" si="24"/>
        <v>0.33210000000000001</v>
      </c>
      <c r="Q86" s="289"/>
      <c r="W86" s="1" t="s">
        <v>84</v>
      </c>
      <c r="X86" s="1">
        <v>74</v>
      </c>
      <c r="Y86" s="1">
        <v>0.12</v>
      </c>
      <c r="Z86" s="69">
        <v>8.2379999999999995E-7</v>
      </c>
      <c r="AA86" s="69">
        <v>0</v>
      </c>
      <c r="AB86" s="69">
        <v>8.0000000000000004E-4</v>
      </c>
      <c r="AC86" s="1">
        <v>0.94450000000000001</v>
      </c>
      <c r="AD86" s="1">
        <v>0.92069999999999996</v>
      </c>
      <c r="AE86" s="1">
        <v>0.33429999999999999</v>
      </c>
      <c r="AF86" s="69">
        <v>6.9999999999999999E-4</v>
      </c>
      <c r="AG86" s="69">
        <v>2.0000000000000001E-4</v>
      </c>
      <c r="AH86" s="69">
        <v>0</v>
      </c>
      <c r="AI86" s="1">
        <v>0.19189999999999999</v>
      </c>
      <c r="AJ86" s="1">
        <v>0.2021</v>
      </c>
      <c r="AK86" s="1">
        <v>0.92779999999999996</v>
      </c>
    </row>
    <row r="87" spans="2:37" x14ac:dyDescent="0.25">
      <c r="B87" s="236">
        <f t="shared" si="17"/>
        <v>71</v>
      </c>
      <c r="C87" s="236"/>
      <c r="D87" s="289">
        <f t="shared" si="18"/>
        <v>0.121</v>
      </c>
      <c r="E87" s="289"/>
      <c r="F87" s="289">
        <f t="shared" si="19"/>
        <v>2.3549999999999999E-6</v>
      </c>
      <c r="G87" s="289"/>
      <c r="H87" s="289">
        <f t="shared" si="20"/>
        <v>0</v>
      </c>
      <c r="I87" s="289"/>
      <c r="J87" s="289">
        <f t="shared" si="21"/>
        <v>1E-3</v>
      </c>
      <c r="K87" s="289"/>
      <c r="L87" s="289">
        <f t="shared" si="22"/>
        <v>0.94450000000000001</v>
      </c>
      <c r="M87" s="289"/>
      <c r="N87" s="289">
        <f t="shared" si="23"/>
        <v>0.92069999999999996</v>
      </c>
      <c r="O87" s="289"/>
      <c r="P87" s="289">
        <f t="shared" si="24"/>
        <v>0.33310000000000001</v>
      </c>
      <c r="Q87" s="289"/>
      <c r="W87" s="1" t="s">
        <v>84</v>
      </c>
      <c r="X87" s="1">
        <v>75</v>
      </c>
      <c r="Y87" s="1">
        <v>0.12</v>
      </c>
      <c r="Z87" s="69">
        <v>2.5280000000000002E-6</v>
      </c>
      <c r="AA87" s="69">
        <v>0</v>
      </c>
      <c r="AB87" s="69">
        <v>2.5000000000000001E-3</v>
      </c>
      <c r="AC87" s="1">
        <v>0.94450000000000001</v>
      </c>
      <c r="AD87" s="1">
        <v>0.92069999999999996</v>
      </c>
      <c r="AE87" s="1">
        <v>0.33679999999999999</v>
      </c>
      <c r="AF87" s="69">
        <v>3.0000000000000001E-3</v>
      </c>
      <c r="AG87" s="69">
        <v>1.1999999999999999E-3</v>
      </c>
      <c r="AH87" s="69">
        <v>0</v>
      </c>
      <c r="AI87" s="1">
        <v>0.19489999999999999</v>
      </c>
      <c r="AJ87" s="1">
        <v>0.20330000000000001</v>
      </c>
      <c r="AK87" s="1">
        <v>0.92779999999999996</v>
      </c>
    </row>
    <row r="88" spans="2:37" x14ac:dyDescent="0.25">
      <c r="B88" s="236">
        <f t="shared" si="17"/>
        <v>72</v>
      </c>
      <c r="C88" s="236"/>
      <c r="D88" s="289">
        <f t="shared" si="18"/>
        <v>0.121</v>
      </c>
      <c r="E88" s="289"/>
      <c r="F88" s="289">
        <f t="shared" si="19"/>
        <v>2.7669999999999999E-6</v>
      </c>
      <c r="G88" s="289"/>
      <c r="H88" s="289">
        <f t="shared" si="20"/>
        <v>0</v>
      </c>
      <c r="I88" s="289"/>
      <c r="J88" s="289">
        <f t="shared" si="21"/>
        <v>2.9999999999999997E-4</v>
      </c>
      <c r="K88" s="289"/>
      <c r="L88" s="289">
        <f t="shared" si="22"/>
        <v>0.94450000000000001</v>
      </c>
      <c r="M88" s="289"/>
      <c r="N88" s="289">
        <f t="shared" si="23"/>
        <v>0.92069999999999996</v>
      </c>
      <c r="O88" s="289"/>
      <c r="P88" s="289">
        <f t="shared" si="24"/>
        <v>0.33339999999999997</v>
      </c>
      <c r="Q88" s="289"/>
      <c r="W88" s="1" t="s">
        <v>84</v>
      </c>
      <c r="X88" s="1">
        <v>76</v>
      </c>
      <c r="Y88" s="1">
        <v>0.12</v>
      </c>
      <c r="Z88" s="69">
        <v>2.4510000000000001E-5</v>
      </c>
      <c r="AA88" s="69">
        <v>0</v>
      </c>
      <c r="AB88" s="69">
        <v>5.3E-3</v>
      </c>
      <c r="AC88" s="1">
        <v>0.94450000000000001</v>
      </c>
      <c r="AD88" s="1">
        <v>0.92069999999999996</v>
      </c>
      <c r="AE88" s="1">
        <v>0.3422</v>
      </c>
      <c r="AF88" s="69">
        <v>5.3E-3</v>
      </c>
      <c r="AG88" s="69">
        <v>2.3999999999999998E-3</v>
      </c>
      <c r="AH88" s="69">
        <v>6.9890000000000003E-6</v>
      </c>
      <c r="AI88" s="1">
        <v>0.2001</v>
      </c>
      <c r="AJ88" s="1">
        <v>0.20569999999999999</v>
      </c>
      <c r="AK88" s="1">
        <v>0.92779999999999996</v>
      </c>
    </row>
    <row r="89" spans="2:37" x14ac:dyDescent="0.25">
      <c r="B89" s="236">
        <f t="shared" si="17"/>
        <v>73</v>
      </c>
      <c r="C89" s="236"/>
      <c r="D89" s="289">
        <f t="shared" si="18"/>
        <v>0.121</v>
      </c>
      <c r="E89" s="289"/>
      <c r="F89" s="289">
        <f t="shared" si="19"/>
        <v>7.5519999999999999E-7</v>
      </c>
      <c r="G89" s="289"/>
      <c r="H89" s="289">
        <f t="shared" si="20"/>
        <v>0</v>
      </c>
      <c r="I89" s="289"/>
      <c r="J89" s="289">
        <f t="shared" si="21"/>
        <v>2.0000000000000001E-4</v>
      </c>
      <c r="K89" s="289"/>
      <c r="L89" s="289">
        <f t="shared" si="22"/>
        <v>0.94450000000000001</v>
      </c>
      <c r="M89" s="289"/>
      <c r="N89" s="289">
        <f t="shared" si="23"/>
        <v>0.92069999999999996</v>
      </c>
      <c r="O89" s="289"/>
      <c r="P89" s="289">
        <f t="shared" si="24"/>
        <v>0.33360000000000001</v>
      </c>
      <c r="Q89" s="289"/>
      <c r="W89" s="1" t="s">
        <v>84</v>
      </c>
      <c r="X89" s="1">
        <v>77</v>
      </c>
      <c r="Y89" s="1">
        <v>0.12</v>
      </c>
      <c r="Z89" s="69">
        <v>0</v>
      </c>
      <c r="AA89" s="69">
        <v>0</v>
      </c>
      <c r="AB89" s="69">
        <v>6.7000000000000002E-3</v>
      </c>
      <c r="AC89" s="1">
        <v>0.94450000000000001</v>
      </c>
      <c r="AD89" s="1">
        <v>0.92069999999999996</v>
      </c>
      <c r="AE89" s="1">
        <v>0.34889999999999999</v>
      </c>
      <c r="AF89" s="69">
        <v>6.8999999999999999E-3</v>
      </c>
      <c r="AG89" s="69">
        <v>2.8999999999999998E-3</v>
      </c>
      <c r="AH89" s="69">
        <v>2.1019999999999999E-6</v>
      </c>
      <c r="AI89" s="1">
        <v>0.20699999999999999</v>
      </c>
      <c r="AJ89" s="1">
        <v>0.2087</v>
      </c>
      <c r="AK89" s="1">
        <v>0.92779999999999996</v>
      </c>
    </row>
    <row r="90" spans="2:37" x14ac:dyDescent="0.25">
      <c r="B90" s="236">
        <f>X86</f>
        <v>74</v>
      </c>
      <c r="C90" s="236"/>
      <c r="D90" s="289">
        <f>Y86</f>
        <v>0.12</v>
      </c>
      <c r="E90" s="289"/>
      <c r="F90" s="289">
        <f>Z86</f>
        <v>8.2379999999999995E-7</v>
      </c>
      <c r="G90" s="289"/>
      <c r="H90" s="289">
        <f>AA86</f>
        <v>0</v>
      </c>
      <c r="I90" s="289"/>
      <c r="J90" s="289">
        <f>AB86</f>
        <v>8.0000000000000004E-4</v>
      </c>
      <c r="K90" s="289"/>
      <c r="L90" s="289">
        <f>AC86</f>
        <v>0.94450000000000001</v>
      </c>
      <c r="M90" s="289"/>
      <c r="N90" s="289">
        <f>AD86</f>
        <v>0.92069999999999996</v>
      </c>
      <c r="O90" s="289"/>
      <c r="P90" s="289">
        <f>AE86</f>
        <v>0.33429999999999999</v>
      </c>
      <c r="Q90" s="289"/>
      <c r="W90" s="1" t="s">
        <v>84</v>
      </c>
      <c r="X90" s="1">
        <v>78</v>
      </c>
      <c r="Y90" s="1">
        <v>0.12</v>
      </c>
      <c r="Z90" s="69">
        <v>0</v>
      </c>
      <c r="AA90" s="69">
        <v>0</v>
      </c>
      <c r="AB90" s="69">
        <v>1E-4</v>
      </c>
      <c r="AC90" s="1">
        <v>0.94450000000000001</v>
      </c>
      <c r="AD90" s="1">
        <v>0.92069999999999996</v>
      </c>
      <c r="AE90" s="1">
        <v>0.34899999999999998</v>
      </c>
      <c r="AF90" s="69">
        <v>2.0000000000000001E-4</v>
      </c>
      <c r="AG90" s="69">
        <v>2.103E-5</v>
      </c>
      <c r="AH90" s="69">
        <v>0</v>
      </c>
      <c r="AI90" s="1">
        <v>0.2072</v>
      </c>
      <c r="AJ90" s="1">
        <v>0.2087</v>
      </c>
      <c r="AK90" s="1">
        <v>0.92779999999999996</v>
      </c>
    </row>
    <row r="91" spans="2:37" x14ac:dyDescent="0.25">
      <c r="B91" s="236">
        <f t="shared" ref="B91:B94" si="25">X87</f>
        <v>75</v>
      </c>
      <c r="C91" s="236"/>
      <c r="D91" s="289">
        <f t="shared" ref="D91:D94" si="26">Y87</f>
        <v>0.12</v>
      </c>
      <c r="E91" s="289"/>
      <c r="F91" s="289">
        <f t="shared" ref="F91:F94" si="27">Z87</f>
        <v>2.5280000000000002E-6</v>
      </c>
      <c r="G91" s="289"/>
      <c r="H91" s="289">
        <f t="shared" ref="H91:H94" si="28">AA87</f>
        <v>0</v>
      </c>
      <c r="I91" s="289"/>
      <c r="J91" s="289">
        <f t="shared" ref="J91:J94" si="29">AB87</f>
        <v>2.5000000000000001E-3</v>
      </c>
      <c r="K91" s="289"/>
      <c r="L91" s="289">
        <f t="shared" ref="L91:L94" si="30">AC87</f>
        <v>0.94450000000000001</v>
      </c>
      <c r="M91" s="289"/>
      <c r="N91" s="289">
        <f t="shared" ref="N91:N94" si="31">AD87</f>
        <v>0.92069999999999996</v>
      </c>
      <c r="O91" s="289"/>
      <c r="P91" s="289">
        <f t="shared" ref="P91:P94" si="32">AE87</f>
        <v>0.33679999999999999</v>
      </c>
      <c r="Q91" s="289"/>
      <c r="W91" s="1" t="s">
        <v>84</v>
      </c>
      <c r="X91" s="1">
        <v>79</v>
      </c>
      <c r="Y91" s="1">
        <v>0.12</v>
      </c>
      <c r="Z91" s="69">
        <v>8.2030000000000001E-7</v>
      </c>
      <c r="AA91" s="69">
        <v>0</v>
      </c>
      <c r="AB91" s="69">
        <v>1E-4</v>
      </c>
      <c r="AC91" s="1">
        <v>0.94450000000000001</v>
      </c>
      <c r="AD91" s="1">
        <v>0.92069999999999996</v>
      </c>
      <c r="AE91" s="1">
        <v>0.34910000000000002</v>
      </c>
      <c r="AF91" s="69">
        <v>1.7519999999999999E-6</v>
      </c>
      <c r="AG91" s="69">
        <v>7.4080000000000001E-6</v>
      </c>
      <c r="AH91" s="69">
        <v>0</v>
      </c>
      <c r="AI91" s="1">
        <v>0.2072</v>
      </c>
      <c r="AJ91" s="1">
        <v>0.2087</v>
      </c>
      <c r="AK91" s="1">
        <v>0.92779999999999996</v>
      </c>
    </row>
    <row r="92" spans="2:37" x14ac:dyDescent="0.25">
      <c r="B92" s="236">
        <f t="shared" si="25"/>
        <v>76</v>
      </c>
      <c r="C92" s="236"/>
      <c r="D92" s="289">
        <f t="shared" si="26"/>
        <v>0.12</v>
      </c>
      <c r="E92" s="289"/>
      <c r="F92" s="289">
        <f t="shared" si="27"/>
        <v>2.4510000000000001E-5</v>
      </c>
      <c r="G92" s="289"/>
      <c r="H92" s="289">
        <f t="shared" si="28"/>
        <v>0</v>
      </c>
      <c r="I92" s="289"/>
      <c r="J92" s="289">
        <f t="shared" si="29"/>
        <v>5.3E-3</v>
      </c>
      <c r="K92" s="289"/>
      <c r="L92" s="289">
        <f t="shared" si="30"/>
        <v>0.94450000000000001</v>
      </c>
      <c r="M92" s="289"/>
      <c r="N92" s="289">
        <f t="shared" si="31"/>
        <v>0.92069999999999996</v>
      </c>
      <c r="O92" s="289"/>
      <c r="P92" s="289">
        <f t="shared" si="32"/>
        <v>0.3422</v>
      </c>
      <c r="Q92" s="289"/>
      <c r="W92" s="1" t="s">
        <v>84</v>
      </c>
      <c r="X92" s="1">
        <v>80</v>
      </c>
      <c r="Y92" s="1">
        <v>0.12</v>
      </c>
      <c r="Z92" s="69">
        <v>7.4669999999999998E-7</v>
      </c>
      <c r="AA92" s="69">
        <v>0</v>
      </c>
      <c r="AB92" s="69">
        <v>1.79E-6</v>
      </c>
      <c r="AC92" s="1">
        <v>0.94450000000000001</v>
      </c>
      <c r="AD92" s="1">
        <v>0.92069999999999996</v>
      </c>
      <c r="AE92" s="1">
        <v>0.34910000000000002</v>
      </c>
      <c r="AF92" s="69">
        <v>2.1799999999999999E-6</v>
      </c>
      <c r="AG92" s="69">
        <v>1E-4</v>
      </c>
      <c r="AH92" s="69">
        <v>0</v>
      </c>
      <c r="AI92" s="1">
        <v>0.2072</v>
      </c>
      <c r="AJ92" s="1">
        <v>0.20880000000000001</v>
      </c>
      <c r="AK92" s="1">
        <v>0.92779999999999996</v>
      </c>
    </row>
    <row r="93" spans="2:37" x14ac:dyDescent="0.25">
      <c r="B93" s="236">
        <f t="shared" si="25"/>
        <v>77</v>
      </c>
      <c r="C93" s="236"/>
      <c r="D93" s="289">
        <f t="shared" si="26"/>
        <v>0.12</v>
      </c>
      <c r="E93" s="289"/>
      <c r="F93" s="289">
        <f t="shared" si="27"/>
        <v>0</v>
      </c>
      <c r="G93" s="289"/>
      <c r="H93" s="289">
        <f t="shared" si="28"/>
        <v>0</v>
      </c>
      <c r="I93" s="289"/>
      <c r="J93" s="289">
        <f t="shared" si="29"/>
        <v>6.7000000000000002E-3</v>
      </c>
      <c r="K93" s="289"/>
      <c r="L93" s="289">
        <f t="shared" si="30"/>
        <v>0.94450000000000001</v>
      </c>
      <c r="M93" s="289"/>
      <c r="N93" s="289">
        <f t="shared" si="31"/>
        <v>0.92069999999999996</v>
      </c>
      <c r="O93" s="289"/>
      <c r="P93" s="289">
        <f t="shared" si="32"/>
        <v>0.34889999999999999</v>
      </c>
      <c r="Q93" s="289"/>
      <c r="W93" s="1" t="s">
        <v>84</v>
      </c>
      <c r="X93" s="1">
        <v>81</v>
      </c>
      <c r="Y93" s="1">
        <v>0.12</v>
      </c>
      <c r="Z93" s="69">
        <v>0</v>
      </c>
      <c r="AA93" s="69">
        <v>0</v>
      </c>
      <c r="AB93" s="69">
        <v>2.6849999999999999E-5</v>
      </c>
      <c r="AC93" s="1">
        <v>0.94450000000000001</v>
      </c>
      <c r="AD93" s="1">
        <v>0.92069999999999996</v>
      </c>
      <c r="AE93" s="1">
        <v>0.34910000000000002</v>
      </c>
      <c r="AF93" s="69">
        <v>1.0589999999999999E-6</v>
      </c>
      <c r="AG93" s="69">
        <v>1.4559999999999999E-6</v>
      </c>
      <c r="AH93" s="69">
        <v>0</v>
      </c>
      <c r="AI93" s="1">
        <v>0.2072</v>
      </c>
      <c r="AJ93" s="1">
        <v>0.20880000000000001</v>
      </c>
      <c r="AK93" s="1">
        <v>0.92779999999999996</v>
      </c>
    </row>
    <row r="94" spans="2:37" x14ac:dyDescent="0.25">
      <c r="B94" s="236">
        <f t="shared" si="25"/>
        <v>78</v>
      </c>
      <c r="C94" s="236"/>
      <c r="D94" s="289">
        <f t="shared" si="26"/>
        <v>0.12</v>
      </c>
      <c r="E94" s="289"/>
      <c r="F94" s="289">
        <f t="shared" si="27"/>
        <v>0</v>
      </c>
      <c r="G94" s="289"/>
      <c r="H94" s="289">
        <f t="shared" si="28"/>
        <v>0</v>
      </c>
      <c r="I94" s="289"/>
      <c r="J94" s="289">
        <f t="shared" si="29"/>
        <v>1E-4</v>
      </c>
      <c r="K94" s="289"/>
      <c r="L94" s="289">
        <f t="shared" si="30"/>
        <v>0.94450000000000001</v>
      </c>
      <c r="M94" s="289"/>
      <c r="N94" s="289">
        <f t="shared" si="31"/>
        <v>0.92069999999999996</v>
      </c>
      <c r="O94" s="289"/>
      <c r="P94" s="289">
        <f t="shared" si="32"/>
        <v>0.34899999999999998</v>
      </c>
      <c r="Q94" s="289"/>
      <c r="W94" s="1" t="s">
        <v>84</v>
      </c>
      <c r="X94" s="1">
        <v>82</v>
      </c>
      <c r="Y94" s="1">
        <v>0.12</v>
      </c>
      <c r="Z94" s="69">
        <v>0</v>
      </c>
      <c r="AA94" s="69">
        <v>0</v>
      </c>
      <c r="AB94" s="69">
        <v>4.1709999999999999E-5</v>
      </c>
      <c r="AC94" s="1">
        <v>0.94450000000000001</v>
      </c>
      <c r="AD94" s="1">
        <v>0.92069999999999996</v>
      </c>
      <c r="AE94" s="1">
        <v>0.34920000000000001</v>
      </c>
      <c r="AF94" s="69">
        <v>3.252E-6</v>
      </c>
      <c r="AG94" s="69">
        <v>5.1229999999999999E-6</v>
      </c>
      <c r="AH94" s="69">
        <v>0</v>
      </c>
      <c r="AI94" s="1">
        <v>0.2072</v>
      </c>
      <c r="AJ94" s="1">
        <v>0.20880000000000001</v>
      </c>
      <c r="AK94" s="1">
        <v>0.92779999999999996</v>
      </c>
    </row>
    <row r="95" spans="2:37" x14ac:dyDescent="0.25">
      <c r="B95" s="236">
        <f t="shared" ref="B95:B123" si="33">X91</f>
        <v>79</v>
      </c>
      <c r="C95" s="236"/>
      <c r="D95" s="289">
        <f t="shared" ref="D95:D123" si="34">Y91</f>
        <v>0.12</v>
      </c>
      <c r="E95" s="289"/>
      <c r="F95" s="289">
        <f t="shared" ref="F95:F123" si="35">Z91</f>
        <v>8.2030000000000001E-7</v>
      </c>
      <c r="G95" s="289"/>
      <c r="H95" s="289">
        <f t="shared" ref="H95:H123" si="36">AA91</f>
        <v>0</v>
      </c>
      <c r="I95" s="289"/>
      <c r="J95" s="289">
        <f t="shared" ref="J95:J123" si="37">AB91</f>
        <v>1E-4</v>
      </c>
      <c r="K95" s="289"/>
      <c r="L95" s="289">
        <f t="shared" ref="L95:L123" si="38">AC91</f>
        <v>0.94450000000000001</v>
      </c>
      <c r="M95" s="289"/>
      <c r="N95" s="289">
        <f t="shared" ref="N95:N123" si="39">AD91</f>
        <v>0.92069999999999996</v>
      </c>
      <c r="O95" s="289"/>
      <c r="P95" s="289">
        <f t="shared" ref="P95:P123" si="40">AE91</f>
        <v>0.34910000000000002</v>
      </c>
      <c r="Q95" s="289"/>
      <c r="W95" s="1" t="s">
        <v>84</v>
      </c>
      <c r="X95" s="1">
        <v>83</v>
      </c>
      <c r="Y95" s="1">
        <v>0.12</v>
      </c>
      <c r="Z95" s="69">
        <v>0</v>
      </c>
      <c r="AA95" s="69">
        <v>0</v>
      </c>
      <c r="AB95" s="69">
        <v>1E-4</v>
      </c>
      <c r="AC95" s="1">
        <v>0.94450000000000001</v>
      </c>
      <c r="AD95" s="1">
        <v>0.92069999999999996</v>
      </c>
      <c r="AE95" s="1">
        <v>0.3493</v>
      </c>
      <c r="AF95" s="69">
        <v>1E-4</v>
      </c>
      <c r="AG95" s="69">
        <v>1.9549999999999999E-6</v>
      </c>
      <c r="AH95" s="69">
        <v>0</v>
      </c>
      <c r="AI95" s="1">
        <v>0.20730000000000001</v>
      </c>
      <c r="AJ95" s="1">
        <v>0.20880000000000001</v>
      </c>
      <c r="AK95" s="1">
        <v>0.92779999999999996</v>
      </c>
    </row>
    <row r="96" spans="2:37" x14ac:dyDescent="0.25">
      <c r="B96" s="236">
        <f t="shared" si="33"/>
        <v>80</v>
      </c>
      <c r="C96" s="236"/>
      <c r="D96" s="289">
        <f t="shared" si="34"/>
        <v>0.12</v>
      </c>
      <c r="E96" s="289"/>
      <c r="F96" s="289">
        <f t="shared" si="35"/>
        <v>7.4669999999999998E-7</v>
      </c>
      <c r="G96" s="289"/>
      <c r="H96" s="289">
        <f t="shared" si="36"/>
        <v>0</v>
      </c>
      <c r="I96" s="289"/>
      <c r="J96" s="289">
        <f t="shared" si="37"/>
        <v>1.79E-6</v>
      </c>
      <c r="K96" s="289"/>
      <c r="L96" s="289">
        <f t="shared" si="38"/>
        <v>0.94450000000000001</v>
      </c>
      <c r="M96" s="289"/>
      <c r="N96" s="289">
        <f t="shared" si="39"/>
        <v>0.92069999999999996</v>
      </c>
      <c r="O96" s="289"/>
      <c r="P96" s="289">
        <f t="shared" si="40"/>
        <v>0.34910000000000002</v>
      </c>
      <c r="Q96" s="289"/>
      <c r="W96" s="1" t="s">
        <v>84</v>
      </c>
      <c r="X96" s="1">
        <v>84</v>
      </c>
      <c r="Y96" s="1">
        <v>0.12</v>
      </c>
      <c r="Z96" s="69">
        <v>0</v>
      </c>
      <c r="AA96" s="69">
        <v>0</v>
      </c>
      <c r="AB96" s="69">
        <v>3.6449999999999998E-5</v>
      </c>
      <c r="AC96" s="1">
        <v>0.94450000000000001</v>
      </c>
      <c r="AD96" s="1">
        <v>0.92069999999999996</v>
      </c>
      <c r="AE96" s="1">
        <v>0.3493</v>
      </c>
      <c r="AF96" s="69">
        <v>1.242E-5</v>
      </c>
      <c r="AG96" s="69">
        <v>0</v>
      </c>
      <c r="AH96" s="69">
        <v>0</v>
      </c>
      <c r="AI96" s="1">
        <v>0.20730000000000001</v>
      </c>
      <c r="AJ96" s="1">
        <v>0.20880000000000001</v>
      </c>
      <c r="AK96" s="1">
        <v>0.92779999999999996</v>
      </c>
    </row>
    <row r="97" spans="2:37" x14ac:dyDescent="0.25">
      <c r="B97" s="236">
        <f t="shared" si="33"/>
        <v>81</v>
      </c>
      <c r="C97" s="236"/>
      <c r="D97" s="289">
        <f t="shared" si="34"/>
        <v>0.12</v>
      </c>
      <c r="E97" s="289"/>
      <c r="F97" s="289">
        <f t="shared" si="35"/>
        <v>0</v>
      </c>
      <c r="G97" s="289"/>
      <c r="H97" s="289">
        <f t="shared" si="36"/>
        <v>0</v>
      </c>
      <c r="I97" s="289"/>
      <c r="J97" s="289">
        <f t="shared" si="37"/>
        <v>2.6849999999999999E-5</v>
      </c>
      <c r="K97" s="289"/>
      <c r="L97" s="289">
        <f t="shared" si="38"/>
        <v>0.94450000000000001</v>
      </c>
      <c r="M97" s="289"/>
      <c r="N97" s="289">
        <f t="shared" si="39"/>
        <v>0.92069999999999996</v>
      </c>
      <c r="O97" s="289"/>
      <c r="P97" s="289">
        <f t="shared" si="40"/>
        <v>0.34910000000000002</v>
      </c>
      <c r="Q97" s="289"/>
      <c r="W97" s="1" t="s">
        <v>84</v>
      </c>
      <c r="X97" s="1">
        <v>85</v>
      </c>
      <c r="Y97" s="1">
        <v>0.12</v>
      </c>
      <c r="Z97" s="69">
        <v>0</v>
      </c>
      <c r="AA97" s="69">
        <v>0</v>
      </c>
      <c r="AB97" s="69">
        <v>9.6860000000000001E-6</v>
      </c>
      <c r="AC97" s="1">
        <v>0.94450000000000001</v>
      </c>
      <c r="AD97" s="1">
        <v>0.92069999999999996</v>
      </c>
      <c r="AE97" s="1">
        <v>0.3493</v>
      </c>
      <c r="AF97" s="69">
        <v>6.5509999999999996E-6</v>
      </c>
      <c r="AG97" s="69">
        <v>1.5270000000000001E-5</v>
      </c>
      <c r="AH97" s="69">
        <v>0</v>
      </c>
      <c r="AI97" s="1">
        <v>0.20730000000000001</v>
      </c>
      <c r="AJ97" s="1">
        <v>0.20880000000000001</v>
      </c>
      <c r="AK97" s="1">
        <v>0.92779999999999996</v>
      </c>
    </row>
    <row r="98" spans="2:37" x14ac:dyDescent="0.25">
      <c r="B98" s="236">
        <f t="shared" si="33"/>
        <v>82</v>
      </c>
      <c r="C98" s="236"/>
      <c r="D98" s="289">
        <f t="shared" si="34"/>
        <v>0.12</v>
      </c>
      <c r="E98" s="289"/>
      <c r="F98" s="289">
        <f t="shared" si="35"/>
        <v>0</v>
      </c>
      <c r="G98" s="289"/>
      <c r="H98" s="289">
        <f t="shared" si="36"/>
        <v>0</v>
      </c>
      <c r="I98" s="289"/>
      <c r="J98" s="289">
        <f t="shared" si="37"/>
        <v>4.1709999999999999E-5</v>
      </c>
      <c r="K98" s="289"/>
      <c r="L98" s="289">
        <f t="shared" si="38"/>
        <v>0.94450000000000001</v>
      </c>
      <c r="M98" s="289"/>
      <c r="N98" s="289">
        <f t="shared" si="39"/>
        <v>0.92069999999999996</v>
      </c>
      <c r="O98" s="289"/>
      <c r="P98" s="289">
        <f t="shared" si="40"/>
        <v>0.34920000000000001</v>
      </c>
      <c r="Q98" s="289"/>
      <c r="W98" s="1" t="s">
        <v>84</v>
      </c>
      <c r="X98" s="1">
        <v>86</v>
      </c>
      <c r="Y98" s="1">
        <v>0.12</v>
      </c>
      <c r="Z98" s="69">
        <v>0</v>
      </c>
      <c r="AA98" s="69">
        <v>0</v>
      </c>
      <c r="AB98" s="69">
        <v>2.8070000000000001E-5</v>
      </c>
      <c r="AC98" s="1">
        <v>0.94450000000000001</v>
      </c>
      <c r="AD98" s="1">
        <v>0.92069999999999996</v>
      </c>
      <c r="AE98" s="1">
        <v>0.3493</v>
      </c>
      <c r="AF98" s="69">
        <v>7.9429999999999996E-7</v>
      </c>
      <c r="AG98" s="69">
        <v>0</v>
      </c>
      <c r="AH98" s="69">
        <v>0</v>
      </c>
      <c r="AI98" s="1">
        <v>0.20730000000000001</v>
      </c>
      <c r="AJ98" s="1">
        <v>0.20880000000000001</v>
      </c>
      <c r="AK98" s="1">
        <v>0.92779999999999996</v>
      </c>
    </row>
    <row r="99" spans="2:37" x14ac:dyDescent="0.25">
      <c r="B99" s="236">
        <f t="shared" si="33"/>
        <v>83</v>
      </c>
      <c r="C99" s="236"/>
      <c r="D99" s="289">
        <f t="shared" si="34"/>
        <v>0.12</v>
      </c>
      <c r="E99" s="289"/>
      <c r="F99" s="289">
        <f t="shared" si="35"/>
        <v>0</v>
      </c>
      <c r="G99" s="289"/>
      <c r="H99" s="289">
        <f t="shared" si="36"/>
        <v>0</v>
      </c>
      <c r="I99" s="289"/>
      <c r="J99" s="289">
        <f t="shared" si="37"/>
        <v>1E-4</v>
      </c>
      <c r="K99" s="289"/>
      <c r="L99" s="289">
        <f t="shared" si="38"/>
        <v>0.94450000000000001</v>
      </c>
      <c r="M99" s="289"/>
      <c r="N99" s="289">
        <f t="shared" si="39"/>
        <v>0.92069999999999996</v>
      </c>
      <c r="O99" s="289"/>
      <c r="P99" s="289">
        <f t="shared" si="40"/>
        <v>0.3493</v>
      </c>
      <c r="Q99" s="289"/>
      <c r="W99" s="1" t="s">
        <v>84</v>
      </c>
      <c r="X99" s="1">
        <v>87</v>
      </c>
      <c r="Y99" s="1">
        <v>0.12</v>
      </c>
      <c r="Z99" s="69">
        <v>0</v>
      </c>
      <c r="AA99" s="69">
        <v>0</v>
      </c>
      <c r="AB99" s="69">
        <v>2.1509999999999999E-5</v>
      </c>
      <c r="AC99" s="1">
        <v>0.94450000000000001</v>
      </c>
      <c r="AD99" s="1">
        <v>0.92069999999999996</v>
      </c>
      <c r="AE99" s="1">
        <v>0.3493</v>
      </c>
      <c r="AF99" s="69">
        <v>0</v>
      </c>
      <c r="AG99" s="69">
        <v>0</v>
      </c>
      <c r="AH99" s="69">
        <v>0</v>
      </c>
      <c r="AI99" s="1">
        <v>0.20730000000000001</v>
      </c>
      <c r="AJ99" s="1">
        <v>0.20880000000000001</v>
      </c>
      <c r="AK99" s="1">
        <v>0.92779999999999996</v>
      </c>
    </row>
    <row r="100" spans="2:37" x14ac:dyDescent="0.25">
      <c r="B100" s="236">
        <f t="shared" si="33"/>
        <v>84</v>
      </c>
      <c r="C100" s="236"/>
      <c r="D100" s="289">
        <f t="shared" si="34"/>
        <v>0.12</v>
      </c>
      <c r="E100" s="289"/>
      <c r="F100" s="289">
        <f t="shared" si="35"/>
        <v>0</v>
      </c>
      <c r="G100" s="289"/>
      <c r="H100" s="289">
        <f t="shared" si="36"/>
        <v>0</v>
      </c>
      <c r="I100" s="289"/>
      <c r="J100" s="289">
        <f t="shared" si="37"/>
        <v>3.6449999999999998E-5</v>
      </c>
      <c r="K100" s="289"/>
      <c r="L100" s="289">
        <f t="shared" si="38"/>
        <v>0.94450000000000001</v>
      </c>
      <c r="M100" s="289"/>
      <c r="N100" s="289">
        <f t="shared" si="39"/>
        <v>0.92069999999999996</v>
      </c>
      <c r="O100" s="289"/>
      <c r="P100" s="289">
        <f t="shared" si="40"/>
        <v>0.3493</v>
      </c>
      <c r="Q100" s="289"/>
      <c r="W100" s="1" t="s">
        <v>84</v>
      </c>
      <c r="X100" s="1">
        <v>88</v>
      </c>
      <c r="Y100" s="1">
        <v>0.12</v>
      </c>
      <c r="Z100" s="69">
        <v>0</v>
      </c>
      <c r="AA100" s="69">
        <v>0</v>
      </c>
      <c r="AB100" s="69">
        <v>4.2559999999999999E-5</v>
      </c>
      <c r="AC100" s="1">
        <v>0.94450000000000001</v>
      </c>
      <c r="AD100" s="1">
        <v>0.92069999999999996</v>
      </c>
      <c r="AE100" s="1">
        <v>0.34939999999999999</v>
      </c>
      <c r="AF100" s="69">
        <v>2.9499999999999999E-5</v>
      </c>
      <c r="AG100" s="69">
        <v>0</v>
      </c>
      <c r="AH100" s="69">
        <v>0</v>
      </c>
      <c r="AI100" s="1">
        <v>0.20730000000000001</v>
      </c>
      <c r="AJ100" s="1">
        <v>0.20880000000000001</v>
      </c>
      <c r="AK100" s="1">
        <v>0.92779999999999996</v>
      </c>
    </row>
    <row r="101" spans="2:37" x14ac:dyDescent="0.25">
      <c r="B101" s="236">
        <f t="shared" si="33"/>
        <v>85</v>
      </c>
      <c r="C101" s="236"/>
      <c r="D101" s="289">
        <f t="shared" si="34"/>
        <v>0.12</v>
      </c>
      <c r="E101" s="289"/>
      <c r="F101" s="289">
        <f t="shared" si="35"/>
        <v>0</v>
      </c>
      <c r="G101" s="289"/>
      <c r="H101" s="289">
        <f t="shared" si="36"/>
        <v>0</v>
      </c>
      <c r="I101" s="289"/>
      <c r="J101" s="289">
        <f t="shared" si="37"/>
        <v>9.6860000000000001E-6</v>
      </c>
      <c r="K101" s="289"/>
      <c r="L101" s="289">
        <f t="shared" si="38"/>
        <v>0.94450000000000001</v>
      </c>
      <c r="M101" s="289"/>
      <c r="N101" s="289">
        <f t="shared" si="39"/>
        <v>0.92069999999999996</v>
      </c>
      <c r="O101" s="289"/>
      <c r="P101" s="289">
        <f t="shared" si="40"/>
        <v>0.3493</v>
      </c>
      <c r="Q101" s="289"/>
      <c r="W101" s="1" t="s">
        <v>84</v>
      </c>
      <c r="X101" s="1">
        <v>89</v>
      </c>
      <c r="Y101" s="1">
        <v>0.12</v>
      </c>
      <c r="Z101" s="69">
        <v>0</v>
      </c>
      <c r="AA101" s="69">
        <v>0</v>
      </c>
      <c r="AB101" s="69">
        <v>9.4590000000000002E-7</v>
      </c>
      <c r="AC101" s="1">
        <v>0.94450000000000001</v>
      </c>
      <c r="AD101" s="1">
        <v>0.92069999999999996</v>
      </c>
      <c r="AE101" s="1">
        <v>0.34939999999999999</v>
      </c>
      <c r="AF101" s="69">
        <v>1.8309999999999999E-6</v>
      </c>
      <c r="AG101" s="69">
        <v>0</v>
      </c>
      <c r="AH101" s="69">
        <v>0</v>
      </c>
      <c r="AI101" s="1">
        <v>0.20730000000000001</v>
      </c>
      <c r="AJ101" s="1">
        <v>0.20880000000000001</v>
      </c>
      <c r="AK101" s="1">
        <v>0.92779999999999996</v>
      </c>
    </row>
    <row r="102" spans="2:37" x14ac:dyDescent="0.25">
      <c r="B102" s="236">
        <f t="shared" si="33"/>
        <v>86</v>
      </c>
      <c r="C102" s="236"/>
      <c r="D102" s="289">
        <f t="shared" si="34"/>
        <v>0.12</v>
      </c>
      <c r="E102" s="289"/>
      <c r="F102" s="289">
        <f t="shared" si="35"/>
        <v>0</v>
      </c>
      <c r="G102" s="289"/>
      <c r="H102" s="289">
        <f t="shared" si="36"/>
        <v>0</v>
      </c>
      <c r="I102" s="289"/>
      <c r="J102" s="289">
        <f t="shared" si="37"/>
        <v>2.8070000000000001E-5</v>
      </c>
      <c r="K102" s="289"/>
      <c r="L102" s="289">
        <f t="shared" si="38"/>
        <v>0.94450000000000001</v>
      </c>
      <c r="M102" s="289"/>
      <c r="N102" s="289">
        <f t="shared" si="39"/>
        <v>0.92069999999999996</v>
      </c>
      <c r="O102" s="289"/>
      <c r="P102" s="289">
        <f t="shared" si="40"/>
        <v>0.3493</v>
      </c>
      <c r="Q102" s="289"/>
      <c r="W102" s="1" t="s">
        <v>84</v>
      </c>
      <c r="X102" s="1">
        <v>90</v>
      </c>
      <c r="Y102" s="1">
        <v>0.11899999999999999</v>
      </c>
      <c r="Z102" s="69">
        <v>0</v>
      </c>
      <c r="AA102" s="69">
        <v>0</v>
      </c>
      <c r="AB102" s="69">
        <v>4.882E-6</v>
      </c>
      <c r="AC102" s="1">
        <v>0.94450000000000001</v>
      </c>
      <c r="AD102" s="1">
        <v>0.92069999999999996</v>
      </c>
      <c r="AE102" s="1">
        <v>0.34939999999999999</v>
      </c>
      <c r="AF102" s="69">
        <v>3.4189999999999998E-6</v>
      </c>
      <c r="AG102" s="69">
        <v>4.3619999999999999E-6</v>
      </c>
      <c r="AH102" s="69">
        <v>0</v>
      </c>
      <c r="AI102" s="1">
        <v>0.20730000000000001</v>
      </c>
      <c r="AJ102" s="1">
        <v>0.20880000000000001</v>
      </c>
      <c r="AK102" s="1">
        <v>0.92779999999999996</v>
      </c>
    </row>
    <row r="103" spans="2:37" x14ac:dyDescent="0.25">
      <c r="B103" s="236">
        <f t="shared" si="33"/>
        <v>87</v>
      </c>
      <c r="C103" s="236"/>
      <c r="D103" s="289">
        <f t="shared" si="34"/>
        <v>0.12</v>
      </c>
      <c r="E103" s="289"/>
      <c r="F103" s="289">
        <f t="shared" si="35"/>
        <v>0</v>
      </c>
      <c r="G103" s="289"/>
      <c r="H103" s="289">
        <f t="shared" si="36"/>
        <v>0</v>
      </c>
      <c r="I103" s="289"/>
      <c r="J103" s="289">
        <f t="shared" si="37"/>
        <v>2.1509999999999999E-5</v>
      </c>
      <c r="K103" s="289"/>
      <c r="L103" s="289">
        <f t="shared" si="38"/>
        <v>0.94450000000000001</v>
      </c>
      <c r="M103" s="289"/>
      <c r="N103" s="289">
        <f t="shared" si="39"/>
        <v>0.92069999999999996</v>
      </c>
      <c r="O103" s="289"/>
      <c r="P103" s="289">
        <f t="shared" si="40"/>
        <v>0.3493</v>
      </c>
      <c r="Q103" s="289"/>
      <c r="W103" s="1" t="s">
        <v>84</v>
      </c>
      <c r="X103" s="1">
        <v>91</v>
      </c>
      <c r="Y103" s="1">
        <v>0.11899999999999999</v>
      </c>
      <c r="Z103" s="69">
        <v>0</v>
      </c>
      <c r="AA103" s="69">
        <v>0</v>
      </c>
      <c r="AB103" s="69">
        <v>1.024E-5</v>
      </c>
      <c r="AC103" s="1">
        <v>0.94450000000000001</v>
      </c>
      <c r="AD103" s="1">
        <v>0.92069999999999996</v>
      </c>
      <c r="AE103" s="1">
        <v>0.34939999999999999</v>
      </c>
      <c r="AF103" s="69">
        <v>0</v>
      </c>
      <c r="AG103" s="69">
        <v>0</v>
      </c>
      <c r="AH103" s="69">
        <v>0</v>
      </c>
      <c r="AI103" s="1">
        <v>0.20730000000000001</v>
      </c>
      <c r="AJ103" s="1">
        <v>0.20880000000000001</v>
      </c>
      <c r="AK103" s="1">
        <v>0.92779999999999996</v>
      </c>
    </row>
    <row r="104" spans="2:37" x14ac:dyDescent="0.25">
      <c r="B104" s="236">
        <f t="shared" si="33"/>
        <v>88</v>
      </c>
      <c r="C104" s="236"/>
      <c r="D104" s="289">
        <f t="shared" si="34"/>
        <v>0.12</v>
      </c>
      <c r="E104" s="289"/>
      <c r="F104" s="289">
        <f t="shared" si="35"/>
        <v>0</v>
      </c>
      <c r="G104" s="289"/>
      <c r="H104" s="289">
        <f t="shared" si="36"/>
        <v>0</v>
      </c>
      <c r="I104" s="289"/>
      <c r="J104" s="289">
        <f t="shared" si="37"/>
        <v>4.2559999999999999E-5</v>
      </c>
      <c r="K104" s="289"/>
      <c r="L104" s="289">
        <f t="shared" si="38"/>
        <v>0.94450000000000001</v>
      </c>
      <c r="M104" s="289"/>
      <c r="N104" s="289">
        <f t="shared" si="39"/>
        <v>0.92069999999999996</v>
      </c>
      <c r="O104" s="289"/>
      <c r="P104" s="289">
        <f t="shared" si="40"/>
        <v>0.34939999999999999</v>
      </c>
      <c r="Q104" s="289"/>
      <c r="W104" s="1" t="s">
        <v>84</v>
      </c>
      <c r="X104" s="1">
        <v>92</v>
      </c>
      <c r="Y104" s="1">
        <v>0.11899999999999999</v>
      </c>
      <c r="Z104" s="69">
        <v>0</v>
      </c>
      <c r="AA104" s="69">
        <v>0</v>
      </c>
      <c r="AB104" s="69">
        <v>9.3640000000000005E-6</v>
      </c>
      <c r="AC104" s="1">
        <v>0.94450000000000001</v>
      </c>
      <c r="AD104" s="1">
        <v>0.92069999999999996</v>
      </c>
      <c r="AE104" s="1">
        <v>0.34939999999999999</v>
      </c>
      <c r="AF104" s="69">
        <v>0</v>
      </c>
      <c r="AG104" s="69">
        <v>0</v>
      </c>
      <c r="AH104" s="69">
        <v>0</v>
      </c>
      <c r="AI104" s="1">
        <v>0.20730000000000001</v>
      </c>
      <c r="AJ104" s="1">
        <v>0.20880000000000001</v>
      </c>
      <c r="AK104" s="1">
        <v>0.92779999999999996</v>
      </c>
    </row>
    <row r="105" spans="2:37" x14ac:dyDescent="0.25">
      <c r="B105" s="236">
        <f t="shared" si="33"/>
        <v>89</v>
      </c>
      <c r="C105" s="236"/>
      <c r="D105" s="289">
        <f t="shared" si="34"/>
        <v>0.12</v>
      </c>
      <c r="E105" s="289"/>
      <c r="F105" s="289">
        <f t="shared" si="35"/>
        <v>0</v>
      </c>
      <c r="G105" s="289"/>
      <c r="H105" s="289">
        <f t="shared" si="36"/>
        <v>0</v>
      </c>
      <c r="I105" s="289"/>
      <c r="J105" s="289">
        <f t="shared" si="37"/>
        <v>9.4590000000000002E-7</v>
      </c>
      <c r="K105" s="289"/>
      <c r="L105" s="289">
        <f t="shared" si="38"/>
        <v>0.94450000000000001</v>
      </c>
      <c r="M105" s="289"/>
      <c r="N105" s="289">
        <f t="shared" si="39"/>
        <v>0.92069999999999996</v>
      </c>
      <c r="O105" s="289"/>
      <c r="P105" s="289">
        <f t="shared" si="40"/>
        <v>0.34939999999999999</v>
      </c>
      <c r="Q105" s="289"/>
      <c r="W105" s="1" t="s">
        <v>84</v>
      </c>
      <c r="X105" s="1">
        <v>93</v>
      </c>
      <c r="Y105" s="1">
        <v>0.106</v>
      </c>
      <c r="Z105" s="69">
        <v>0</v>
      </c>
      <c r="AA105" s="69">
        <v>5.0389999999999995E-7</v>
      </c>
      <c r="AB105" s="69">
        <v>1E-4</v>
      </c>
      <c r="AC105" s="1">
        <v>0.94450000000000001</v>
      </c>
      <c r="AD105" s="1">
        <v>0.92069999999999996</v>
      </c>
      <c r="AE105" s="1">
        <v>0.34949999999999998</v>
      </c>
      <c r="AF105" s="69">
        <v>1E-4</v>
      </c>
      <c r="AG105" s="69">
        <v>1.024E-5</v>
      </c>
      <c r="AH105" s="69">
        <v>0</v>
      </c>
      <c r="AI105" s="1">
        <v>0.2074</v>
      </c>
      <c r="AJ105" s="1">
        <v>0.20880000000000001</v>
      </c>
      <c r="AK105" s="1">
        <v>0.92779999999999996</v>
      </c>
    </row>
    <row r="106" spans="2:37" x14ac:dyDescent="0.25">
      <c r="B106" s="236">
        <f t="shared" si="33"/>
        <v>90</v>
      </c>
      <c r="C106" s="236"/>
      <c r="D106" s="289">
        <f t="shared" si="34"/>
        <v>0.11899999999999999</v>
      </c>
      <c r="E106" s="289"/>
      <c r="F106" s="289">
        <f t="shared" si="35"/>
        <v>0</v>
      </c>
      <c r="G106" s="289"/>
      <c r="H106" s="289">
        <f t="shared" si="36"/>
        <v>0</v>
      </c>
      <c r="I106" s="289"/>
      <c r="J106" s="289">
        <f t="shared" si="37"/>
        <v>4.882E-6</v>
      </c>
      <c r="K106" s="289"/>
      <c r="L106" s="289">
        <f t="shared" si="38"/>
        <v>0.94450000000000001</v>
      </c>
      <c r="M106" s="289"/>
      <c r="N106" s="289">
        <f t="shared" si="39"/>
        <v>0.92069999999999996</v>
      </c>
      <c r="O106" s="289"/>
      <c r="P106" s="289">
        <f t="shared" si="40"/>
        <v>0.34939999999999999</v>
      </c>
      <c r="Q106" s="289"/>
      <c r="W106" s="1" t="s">
        <v>84</v>
      </c>
      <c r="X106" s="1">
        <v>94</v>
      </c>
      <c r="Y106" s="1">
        <v>9.8000000000000004E-2</v>
      </c>
      <c r="Z106" s="69">
        <v>2.0829999999999999E-5</v>
      </c>
      <c r="AA106" s="69">
        <v>4.2459999999999997E-6</v>
      </c>
      <c r="AB106" s="69">
        <v>2.9999999999999997E-4</v>
      </c>
      <c r="AC106" s="1">
        <v>0.94450000000000001</v>
      </c>
      <c r="AD106" s="1">
        <v>0.92069999999999996</v>
      </c>
      <c r="AE106" s="1">
        <v>0.34970000000000001</v>
      </c>
      <c r="AF106" s="69">
        <v>4.0000000000000002E-4</v>
      </c>
      <c r="AG106" s="69">
        <v>1E-4</v>
      </c>
      <c r="AH106" s="69">
        <v>4.6190000000000003E-5</v>
      </c>
      <c r="AI106" s="1">
        <v>0.20780000000000001</v>
      </c>
      <c r="AJ106" s="1">
        <v>0.2089</v>
      </c>
      <c r="AK106" s="1">
        <v>0.92779999999999996</v>
      </c>
    </row>
    <row r="107" spans="2:37" x14ac:dyDescent="0.25">
      <c r="B107" s="236">
        <f t="shared" si="33"/>
        <v>91</v>
      </c>
      <c r="C107" s="236"/>
      <c r="D107" s="289">
        <f t="shared" si="34"/>
        <v>0.11899999999999999</v>
      </c>
      <c r="E107" s="289"/>
      <c r="F107" s="289">
        <f t="shared" si="35"/>
        <v>0</v>
      </c>
      <c r="G107" s="289"/>
      <c r="H107" s="289">
        <f t="shared" si="36"/>
        <v>0</v>
      </c>
      <c r="I107" s="289"/>
      <c r="J107" s="289">
        <f t="shared" si="37"/>
        <v>1.024E-5</v>
      </c>
      <c r="K107" s="289"/>
      <c r="L107" s="289">
        <f t="shared" si="38"/>
        <v>0.94450000000000001</v>
      </c>
      <c r="M107" s="289"/>
      <c r="N107" s="289">
        <f t="shared" si="39"/>
        <v>0.92069999999999996</v>
      </c>
      <c r="O107" s="289"/>
      <c r="P107" s="289">
        <f t="shared" si="40"/>
        <v>0.34939999999999999</v>
      </c>
      <c r="Q107" s="289"/>
      <c r="W107" s="1" t="s">
        <v>84</v>
      </c>
      <c r="X107" s="1">
        <v>95</v>
      </c>
      <c r="Y107" s="1">
        <v>9.4E-2</v>
      </c>
      <c r="Z107" s="69">
        <v>2.7000000000000001E-3</v>
      </c>
      <c r="AA107" s="69">
        <v>7.4399999999999994E-2</v>
      </c>
      <c r="AB107" s="69">
        <v>2.0000000000000001E-4</v>
      </c>
      <c r="AC107" s="1">
        <v>0.94720000000000004</v>
      </c>
      <c r="AD107" s="1">
        <v>0.99509999999999998</v>
      </c>
      <c r="AE107" s="1">
        <v>0.35</v>
      </c>
      <c r="AF107" s="69">
        <v>4.7899999999999998E-2</v>
      </c>
      <c r="AG107" s="69">
        <v>2.5000000000000001E-3</v>
      </c>
      <c r="AH107" s="69">
        <v>9.865E-7</v>
      </c>
      <c r="AI107" s="1">
        <v>0.25569999999999998</v>
      </c>
      <c r="AJ107" s="1">
        <v>0.21129999999999999</v>
      </c>
      <c r="AK107" s="1">
        <v>0.92779999999999996</v>
      </c>
    </row>
    <row r="108" spans="2:37" x14ac:dyDescent="0.25">
      <c r="B108" s="236">
        <f t="shared" si="33"/>
        <v>92</v>
      </c>
      <c r="C108" s="236"/>
      <c r="D108" s="289">
        <f t="shared" si="34"/>
        <v>0.11899999999999999</v>
      </c>
      <c r="E108" s="289"/>
      <c r="F108" s="289">
        <f t="shared" si="35"/>
        <v>0</v>
      </c>
      <c r="G108" s="289"/>
      <c r="H108" s="289">
        <f t="shared" si="36"/>
        <v>0</v>
      </c>
      <c r="I108" s="289"/>
      <c r="J108" s="289">
        <f t="shared" si="37"/>
        <v>9.3640000000000005E-6</v>
      </c>
      <c r="K108" s="289"/>
      <c r="L108" s="289">
        <f t="shared" si="38"/>
        <v>0.94450000000000001</v>
      </c>
      <c r="M108" s="289"/>
      <c r="N108" s="289">
        <f t="shared" si="39"/>
        <v>0.92069999999999996</v>
      </c>
      <c r="O108" s="289"/>
      <c r="P108" s="289">
        <f t="shared" si="40"/>
        <v>0.34939999999999999</v>
      </c>
      <c r="Q108" s="289"/>
      <c r="W108" s="1" t="s">
        <v>84</v>
      </c>
      <c r="X108" s="1">
        <v>96</v>
      </c>
      <c r="Y108" s="1">
        <v>9.2999999999999999E-2</v>
      </c>
      <c r="Z108" s="69">
        <v>4.65E-2</v>
      </c>
      <c r="AA108" s="69">
        <v>4.4000000000000003E-3</v>
      </c>
      <c r="AB108" s="69">
        <v>1E-4</v>
      </c>
      <c r="AC108" s="1">
        <v>0.99370000000000003</v>
      </c>
      <c r="AD108" s="1">
        <v>0.99950000000000006</v>
      </c>
      <c r="AE108" s="1">
        <v>0.35010000000000002</v>
      </c>
      <c r="AF108" s="69">
        <v>2.7000000000000001E-3</v>
      </c>
      <c r="AG108" s="69">
        <v>3.7699999999999997E-2</v>
      </c>
      <c r="AH108" s="69">
        <v>1.1260000000000001E-5</v>
      </c>
      <c r="AI108" s="1">
        <v>0.25840000000000002</v>
      </c>
      <c r="AJ108" s="1">
        <v>0.249</v>
      </c>
      <c r="AK108" s="1">
        <v>0.92779999999999996</v>
      </c>
    </row>
    <row r="109" spans="2:37" x14ac:dyDescent="0.25">
      <c r="B109" s="236">
        <f t="shared" si="33"/>
        <v>93</v>
      </c>
      <c r="C109" s="236"/>
      <c r="D109" s="289">
        <f t="shared" si="34"/>
        <v>0.106</v>
      </c>
      <c r="E109" s="289"/>
      <c r="F109" s="289">
        <f t="shared" si="35"/>
        <v>0</v>
      </c>
      <c r="G109" s="289"/>
      <c r="H109" s="289">
        <f t="shared" si="36"/>
        <v>5.0389999999999995E-7</v>
      </c>
      <c r="I109" s="289"/>
      <c r="J109" s="289">
        <f t="shared" si="37"/>
        <v>1E-4</v>
      </c>
      <c r="K109" s="289"/>
      <c r="L109" s="289">
        <f t="shared" si="38"/>
        <v>0.94450000000000001</v>
      </c>
      <c r="M109" s="289"/>
      <c r="N109" s="289">
        <f t="shared" si="39"/>
        <v>0.92069999999999996</v>
      </c>
      <c r="O109" s="289"/>
      <c r="P109" s="289">
        <f t="shared" si="40"/>
        <v>0.34949999999999998</v>
      </c>
      <c r="Q109" s="289"/>
      <c r="W109" s="1" t="s">
        <v>84</v>
      </c>
      <c r="X109" s="1">
        <v>97</v>
      </c>
      <c r="Y109" s="1">
        <v>9.0999999999999998E-2</v>
      </c>
      <c r="Z109" s="69">
        <v>1E-4</v>
      </c>
      <c r="AA109" s="69">
        <v>3.8970000000000001E-6</v>
      </c>
      <c r="AB109" s="69">
        <v>1.186E-5</v>
      </c>
      <c r="AC109" s="1">
        <v>0.99380000000000002</v>
      </c>
      <c r="AD109" s="1">
        <v>0.99950000000000006</v>
      </c>
      <c r="AE109" s="1">
        <v>0.35010000000000002</v>
      </c>
      <c r="AF109" s="69">
        <v>1E-4</v>
      </c>
      <c r="AG109" s="69">
        <v>1.7680000000000001E-6</v>
      </c>
      <c r="AH109" s="69">
        <v>5.8979999999999995E-7</v>
      </c>
      <c r="AI109" s="1">
        <v>0.25850000000000001</v>
      </c>
      <c r="AJ109" s="1">
        <v>0.249</v>
      </c>
      <c r="AK109" s="1">
        <v>0.92779999999999996</v>
      </c>
    </row>
    <row r="110" spans="2:37" x14ac:dyDescent="0.25">
      <c r="B110" s="236">
        <f t="shared" si="33"/>
        <v>94</v>
      </c>
      <c r="C110" s="236"/>
      <c r="D110" s="289">
        <f t="shared" si="34"/>
        <v>9.8000000000000004E-2</v>
      </c>
      <c r="E110" s="289"/>
      <c r="F110" s="289">
        <f t="shared" si="35"/>
        <v>2.0829999999999999E-5</v>
      </c>
      <c r="G110" s="289"/>
      <c r="H110" s="289">
        <f t="shared" si="36"/>
        <v>4.2459999999999997E-6</v>
      </c>
      <c r="I110" s="289"/>
      <c r="J110" s="289">
        <f t="shared" si="37"/>
        <v>2.9999999999999997E-4</v>
      </c>
      <c r="K110" s="289"/>
      <c r="L110" s="289">
        <f t="shared" si="38"/>
        <v>0.94450000000000001</v>
      </c>
      <c r="M110" s="289"/>
      <c r="N110" s="289">
        <f t="shared" si="39"/>
        <v>0.92069999999999996</v>
      </c>
      <c r="O110" s="289"/>
      <c r="P110" s="289">
        <f t="shared" si="40"/>
        <v>0.34970000000000001</v>
      </c>
      <c r="Q110" s="289"/>
      <c r="W110" s="1" t="s">
        <v>84</v>
      </c>
      <c r="X110" s="1">
        <v>98</v>
      </c>
      <c r="Y110" s="1">
        <v>0.09</v>
      </c>
      <c r="Z110" s="69">
        <v>3.0999999999999999E-3</v>
      </c>
      <c r="AA110" s="69">
        <v>1.2989999999999999E-5</v>
      </c>
      <c r="AB110" s="69">
        <v>1E-4</v>
      </c>
      <c r="AC110" s="1">
        <v>0.99690000000000001</v>
      </c>
      <c r="AD110" s="1">
        <v>0.99950000000000006</v>
      </c>
      <c r="AE110" s="1">
        <v>0.35020000000000001</v>
      </c>
      <c r="AF110" s="69">
        <v>2.0000000000000001E-4</v>
      </c>
      <c r="AG110" s="69">
        <v>2.8E-3</v>
      </c>
      <c r="AH110" s="69">
        <v>5.9150000000000001E-6</v>
      </c>
      <c r="AI110" s="1">
        <v>0.25869999999999999</v>
      </c>
      <c r="AJ110" s="1">
        <v>0.25190000000000001</v>
      </c>
      <c r="AK110" s="1">
        <v>0.92789999999999995</v>
      </c>
    </row>
    <row r="111" spans="2:37" x14ac:dyDescent="0.25">
      <c r="B111" s="236">
        <f t="shared" si="33"/>
        <v>95</v>
      </c>
      <c r="C111" s="236"/>
      <c r="D111" s="289">
        <f t="shared" si="34"/>
        <v>9.4E-2</v>
      </c>
      <c r="E111" s="289"/>
      <c r="F111" s="289">
        <f t="shared" si="35"/>
        <v>2.7000000000000001E-3</v>
      </c>
      <c r="G111" s="289"/>
      <c r="H111" s="289">
        <f t="shared" si="36"/>
        <v>7.4399999999999994E-2</v>
      </c>
      <c r="I111" s="289"/>
      <c r="J111" s="289">
        <f t="shared" si="37"/>
        <v>2.0000000000000001E-4</v>
      </c>
      <c r="K111" s="289"/>
      <c r="L111" s="289">
        <f t="shared" si="38"/>
        <v>0.94720000000000004</v>
      </c>
      <c r="M111" s="289"/>
      <c r="N111" s="289">
        <f t="shared" si="39"/>
        <v>0.99509999999999998</v>
      </c>
      <c r="O111" s="289"/>
      <c r="P111" s="289">
        <f t="shared" si="40"/>
        <v>0.35</v>
      </c>
      <c r="Q111" s="289"/>
      <c r="W111" s="1" t="s">
        <v>84</v>
      </c>
      <c r="X111" s="1">
        <v>99</v>
      </c>
      <c r="Y111" s="1">
        <v>8.6999999999999994E-2</v>
      </c>
      <c r="Z111" s="69">
        <v>1E-4</v>
      </c>
      <c r="AA111" s="69">
        <v>0</v>
      </c>
      <c r="AB111" s="69">
        <v>5.9999999999999995E-4</v>
      </c>
      <c r="AC111" s="1">
        <v>0.997</v>
      </c>
      <c r="AD111" s="1">
        <v>0.99950000000000006</v>
      </c>
      <c r="AE111" s="1">
        <v>0.3508</v>
      </c>
      <c r="AF111" s="69">
        <v>1.1000000000000001E-3</v>
      </c>
      <c r="AG111" s="69">
        <v>8.9999999999999998E-4</v>
      </c>
      <c r="AH111" s="69">
        <v>2.774E-6</v>
      </c>
      <c r="AI111" s="1">
        <v>0.25979999999999998</v>
      </c>
      <c r="AJ111" s="1">
        <v>0.25280000000000002</v>
      </c>
      <c r="AK111" s="1">
        <v>0.92789999999999995</v>
      </c>
    </row>
    <row r="112" spans="2:37" x14ac:dyDescent="0.25">
      <c r="B112" s="236">
        <f t="shared" si="33"/>
        <v>96</v>
      </c>
      <c r="C112" s="236"/>
      <c r="D112" s="289">
        <f t="shared" si="34"/>
        <v>9.2999999999999999E-2</v>
      </c>
      <c r="E112" s="289"/>
      <c r="F112" s="289">
        <f t="shared" si="35"/>
        <v>4.65E-2</v>
      </c>
      <c r="G112" s="289"/>
      <c r="H112" s="289">
        <f t="shared" si="36"/>
        <v>4.4000000000000003E-3</v>
      </c>
      <c r="I112" s="289"/>
      <c r="J112" s="289">
        <f t="shared" si="37"/>
        <v>1E-4</v>
      </c>
      <c r="K112" s="289"/>
      <c r="L112" s="289">
        <f t="shared" si="38"/>
        <v>0.99370000000000003</v>
      </c>
      <c r="M112" s="289"/>
      <c r="N112" s="289">
        <f t="shared" si="39"/>
        <v>0.99950000000000006</v>
      </c>
      <c r="O112" s="289"/>
      <c r="P112" s="289">
        <f t="shared" si="40"/>
        <v>0.35010000000000002</v>
      </c>
      <c r="Q112" s="289"/>
      <c r="W112" s="1" t="s">
        <v>84</v>
      </c>
      <c r="X112" s="1">
        <v>100</v>
      </c>
      <c r="Y112" s="1">
        <v>8.5000000000000006E-2</v>
      </c>
      <c r="Z112" s="69">
        <v>5.0000000000000001E-4</v>
      </c>
      <c r="AA112" s="69">
        <v>2.3410000000000001E-6</v>
      </c>
      <c r="AB112" s="69">
        <v>4.2639999999999998E-5</v>
      </c>
      <c r="AC112" s="1">
        <v>0.99750000000000005</v>
      </c>
      <c r="AD112" s="1">
        <v>0.99950000000000006</v>
      </c>
      <c r="AE112" s="1">
        <v>0.3508</v>
      </c>
      <c r="AF112" s="69">
        <v>2.4870000000000001E-5</v>
      </c>
      <c r="AG112" s="69">
        <v>1.09E-2</v>
      </c>
      <c r="AH112" s="69">
        <v>1.7090000000000001E-5</v>
      </c>
      <c r="AI112" s="1">
        <v>0.25979999999999998</v>
      </c>
      <c r="AJ112" s="1">
        <v>0.26369999999999999</v>
      </c>
      <c r="AK112" s="1">
        <v>0.92789999999999995</v>
      </c>
    </row>
    <row r="113" spans="2:37" x14ac:dyDescent="0.25">
      <c r="B113" s="236">
        <f t="shared" si="33"/>
        <v>97</v>
      </c>
      <c r="C113" s="236"/>
      <c r="D113" s="289">
        <f t="shared" si="34"/>
        <v>9.0999999999999998E-2</v>
      </c>
      <c r="E113" s="289"/>
      <c r="F113" s="289">
        <f t="shared" si="35"/>
        <v>1E-4</v>
      </c>
      <c r="G113" s="289"/>
      <c r="H113" s="289">
        <f t="shared" si="36"/>
        <v>3.8970000000000001E-6</v>
      </c>
      <c r="I113" s="289"/>
      <c r="J113" s="289">
        <f t="shared" si="37"/>
        <v>1.186E-5</v>
      </c>
      <c r="K113" s="289"/>
      <c r="L113" s="289">
        <f t="shared" si="38"/>
        <v>0.99380000000000002</v>
      </c>
      <c r="M113" s="289"/>
      <c r="N113" s="289">
        <f t="shared" si="39"/>
        <v>0.99950000000000006</v>
      </c>
      <c r="O113" s="289"/>
      <c r="P113" s="289">
        <f t="shared" si="40"/>
        <v>0.35010000000000002</v>
      </c>
      <c r="Q113" s="289"/>
      <c r="W113" s="1" t="s">
        <v>84</v>
      </c>
      <c r="X113" s="1">
        <v>101</v>
      </c>
      <c r="Y113" s="1">
        <v>0.08</v>
      </c>
      <c r="Z113" s="69">
        <v>4.5669999999999996E-6</v>
      </c>
      <c r="AA113" s="69">
        <v>0</v>
      </c>
      <c r="AB113" s="69">
        <v>4.5999999999999999E-3</v>
      </c>
      <c r="AC113" s="1">
        <v>0.99750000000000005</v>
      </c>
      <c r="AD113" s="1">
        <v>0.99950000000000006</v>
      </c>
      <c r="AE113" s="1">
        <v>0.35539999999999999</v>
      </c>
      <c r="AF113" s="69">
        <v>1E-4</v>
      </c>
      <c r="AG113" s="69">
        <v>3.2119999999999997E-5</v>
      </c>
      <c r="AH113" s="69">
        <v>6.9680000000000005E-7</v>
      </c>
      <c r="AI113" s="1">
        <v>0.25990000000000002</v>
      </c>
      <c r="AJ113" s="1">
        <v>0.26369999999999999</v>
      </c>
      <c r="AK113" s="1">
        <v>0.92789999999999995</v>
      </c>
    </row>
    <row r="114" spans="2:37" x14ac:dyDescent="0.25">
      <c r="B114" s="236">
        <f t="shared" si="33"/>
        <v>98</v>
      </c>
      <c r="C114" s="236"/>
      <c r="D114" s="289">
        <f t="shared" si="34"/>
        <v>0.09</v>
      </c>
      <c r="E114" s="289"/>
      <c r="F114" s="289">
        <f t="shared" si="35"/>
        <v>3.0999999999999999E-3</v>
      </c>
      <c r="G114" s="289"/>
      <c r="H114" s="289">
        <f t="shared" si="36"/>
        <v>1.2989999999999999E-5</v>
      </c>
      <c r="I114" s="289"/>
      <c r="J114" s="289">
        <f t="shared" si="37"/>
        <v>1E-4</v>
      </c>
      <c r="K114" s="289"/>
      <c r="L114" s="289">
        <f t="shared" si="38"/>
        <v>0.99690000000000001</v>
      </c>
      <c r="M114" s="289"/>
      <c r="N114" s="289">
        <f t="shared" si="39"/>
        <v>0.99950000000000006</v>
      </c>
      <c r="O114" s="289"/>
      <c r="P114" s="289">
        <f t="shared" si="40"/>
        <v>0.35020000000000001</v>
      </c>
      <c r="Q114" s="289"/>
      <c r="W114" s="1" t="s">
        <v>84</v>
      </c>
      <c r="X114" s="1">
        <v>102</v>
      </c>
      <c r="Y114" s="1">
        <v>7.8E-2</v>
      </c>
      <c r="Z114" s="69">
        <v>0</v>
      </c>
      <c r="AA114" s="69">
        <v>0</v>
      </c>
      <c r="AB114" s="69">
        <v>2.9700000000000001E-2</v>
      </c>
      <c r="AC114" s="1">
        <v>0.99750000000000005</v>
      </c>
      <c r="AD114" s="1">
        <v>0.99960000000000004</v>
      </c>
      <c r="AE114" s="1">
        <v>0.3851</v>
      </c>
      <c r="AF114" s="69">
        <v>1.9E-3</v>
      </c>
      <c r="AG114" s="69">
        <v>2.9999999999999997E-4</v>
      </c>
      <c r="AH114" s="69">
        <v>0</v>
      </c>
      <c r="AI114" s="1">
        <v>0.26190000000000002</v>
      </c>
      <c r="AJ114" s="1">
        <v>0.26400000000000001</v>
      </c>
      <c r="AK114" s="1">
        <v>0.92789999999999995</v>
      </c>
    </row>
    <row r="115" spans="2:37" x14ac:dyDescent="0.25">
      <c r="B115" s="236">
        <f t="shared" si="33"/>
        <v>99</v>
      </c>
      <c r="C115" s="236"/>
      <c r="D115" s="289">
        <f t="shared" si="34"/>
        <v>8.6999999999999994E-2</v>
      </c>
      <c r="E115" s="289"/>
      <c r="F115" s="289">
        <f t="shared" si="35"/>
        <v>1E-4</v>
      </c>
      <c r="G115" s="289"/>
      <c r="H115" s="289">
        <f t="shared" si="36"/>
        <v>0</v>
      </c>
      <c r="I115" s="289"/>
      <c r="J115" s="289">
        <f t="shared" si="37"/>
        <v>5.9999999999999995E-4</v>
      </c>
      <c r="K115" s="289"/>
      <c r="L115" s="289">
        <f t="shared" si="38"/>
        <v>0.997</v>
      </c>
      <c r="M115" s="289"/>
      <c r="N115" s="289">
        <f t="shared" si="39"/>
        <v>0.99950000000000006</v>
      </c>
      <c r="O115" s="289"/>
      <c r="P115" s="289">
        <f t="shared" si="40"/>
        <v>0.3508</v>
      </c>
      <c r="Q115" s="289"/>
      <c r="W115" s="1" t="s">
        <v>84</v>
      </c>
      <c r="X115" s="1">
        <v>103</v>
      </c>
      <c r="Y115" s="1">
        <v>-0.15</v>
      </c>
      <c r="Z115" s="69">
        <v>0</v>
      </c>
      <c r="AA115" s="69">
        <v>0</v>
      </c>
      <c r="AB115" s="69">
        <v>2.5259999999999999E-5</v>
      </c>
      <c r="AC115" s="1">
        <v>0.99750000000000005</v>
      </c>
      <c r="AD115" s="1">
        <v>0.99960000000000004</v>
      </c>
      <c r="AE115" s="1">
        <v>0.3851</v>
      </c>
      <c r="AF115" s="69">
        <v>3.1019999999999998E-5</v>
      </c>
      <c r="AG115" s="69">
        <v>3.5099999999999999E-5</v>
      </c>
      <c r="AH115" s="69">
        <v>0</v>
      </c>
      <c r="AI115" s="1">
        <v>0.26190000000000002</v>
      </c>
      <c r="AJ115" s="1">
        <v>0.2641</v>
      </c>
      <c r="AK115" s="1">
        <v>0.92789999999999995</v>
      </c>
    </row>
    <row r="116" spans="2:37" x14ac:dyDescent="0.25">
      <c r="B116" s="236">
        <f t="shared" si="33"/>
        <v>100</v>
      </c>
      <c r="C116" s="236"/>
      <c r="D116" s="289">
        <f t="shared" si="34"/>
        <v>8.5000000000000006E-2</v>
      </c>
      <c r="E116" s="289"/>
      <c r="F116" s="289">
        <f t="shared" si="35"/>
        <v>5.0000000000000001E-4</v>
      </c>
      <c r="G116" s="289"/>
      <c r="H116" s="289">
        <f t="shared" si="36"/>
        <v>2.3410000000000001E-6</v>
      </c>
      <c r="I116" s="289"/>
      <c r="J116" s="289">
        <f t="shared" si="37"/>
        <v>4.2639999999999998E-5</v>
      </c>
      <c r="K116" s="289"/>
      <c r="L116" s="289">
        <f t="shared" si="38"/>
        <v>0.99750000000000005</v>
      </c>
      <c r="M116" s="289"/>
      <c r="N116" s="289">
        <f t="shared" si="39"/>
        <v>0.99950000000000006</v>
      </c>
      <c r="O116" s="289"/>
      <c r="P116" s="289">
        <f t="shared" si="40"/>
        <v>0.3508</v>
      </c>
      <c r="Q116" s="289"/>
      <c r="W116" s="1" t="s">
        <v>84</v>
      </c>
      <c r="X116" s="1">
        <v>104</v>
      </c>
      <c r="Y116" s="1">
        <v>7.2999999999999995E-2</v>
      </c>
      <c r="Z116" s="69">
        <v>0</v>
      </c>
      <c r="AA116" s="69">
        <v>0</v>
      </c>
      <c r="AB116" s="69">
        <v>2.9999999999999997E-4</v>
      </c>
      <c r="AC116" s="1">
        <v>0.99750000000000005</v>
      </c>
      <c r="AD116" s="1">
        <v>0.99960000000000004</v>
      </c>
      <c r="AE116" s="1">
        <v>0.38540000000000002</v>
      </c>
      <c r="AF116" s="69">
        <v>8.9999999999999998E-4</v>
      </c>
      <c r="AG116" s="69">
        <v>6.4000000000000003E-3</v>
      </c>
      <c r="AH116" s="69">
        <v>2.2520000000000001E-5</v>
      </c>
      <c r="AI116" s="1">
        <v>0.26279999999999998</v>
      </c>
      <c r="AJ116" s="1">
        <v>0.27050000000000002</v>
      </c>
      <c r="AK116" s="1">
        <v>0.92789999999999995</v>
      </c>
    </row>
    <row r="117" spans="2:37" x14ac:dyDescent="0.25">
      <c r="B117" s="236">
        <f t="shared" si="33"/>
        <v>101</v>
      </c>
      <c r="C117" s="236"/>
      <c r="D117" s="289">
        <f t="shared" si="34"/>
        <v>0.08</v>
      </c>
      <c r="E117" s="289"/>
      <c r="F117" s="289">
        <f t="shared" si="35"/>
        <v>4.5669999999999996E-6</v>
      </c>
      <c r="G117" s="289"/>
      <c r="H117" s="289">
        <f t="shared" si="36"/>
        <v>0</v>
      </c>
      <c r="I117" s="289"/>
      <c r="J117" s="289">
        <f t="shared" si="37"/>
        <v>4.5999999999999999E-3</v>
      </c>
      <c r="K117" s="289"/>
      <c r="L117" s="289">
        <f t="shared" si="38"/>
        <v>0.99750000000000005</v>
      </c>
      <c r="M117" s="289"/>
      <c r="N117" s="289">
        <f t="shared" si="39"/>
        <v>0.99950000000000006</v>
      </c>
      <c r="O117" s="289"/>
      <c r="P117" s="289">
        <f t="shared" si="40"/>
        <v>0.35539999999999999</v>
      </c>
      <c r="Q117" s="289"/>
      <c r="W117" s="1" t="s">
        <v>84</v>
      </c>
      <c r="X117" s="1">
        <v>105</v>
      </c>
      <c r="Y117" s="1">
        <v>7.1999999999999995E-2</v>
      </c>
      <c r="Z117" s="69">
        <v>1.145E-5</v>
      </c>
      <c r="AA117" s="69">
        <v>3.9520000000000001E-5</v>
      </c>
      <c r="AB117" s="69">
        <v>2.616E-6</v>
      </c>
      <c r="AC117" s="1">
        <v>0.99750000000000005</v>
      </c>
      <c r="AD117" s="1">
        <v>0.99960000000000004</v>
      </c>
      <c r="AE117" s="1">
        <v>0.38540000000000002</v>
      </c>
      <c r="AF117" s="69">
        <v>2.0000000000000001E-4</v>
      </c>
      <c r="AG117" s="69">
        <v>4.0000000000000002E-4</v>
      </c>
      <c r="AH117" s="69">
        <v>7.0499999999999993E-2</v>
      </c>
      <c r="AI117" s="1">
        <v>0.26290000000000002</v>
      </c>
      <c r="AJ117" s="1">
        <v>0.27089999999999997</v>
      </c>
      <c r="AK117" s="1">
        <v>0.99839999999999995</v>
      </c>
    </row>
    <row r="118" spans="2:37" x14ac:dyDescent="0.25">
      <c r="B118" s="236">
        <f t="shared" si="33"/>
        <v>102</v>
      </c>
      <c r="C118" s="236"/>
      <c r="D118" s="289">
        <f t="shared" si="34"/>
        <v>7.8E-2</v>
      </c>
      <c r="E118" s="289"/>
      <c r="F118" s="289">
        <f t="shared" si="35"/>
        <v>0</v>
      </c>
      <c r="G118" s="289"/>
      <c r="H118" s="289">
        <f t="shared" si="36"/>
        <v>0</v>
      </c>
      <c r="I118" s="289"/>
      <c r="J118" s="289">
        <f t="shared" si="37"/>
        <v>2.9700000000000001E-2</v>
      </c>
      <c r="K118" s="289"/>
      <c r="L118" s="289">
        <f t="shared" si="38"/>
        <v>0.99750000000000005</v>
      </c>
      <c r="M118" s="289"/>
      <c r="N118" s="289">
        <f t="shared" si="39"/>
        <v>0.99960000000000004</v>
      </c>
      <c r="O118" s="289"/>
      <c r="P118" s="289">
        <f t="shared" si="40"/>
        <v>0.3851</v>
      </c>
      <c r="Q118" s="289"/>
      <c r="W118" s="1" t="s">
        <v>84</v>
      </c>
      <c r="X118" s="1">
        <v>106</v>
      </c>
      <c r="Y118" s="1">
        <v>-9.7000000000000003E-2</v>
      </c>
      <c r="Z118" s="69">
        <v>0</v>
      </c>
      <c r="AA118" s="69">
        <v>0</v>
      </c>
      <c r="AB118" s="69">
        <v>3.3859999999999999E-6</v>
      </c>
      <c r="AC118" s="1">
        <v>0.99750000000000005</v>
      </c>
      <c r="AD118" s="1">
        <v>0.99960000000000004</v>
      </c>
      <c r="AE118" s="1">
        <v>0.38540000000000002</v>
      </c>
      <c r="AF118" s="69">
        <v>4.916E-6</v>
      </c>
      <c r="AG118" s="69">
        <v>2.7240000000000001E-6</v>
      </c>
      <c r="AH118" s="69">
        <v>0</v>
      </c>
      <c r="AI118" s="1">
        <v>0.26300000000000001</v>
      </c>
      <c r="AJ118" s="1">
        <v>0.27089999999999997</v>
      </c>
      <c r="AK118" s="1">
        <v>0.99839999999999995</v>
      </c>
    </row>
    <row r="119" spans="2:37" x14ac:dyDescent="0.25">
      <c r="B119" s="236">
        <f t="shared" si="33"/>
        <v>103</v>
      </c>
      <c r="C119" s="236"/>
      <c r="D119" s="289">
        <f t="shared" si="34"/>
        <v>-0.15</v>
      </c>
      <c r="E119" s="289"/>
      <c r="F119" s="289">
        <f t="shared" si="35"/>
        <v>0</v>
      </c>
      <c r="G119" s="289"/>
      <c r="H119" s="289">
        <f t="shared" si="36"/>
        <v>0</v>
      </c>
      <c r="I119" s="289"/>
      <c r="J119" s="289">
        <f t="shared" si="37"/>
        <v>2.5259999999999999E-5</v>
      </c>
      <c r="K119" s="289"/>
      <c r="L119" s="289">
        <f t="shared" si="38"/>
        <v>0.99750000000000005</v>
      </c>
      <c r="M119" s="289"/>
      <c r="N119" s="289">
        <f t="shared" si="39"/>
        <v>0.99960000000000004</v>
      </c>
      <c r="O119" s="289"/>
      <c r="P119" s="289">
        <f t="shared" si="40"/>
        <v>0.3851</v>
      </c>
      <c r="Q119" s="289"/>
      <c r="W119" s="1" t="s">
        <v>84</v>
      </c>
      <c r="X119" s="1">
        <v>107</v>
      </c>
      <c r="Y119" s="1">
        <v>6.3E-2</v>
      </c>
      <c r="Z119" s="69">
        <v>3.016E-6</v>
      </c>
      <c r="AA119" s="69">
        <v>0</v>
      </c>
      <c r="AB119" s="69">
        <v>0</v>
      </c>
      <c r="AC119" s="1">
        <v>0.99750000000000005</v>
      </c>
      <c r="AD119" s="1">
        <v>0.99960000000000004</v>
      </c>
      <c r="AE119" s="1">
        <v>0.38540000000000002</v>
      </c>
      <c r="AF119" s="69">
        <v>1.5009999999999999E-6</v>
      </c>
      <c r="AG119" s="69">
        <v>8.6E-3</v>
      </c>
      <c r="AH119" s="69">
        <v>1E-4</v>
      </c>
      <c r="AI119" s="1">
        <v>0.26300000000000001</v>
      </c>
      <c r="AJ119" s="1">
        <v>0.27939999999999998</v>
      </c>
      <c r="AK119" s="1">
        <v>0.99850000000000005</v>
      </c>
    </row>
    <row r="120" spans="2:37" x14ac:dyDescent="0.25">
      <c r="B120" s="236">
        <f t="shared" si="33"/>
        <v>104</v>
      </c>
      <c r="C120" s="236"/>
      <c r="D120" s="289">
        <f t="shared" si="34"/>
        <v>7.2999999999999995E-2</v>
      </c>
      <c r="E120" s="289"/>
      <c r="F120" s="289">
        <f t="shared" si="35"/>
        <v>0</v>
      </c>
      <c r="G120" s="289"/>
      <c r="H120" s="289">
        <f t="shared" si="36"/>
        <v>0</v>
      </c>
      <c r="I120" s="289"/>
      <c r="J120" s="289">
        <f t="shared" si="37"/>
        <v>2.9999999999999997E-4</v>
      </c>
      <c r="K120" s="289"/>
      <c r="L120" s="289">
        <f t="shared" si="38"/>
        <v>0.99750000000000005</v>
      </c>
      <c r="M120" s="289"/>
      <c r="N120" s="289">
        <f t="shared" si="39"/>
        <v>0.99960000000000004</v>
      </c>
      <c r="O120" s="289"/>
      <c r="P120" s="289">
        <f t="shared" si="40"/>
        <v>0.38540000000000002</v>
      </c>
      <c r="Q120" s="289"/>
      <c r="W120" s="1" t="s">
        <v>84</v>
      </c>
      <c r="X120" s="1">
        <v>108</v>
      </c>
      <c r="Y120" s="1">
        <v>6.0999999999999999E-2</v>
      </c>
      <c r="Z120" s="69">
        <v>3.7960000000000002E-6</v>
      </c>
      <c r="AA120" s="69">
        <v>0</v>
      </c>
      <c r="AB120" s="69">
        <v>4.0000000000000002E-4</v>
      </c>
      <c r="AC120" s="1">
        <v>0.99750000000000005</v>
      </c>
      <c r="AD120" s="1">
        <v>0.99960000000000004</v>
      </c>
      <c r="AE120" s="1">
        <v>0.38579999999999998</v>
      </c>
      <c r="AF120" s="69">
        <v>8.0000000000000004E-4</v>
      </c>
      <c r="AG120" s="69">
        <v>8.8000000000000005E-3</v>
      </c>
      <c r="AH120" s="69">
        <v>0</v>
      </c>
      <c r="AI120" s="1">
        <v>0.26379999999999998</v>
      </c>
      <c r="AJ120" s="1">
        <v>0.28820000000000001</v>
      </c>
      <c r="AK120" s="1">
        <v>0.99850000000000005</v>
      </c>
    </row>
    <row r="121" spans="2:37" x14ac:dyDescent="0.25">
      <c r="B121" s="236">
        <f t="shared" si="33"/>
        <v>105</v>
      </c>
      <c r="C121" s="236"/>
      <c r="D121" s="289">
        <f t="shared" si="34"/>
        <v>7.1999999999999995E-2</v>
      </c>
      <c r="E121" s="289"/>
      <c r="F121" s="289">
        <f t="shared" si="35"/>
        <v>1.145E-5</v>
      </c>
      <c r="G121" s="289"/>
      <c r="H121" s="289">
        <f t="shared" si="36"/>
        <v>3.9520000000000001E-5</v>
      </c>
      <c r="I121" s="289"/>
      <c r="J121" s="289">
        <f t="shared" si="37"/>
        <v>2.616E-6</v>
      </c>
      <c r="K121" s="289"/>
      <c r="L121" s="289">
        <f t="shared" si="38"/>
        <v>0.99750000000000005</v>
      </c>
      <c r="M121" s="289"/>
      <c r="N121" s="289">
        <f t="shared" si="39"/>
        <v>0.99960000000000004</v>
      </c>
      <c r="O121" s="289"/>
      <c r="P121" s="289">
        <f t="shared" si="40"/>
        <v>0.38540000000000002</v>
      </c>
      <c r="Q121" s="289"/>
      <c r="W121" s="1" t="s">
        <v>84</v>
      </c>
      <c r="X121" s="1">
        <v>109</v>
      </c>
      <c r="Y121" s="1">
        <v>6.0999999999999999E-2</v>
      </c>
      <c r="Z121" s="69">
        <v>0</v>
      </c>
      <c r="AA121" s="69">
        <v>9.8029999999999996E-7</v>
      </c>
      <c r="AB121" s="69">
        <v>6.7299999999999999E-2</v>
      </c>
      <c r="AC121" s="1">
        <v>0.99750000000000005</v>
      </c>
      <c r="AD121" s="1">
        <v>0.99960000000000004</v>
      </c>
      <c r="AE121" s="1">
        <v>0.4531</v>
      </c>
      <c r="AF121" s="69">
        <v>0.10580000000000001</v>
      </c>
      <c r="AG121" s="69">
        <v>2.0000000000000001E-4</v>
      </c>
      <c r="AH121" s="69">
        <v>0</v>
      </c>
      <c r="AI121" s="1">
        <v>0.3695</v>
      </c>
      <c r="AJ121" s="1">
        <v>0.28839999999999999</v>
      </c>
      <c r="AK121" s="1">
        <v>0.99850000000000005</v>
      </c>
    </row>
    <row r="122" spans="2:37" x14ac:dyDescent="0.25">
      <c r="B122" s="236">
        <f t="shared" si="33"/>
        <v>106</v>
      </c>
      <c r="C122" s="236"/>
      <c r="D122" s="289">
        <f t="shared" si="34"/>
        <v>-9.7000000000000003E-2</v>
      </c>
      <c r="E122" s="289"/>
      <c r="F122" s="289">
        <f t="shared" si="35"/>
        <v>0</v>
      </c>
      <c r="G122" s="289"/>
      <c r="H122" s="289">
        <f t="shared" si="36"/>
        <v>0</v>
      </c>
      <c r="I122" s="289"/>
      <c r="J122" s="289">
        <f t="shared" si="37"/>
        <v>3.3859999999999999E-6</v>
      </c>
      <c r="K122" s="289"/>
      <c r="L122" s="289">
        <f t="shared" si="38"/>
        <v>0.99750000000000005</v>
      </c>
      <c r="M122" s="289"/>
      <c r="N122" s="289">
        <f t="shared" si="39"/>
        <v>0.99960000000000004</v>
      </c>
      <c r="O122" s="289"/>
      <c r="P122" s="289">
        <f t="shared" si="40"/>
        <v>0.38540000000000002</v>
      </c>
      <c r="Q122" s="289"/>
      <c r="W122" s="1" t="s">
        <v>84</v>
      </c>
      <c r="X122" s="1">
        <v>110</v>
      </c>
      <c r="Y122" s="1">
        <v>-8.5000000000000006E-2</v>
      </c>
      <c r="Z122" s="69">
        <v>0</v>
      </c>
      <c r="AA122" s="69">
        <v>0</v>
      </c>
      <c r="AB122" s="69">
        <v>1.8980000000000001E-6</v>
      </c>
      <c r="AC122" s="1">
        <v>0.99750000000000005</v>
      </c>
      <c r="AD122" s="1">
        <v>0.99960000000000004</v>
      </c>
      <c r="AE122" s="1">
        <v>0.4531</v>
      </c>
      <c r="AF122" s="69">
        <v>2.7259999999999998E-6</v>
      </c>
      <c r="AG122" s="69">
        <v>0</v>
      </c>
      <c r="AH122" s="69">
        <v>0</v>
      </c>
      <c r="AI122" s="1">
        <v>0.3695</v>
      </c>
      <c r="AJ122" s="1">
        <v>0.28839999999999999</v>
      </c>
      <c r="AK122" s="1">
        <v>0.99850000000000005</v>
      </c>
    </row>
    <row r="123" spans="2:37" x14ac:dyDescent="0.25">
      <c r="B123" s="236">
        <f t="shared" si="33"/>
        <v>107</v>
      </c>
      <c r="C123" s="236"/>
      <c r="D123" s="289">
        <f t="shared" si="34"/>
        <v>6.3E-2</v>
      </c>
      <c r="E123" s="289"/>
      <c r="F123" s="289">
        <f t="shared" si="35"/>
        <v>3.016E-6</v>
      </c>
      <c r="G123" s="289"/>
      <c r="H123" s="289">
        <f t="shared" si="36"/>
        <v>0</v>
      </c>
      <c r="I123" s="289"/>
      <c r="J123" s="289">
        <f t="shared" si="37"/>
        <v>0</v>
      </c>
      <c r="K123" s="289"/>
      <c r="L123" s="289">
        <f t="shared" si="38"/>
        <v>0.99750000000000005</v>
      </c>
      <c r="M123" s="289"/>
      <c r="N123" s="289">
        <f t="shared" si="39"/>
        <v>0.99960000000000004</v>
      </c>
      <c r="O123" s="289"/>
      <c r="P123" s="289">
        <f t="shared" si="40"/>
        <v>0.38540000000000002</v>
      </c>
      <c r="Q123" s="289"/>
      <c r="W123" s="1" t="s">
        <v>84</v>
      </c>
      <c r="X123" s="1">
        <v>111</v>
      </c>
      <c r="Y123" s="1">
        <v>0.06</v>
      </c>
      <c r="Z123" s="69">
        <v>3.9400000000000004E-6</v>
      </c>
      <c r="AA123" s="69">
        <v>0</v>
      </c>
      <c r="AB123" s="69">
        <v>2.0140000000000001E-6</v>
      </c>
      <c r="AC123" s="1">
        <v>0.99750000000000005</v>
      </c>
      <c r="AD123" s="1">
        <v>0.99960000000000004</v>
      </c>
      <c r="AE123" s="1">
        <v>0.4531</v>
      </c>
      <c r="AF123" s="69">
        <v>1.2049999999999999E-6</v>
      </c>
      <c r="AG123" s="69">
        <v>2.3099999999999999E-2</v>
      </c>
      <c r="AH123" s="69">
        <v>0</v>
      </c>
      <c r="AI123" s="1">
        <v>0.3695</v>
      </c>
      <c r="AJ123" s="1">
        <v>0.31159999999999999</v>
      </c>
      <c r="AK123" s="1">
        <v>0.99850000000000005</v>
      </c>
    </row>
    <row r="124" spans="2:37" x14ac:dyDescent="0.25">
      <c r="W124" s="1" t="s">
        <v>84</v>
      </c>
      <c r="X124" s="1">
        <v>112</v>
      </c>
      <c r="Y124" s="1">
        <v>5.8000000000000003E-2</v>
      </c>
      <c r="Z124" s="69">
        <v>0</v>
      </c>
      <c r="AA124" s="69">
        <v>3.5200000000000002E-6</v>
      </c>
      <c r="AB124" s="69">
        <v>4.07E-2</v>
      </c>
      <c r="AC124" s="1">
        <v>0.99750000000000005</v>
      </c>
      <c r="AD124" s="1">
        <v>0.99960000000000004</v>
      </c>
      <c r="AE124" s="1">
        <v>0.49390000000000001</v>
      </c>
      <c r="AF124" s="69">
        <v>7.2700000000000001E-2</v>
      </c>
      <c r="AG124" s="69">
        <v>2.5610000000000001E-6</v>
      </c>
      <c r="AH124" s="69">
        <v>2.7939999999999998E-6</v>
      </c>
      <c r="AI124" s="1">
        <v>0.44230000000000003</v>
      </c>
      <c r="AJ124" s="1">
        <v>0.31159999999999999</v>
      </c>
      <c r="AK124" s="1">
        <v>0.99850000000000005</v>
      </c>
    </row>
    <row r="125" spans="2:37" x14ac:dyDescent="0.25">
      <c r="W125" s="1" t="s">
        <v>84</v>
      </c>
      <c r="X125" s="1">
        <v>113</v>
      </c>
      <c r="Y125" s="1">
        <v>5.8000000000000003E-2</v>
      </c>
      <c r="Z125" s="69">
        <v>0</v>
      </c>
      <c r="AA125" s="69">
        <v>0</v>
      </c>
      <c r="AB125" s="69">
        <v>1.14E-2</v>
      </c>
      <c r="AC125" s="1">
        <v>0.99750000000000005</v>
      </c>
      <c r="AD125" s="1">
        <v>0.99960000000000004</v>
      </c>
      <c r="AE125" s="1">
        <v>0.50529999999999997</v>
      </c>
      <c r="AF125" s="69">
        <v>1.6E-2</v>
      </c>
      <c r="AG125" s="69">
        <v>2.461E-5</v>
      </c>
      <c r="AH125" s="69">
        <v>0</v>
      </c>
      <c r="AI125" s="1">
        <v>0.45829999999999999</v>
      </c>
      <c r="AJ125" s="1">
        <v>0.31159999999999999</v>
      </c>
      <c r="AK125" s="1">
        <v>0.99850000000000005</v>
      </c>
    </row>
    <row r="126" spans="2:37" x14ac:dyDescent="0.25">
      <c r="W126" s="1" t="s">
        <v>84</v>
      </c>
      <c r="X126" s="1">
        <v>114</v>
      </c>
      <c r="Y126" s="1">
        <v>5.8000000000000003E-2</v>
      </c>
      <c r="Z126" s="69">
        <v>7.3480000000000004E-7</v>
      </c>
      <c r="AA126" s="69">
        <v>1.2559999999999999E-6</v>
      </c>
      <c r="AB126" s="69">
        <v>1.2999999999999999E-3</v>
      </c>
      <c r="AC126" s="1">
        <v>0.99750000000000005</v>
      </c>
      <c r="AD126" s="1">
        <v>0.99960000000000004</v>
      </c>
      <c r="AE126" s="1">
        <v>0.50660000000000005</v>
      </c>
      <c r="AF126" s="69">
        <v>6.3E-3</v>
      </c>
      <c r="AG126" s="69">
        <v>5.1000000000000004E-3</v>
      </c>
      <c r="AH126" s="69">
        <v>0</v>
      </c>
      <c r="AI126" s="1">
        <v>0.46460000000000001</v>
      </c>
      <c r="AJ126" s="1">
        <v>0.31669999999999998</v>
      </c>
      <c r="AK126" s="1">
        <v>0.99850000000000005</v>
      </c>
    </row>
    <row r="127" spans="2:37" x14ac:dyDescent="0.25">
      <c r="W127" s="1" t="s">
        <v>84</v>
      </c>
      <c r="X127" s="1">
        <v>115</v>
      </c>
      <c r="Y127" s="1">
        <v>5.7000000000000002E-2</v>
      </c>
      <c r="Z127" s="69">
        <v>3.6509999999999999E-6</v>
      </c>
      <c r="AA127" s="69">
        <v>0</v>
      </c>
      <c r="AB127" s="69">
        <v>1.8E-3</v>
      </c>
      <c r="AC127" s="1">
        <v>0.99750000000000005</v>
      </c>
      <c r="AD127" s="1">
        <v>0.99960000000000004</v>
      </c>
      <c r="AE127" s="1">
        <v>0.50829999999999997</v>
      </c>
      <c r="AF127" s="69">
        <v>3.5999999999999999E-3</v>
      </c>
      <c r="AG127" s="69">
        <v>9.1999999999999998E-3</v>
      </c>
      <c r="AH127" s="69">
        <v>6.5549999999999999E-6</v>
      </c>
      <c r="AI127" s="1">
        <v>0.46820000000000001</v>
      </c>
      <c r="AJ127" s="1">
        <v>0.32590000000000002</v>
      </c>
      <c r="AK127" s="1">
        <v>0.99860000000000004</v>
      </c>
    </row>
    <row r="128" spans="2:37" x14ac:dyDescent="0.25">
      <c r="W128" s="1" t="s">
        <v>84</v>
      </c>
      <c r="X128" s="1">
        <v>116</v>
      </c>
      <c r="Y128" s="1">
        <v>-6.6000000000000003E-2</v>
      </c>
      <c r="Z128" s="69">
        <v>0</v>
      </c>
      <c r="AA128" s="69">
        <v>0</v>
      </c>
      <c r="AB128" s="69">
        <v>1.778E-6</v>
      </c>
      <c r="AC128" s="1">
        <v>0.99750000000000005</v>
      </c>
      <c r="AD128" s="1">
        <v>0.99960000000000004</v>
      </c>
      <c r="AE128" s="1">
        <v>0.50829999999999997</v>
      </c>
      <c r="AF128" s="69">
        <v>2.2079999999999999E-6</v>
      </c>
      <c r="AG128" s="69">
        <v>0</v>
      </c>
      <c r="AH128" s="69">
        <v>0</v>
      </c>
      <c r="AI128" s="1">
        <v>0.46820000000000001</v>
      </c>
      <c r="AJ128" s="1">
        <v>0.32590000000000002</v>
      </c>
      <c r="AK128" s="1">
        <v>0.99860000000000004</v>
      </c>
    </row>
    <row r="129" spans="23:37" x14ac:dyDescent="0.25">
      <c r="W129" s="1" t="s">
        <v>84</v>
      </c>
      <c r="X129" s="1">
        <v>117</v>
      </c>
      <c r="Y129" s="1">
        <v>4.3999999999999997E-2</v>
      </c>
      <c r="Z129" s="69">
        <v>0</v>
      </c>
      <c r="AA129" s="69">
        <v>2.5239999999999999E-5</v>
      </c>
      <c r="AB129" s="69">
        <v>6.7000000000000002E-3</v>
      </c>
      <c r="AC129" s="1">
        <v>0.99750000000000005</v>
      </c>
      <c r="AD129" s="1">
        <v>0.99960000000000004</v>
      </c>
      <c r="AE129" s="1">
        <v>0.51500000000000001</v>
      </c>
      <c r="AF129" s="69">
        <v>1.44E-2</v>
      </c>
      <c r="AG129" s="69">
        <v>2.2419999999999999E-5</v>
      </c>
      <c r="AH129" s="69">
        <v>2.03E-6</v>
      </c>
      <c r="AI129" s="1">
        <v>0.48259999999999997</v>
      </c>
      <c r="AJ129" s="1">
        <v>0.32590000000000002</v>
      </c>
      <c r="AK129" s="1">
        <v>0.99860000000000004</v>
      </c>
    </row>
    <row r="130" spans="23:37" x14ac:dyDescent="0.25">
      <c r="W130" s="1" t="s">
        <v>84</v>
      </c>
      <c r="X130" s="1">
        <v>118</v>
      </c>
      <c r="Y130" s="1">
        <v>4.3999999999999997E-2</v>
      </c>
      <c r="Z130" s="69">
        <v>1.3709999999999999E-5</v>
      </c>
      <c r="AA130" s="69">
        <v>0</v>
      </c>
      <c r="AB130" s="69">
        <v>9.1999999999999998E-3</v>
      </c>
      <c r="AC130" s="1">
        <v>0.99750000000000005</v>
      </c>
      <c r="AD130" s="1">
        <v>0.99960000000000004</v>
      </c>
      <c r="AE130" s="1">
        <v>0.5242</v>
      </c>
      <c r="AF130" s="69">
        <v>2.1700000000000001E-2</v>
      </c>
      <c r="AG130" s="69">
        <v>1.1999999999999999E-3</v>
      </c>
      <c r="AH130" s="69">
        <v>1.079E-5</v>
      </c>
      <c r="AI130" s="1">
        <v>0.50429999999999997</v>
      </c>
      <c r="AJ130" s="1">
        <v>0.3271</v>
      </c>
      <c r="AK130" s="1">
        <v>0.99860000000000004</v>
      </c>
    </row>
    <row r="131" spans="23:37" x14ac:dyDescent="0.25">
      <c r="W131" s="1" t="s">
        <v>84</v>
      </c>
      <c r="X131" s="1">
        <v>119</v>
      </c>
      <c r="Y131" s="1">
        <v>4.1000000000000002E-2</v>
      </c>
      <c r="Z131" s="69">
        <v>4.3519999999999997E-5</v>
      </c>
      <c r="AA131" s="69">
        <v>1.9179999999999999E-5</v>
      </c>
      <c r="AB131" s="69">
        <v>2.9999999999999997E-4</v>
      </c>
      <c r="AC131" s="1">
        <v>0.99750000000000005</v>
      </c>
      <c r="AD131" s="1">
        <v>0.99960000000000004</v>
      </c>
      <c r="AE131" s="1">
        <v>0.52449999999999997</v>
      </c>
      <c r="AF131" s="69">
        <v>2.9999999999999997E-4</v>
      </c>
      <c r="AG131" s="69">
        <v>3.074E-5</v>
      </c>
      <c r="AH131" s="69">
        <v>2.0000000000000001E-4</v>
      </c>
      <c r="AI131" s="1">
        <v>0.50460000000000005</v>
      </c>
      <c r="AJ131" s="1">
        <v>0.32719999999999999</v>
      </c>
      <c r="AK131" s="1">
        <v>0.99880000000000002</v>
      </c>
    </row>
    <row r="132" spans="23:37" x14ac:dyDescent="0.25">
      <c r="W132" s="1" t="s">
        <v>84</v>
      </c>
      <c r="X132" s="1">
        <v>120</v>
      </c>
      <c r="Y132" s="1">
        <v>4.1000000000000002E-2</v>
      </c>
      <c r="Z132" s="69">
        <v>0</v>
      </c>
      <c r="AA132" s="69">
        <v>0</v>
      </c>
      <c r="AB132" s="69">
        <v>1.7500000000000002E-2</v>
      </c>
      <c r="AC132" s="1">
        <v>0.99750000000000005</v>
      </c>
      <c r="AD132" s="1">
        <v>0.99960000000000004</v>
      </c>
      <c r="AE132" s="1">
        <v>0.54210000000000003</v>
      </c>
      <c r="AF132" s="69">
        <v>3.5700000000000003E-2</v>
      </c>
      <c r="AG132" s="69">
        <v>1E-4</v>
      </c>
      <c r="AH132" s="69">
        <v>8.2949999999999996E-7</v>
      </c>
      <c r="AI132" s="1">
        <v>0.54039999999999999</v>
      </c>
      <c r="AJ132" s="1">
        <v>0.32719999999999999</v>
      </c>
      <c r="AK132" s="1">
        <v>0.99880000000000002</v>
      </c>
    </row>
  </sheetData>
  <mergeCells count="901">
    <mergeCell ref="D12:E12"/>
    <mergeCell ref="D11:E11"/>
    <mergeCell ref="Q3:U3"/>
    <mergeCell ref="A1:E3"/>
    <mergeCell ref="F1:G2"/>
    <mergeCell ref="H1:N2"/>
    <mergeCell ref="O1:P1"/>
    <mergeCell ref="Q1:U1"/>
    <mergeCell ref="O2:P2"/>
    <mergeCell ref="Q2:U2"/>
    <mergeCell ref="F3:G3"/>
    <mergeCell ref="H3:N3"/>
    <mergeCell ref="O3:P3"/>
    <mergeCell ref="B5:T6"/>
    <mergeCell ref="S11:T12"/>
    <mergeCell ref="B8:T9"/>
    <mergeCell ref="N13:O13"/>
    <mergeCell ref="P13:Q13"/>
    <mergeCell ref="B14:C14"/>
    <mergeCell ref="D14:E14"/>
    <mergeCell ref="F14:G14"/>
    <mergeCell ref="H14:I14"/>
    <mergeCell ref="J14:K14"/>
    <mergeCell ref="L14:M14"/>
    <mergeCell ref="N14:O14"/>
    <mergeCell ref="P14:Q14"/>
    <mergeCell ref="B13:C13"/>
    <mergeCell ref="D13:E13"/>
    <mergeCell ref="F13:G13"/>
    <mergeCell ref="H13:I13"/>
    <mergeCell ref="J13:K13"/>
    <mergeCell ref="L13:M13"/>
    <mergeCell ref="N15:O15"/>
    <mergeCell ref="P15:Q15"/>
    <mergeCell ref="B16:C16"/>
    <mergeCell ref="D16:E16"/>
    <mergeCell ref="F16:G16"/>
    <mergeCell ref="H16:I16"/>
    <mergeCell ref="J16:K16"/>
    <mergeCell ref="L16:M16"/>
    <mergeCell ref="N16:O16"/>
    <mergeCell ref="P16:Q16"/>
    <mergeCell ref="B15:C15"/>
    <mergeCell ref="D15:E15"/>
    <mergeCell ref="F15:G15"/>
    <mergeCell ref="H15:I15"/>
    <mergeCell ref="J15:K15"/>
    <mergeCell ref="L15:M15"/>
    <mergeCell ref="N17:O17"/>
    <mergeCell ref="P17:Q17"/>
    <mergeCell ref="B18:C18"/>
    <mergeCell ref="D18:E18"/>
    <mergeCell ref="F18:G18"/>
    <mergeCell ref="H18:I18"/>
    <mergeCell ref="J18:K18"/>
    <mergeCell ref="L18:M18"/>
    <mergeCell ref="N18:O18"/>
    <mergeCell ref="P18:Q18"/>
    <mergeCell ref="B17:C17"/>
    <mergeCell ref="D17:E17"/>
    <mergeCell ref="F17:G17"/>
    <mergeCell ref="H17:I17"/>
    <mergeCell ref="J17:K17"/>
    <mergeCell ref="L17:M17"/>
    <mergeCell ref="N19:O19"/>
    <mergeCell ref="P19:Q19"/>
    <mergeCell ref="B20:C20"/>
    <mergeCell ref="D20:E20"/>
    <mergeCell ref="F20:G20"/>
    <mergeCell ref="H20:I20"/>
    <mergeCell ref="J20:K20"/>
    <mergeCell ref="L20:M20"/>
    <mergeCell ref="N20:O20"/>
    <mergeCell ref="P20:Q20"/>
    <mergeCell ref="B19:C19"/>
    <mergeCell ref="D19:E19"/>
    <mergeCell ref="F19:G19"/>
    <mergeCell ref="H19:I19"/>
    <mergeCell ref="J19:K19"/>
    <mergeCell ref="L19:M19"/>
    <mergeCell ref="N21:O21"/>
    <mergeCell ref="P21:Q21"/>
    <mergeCell ref="B22:C22"/>
    <mergeCell ref="D22:E22"/>
    <mergeCell ref="F22:G22"/>
    <mergeCell ref="H22:I22"/>
    <mergeCell ref="J22:K22"/>
    <mergeCell ref="L22:M22"/>
    <mergeCell ref="N22:O22"/>
    <mergeCell ref="P22:Q22"/>
    <mergeCell ref="B21:C21"/>
    <mergeCell ref="D21:E21"/>
    <mergeCell ref="F21:G21"/>
    <mergeCell ref="H21:I21"/>
    <mergeCell ref="J21:K21"/>
    <mergeCell ref="L21:M21"/>
    <mergeCell ref="D25:E25"/>
    <mergeCell ref="F25:G25"/>
    <mergeCell ref="H25:I25"/>
    <mergeCell ref="J25:K25"/>
    <mergeCell ref="L25:M25"/>
    <mergeCell ref="N23:O23"/>
    <mergeCell ref="P23:Q23"/>
    <mergeCell ref="B24:C24"/>
    <mergeCell ref="D24:E24"/>
    <mergeCell ref="F24:G24"/>
    <mergeCell ref="H24:I24"/>
    <mergeCell ref="J24:K24"/>
    <mergeCell ref="L24:M24"/>
    <mergeCell ref="N24:O24"/>
    <mergeCell ref="P24:Q24"/>
    <mergeCell ref="B23:C23"/>
    <mergeCell ref="D23:E23"/>
    <mergeCell ref="F23:G23"/>
    <mergeCell ref="H23:I23"/>
    <mergeCell ref="J23:K23"/>
    <mergeCell ref="L23:M23"/>
    <mergeCell ref="B28:C28"/>
    <mergeCell ref="D28:E28"/>
    <mergeCell ref="F28:G28"/>
    <mergeCell ref="H28:I28"/>
    <mergeCell ref="J28:K28"/>
    <mergeCell ref="L28:M28"/>
    <mergeCell ref="N28:O28"/>
    <mergeCell ref="P28:Q28"/>
    <mergeCell ref="B27:C27"/>
    <mergeCell ref="D27:E27"/>
    <mergeCell ref="F27:G27"/>
    <mergeCell ref="H27:I27"/>
    <mergeCell ref="J27:K27"/>
    <mergeCell ref="L27:M27"/>
    <mergeCell ref="N29:O29"/>
    <mergeCell ref="P29:Q29"/>
    <mergeCell ref="B30:C30"/>
    <mergeCell ref="D30:E30"/>
    <mergeCell ref="F30:G30"/>
    <mergeCell ref="H30:I30"/>
    <mergeCell ref="J30:K30"/>
    <mergeCell ref="L30:M30"/>
    <mergeCell ref="N30:O30"/>
    <mergeCell ref="P30:Q30"/>
    <mergeCell ref="B29:C29"/>
    <mergeCell ref="D29:E29"/>
    <mergeCell ref="F29:G29"/>
    <mergeCell ref="H29:I29"/>
    <mergeCell ref="J29:K29"/>
    <mergeCell ref="L29:M29"/>
    <mergeCell ref="N31:O31"/>
    <mergeCell ref="P31:Q31"/>
    <mergeCell ref="B32:C32"/>
    <mergeCell ref="D32:E32"/>
    <mergeCell ref="F32:G32"/>
    <mergeCell ref="H32:I32"/>
    <mergeCell ref="J32:K32"/>
    <mergeCell ref="L32:M32"/>
    <mergeCell ref="N32:O32"/>
    <mergeCell ref="P32:Q32"/>
    <mergeCell ref="B31:C31"/>
    <mergeCell ref="D31:E31"/>
    <mergeCell ref="F31:G31"/>
    <mergeCell ref="H31:I31"/>
    <mergeCell ref="J31:K31"/>
    <mergeCell ref="L31:M31"/>
    <mergeCell ref="N33:O33"/>
    <mergeCell ref="P33:Q33"/>
    <mergeCell ref="B34:C34"/>
    <mergeCell ref="D34:E34"/>
    <mergeCell ref="F34:G34"/>
    <mergeCell ref="H34:I34"/>
    <mergeCell ref="J34:K34"/>
    <mergeCell ref="L34:M34"/>
    <mergeCell ref="N34:O34"/>
    <mergeCell ref="P34:Q34"/>
    <mergeCell ref="B33:C33"/>
    <mergeCell ref="D33:E33"/>
    <mergeCell ref="F33:G33"/>
    <mergeCell ref="H33:I33"/>
    <mergeCell ref="J33:K33"/>
    <mergeCell ref="L33:M33"/>
    <mergeCell ref="N35:O35"/>
    <mergeCell ref="P35:Q35"/>
    <mergeCell ref="B36:C36"/>
    <mergeCell ref="D36:E36"/>
    <mergeCell ref="F36:G36"/>
    <mergeCell ref="H36:I36"/>
    <mergeCell ref="J36:K36"/>
    <mergeCell ref="L36:M36"/>
    <mergeCell ref="N36:O36"/>
    <mergeCell ref="P36:Q36"/>
    <mergeCell ref="B35:C35"/>
    <mergeCell ref="D35:E35"/>
    <mergeCell ref="F35:G35"/>
    <mergeCell ref="H35:I35"/>
    <mergeCell ref="J35:K35"/>
    <mergeCell ref="L35:M35"/>
    <mergeCell ref="N37:O37"/>
    <mergeCell ref="P37:Q37"/>
    <mergeCell ref="B38:C38"/>
    <mergeCell ref="D38:E38"/>
    <mergeCell ref="F38:G38"/>
    <mergeCell ref="H38:I38"/>
    <mergeCell ref="J38:K38"/>
    <mergeCell ref="L38:M38"/>
    <mergeCell ref="N38:O38"/>
    <mergeCell ref="P38:Q38"/>
    <mergeCell ref="B37:C37"/>
    <mergeCell ref="D37:E37"/>
    <mergeCell ref="F37:G37"/>
    <mergeCell ref="H37:I37"/>
    <mergeCell ref="J37:K37"/>
    <mergeCell ref="L37:M37"/>
    <mergeCell ref="N39:O39"/>
    <mergeCell ref="P39:Q39"/>
    <mergeCell ref="B40:C40"/>
    <mergeCell ref="D40:E40"/>
    <mergeCell ref="F40:G40"/>
    <mergeCell ref="H40:I40"/>
    <mergeCell ref="J40:K40"/>
    <mergeCell ref="L40:M40"/>
    <mergeCell ref="N40:O40"/>
    <mergeCell ref="P40:Q40"/>
    <mergeCell ref="B39:C39"/>
    <mergeCell ref="D39:E39"/>
    <mergeCell ref="F39:G39"/>
    <mergeCell ref="H39:I39"/>
    <mergeCell ref="J39:K39"/>
    <mergeCell ref="L39:M39"/>
    <mergeCell ref="N41:O41"/>
    <mergeCell ref="P41:Q41"/>
    <mergeCell ref="B42:C42"/>
    <mergeCell ref="D42:E42"/>
    <mergeCell ref="F42:G42"/>
    <mergeCell ref="H42:I42"/>
    <mergeCell ref="J42:K42"/>
    <mergeCell ref="L42:M42"/>
    <mergeCell ref="N42:O42"/>
    <mergeCell ref="P42:Q42"/>
    <mergeCell ref="B41:C41"/>
    <mergeCell ref="D41:E41"/>
    <mergeCell ref="F41:G41"/>
    <mergeCell ref="H41:I41"/>
    <mergeCell ref="J41:K41"/>
    <mergeCell ref="L41:M41"/>
    <mergeCell ref="N43:O43"/>
    <mergeCell ref="P43:Q43"/>
    <mergeCell ref="B44:C44"/>
    <mergeCell ref="D44:E44"/>
    <mergeCell ref="F44:G44"/>
    <mergeCell ref="H44:I44"/>
    <mergeCell ref="J44:K44"/>
    <mergeCell ref="L44:M44"/>
    <mergeCell ref="N44:O44"/>
    <mergeCell ref="P44:Q44"/>
    <mergeCell ref="B43:C43"/>
    <mergeCell ref="D43:E43"/>
    <mergeCell ref="F43:G43"/>
    <mergeCell ref="H43:I43"/>
    <mergeCell ref="J43:K43"/>
    <mergeCell ref="L43:M43"/>
    <mergeCell ref="N45:O45"/>
    <mergeCell ref="P45:Q45"/>
    <mergeCell ref="B46:C46"/>
    <mergeCell ref="D46:E46"/>
    <mergeCell ref="F46:G46"/>
    <mergeCell ref="H46:I46"/>
    <mergeCell ref="J46:K46"/>
    <mergeCell ref="L46:M46"/>
    <mergeCell ref="N46:O46"/>
    <mergeCell ref="P46:Q46"/>
    <mergeCell ref="B45:C45"/>
    <mergeCell ref="D45:E45"/>
    <mergeCell ref="F45:G45"/>
    <mergeCell ref="H45:I45"/>
    <mergeCell ref="J45:K45"/>
    <mergeCell ref="L45:M45"/>
    <mergeCell ref="N47:O47"/>
    <mergeCell ref="P47:Q47"/>
    <mergeCell ref="B48:C48"/>
    <mergeCell ref="D48:E48"/>
    <mergeCell ref="F48:G48"/>
    <mergeCell ref="H48:I48"/>
    <mergeCell ref="J48:K48"/>
    <mergeCell ref="L48:M48"/>
    <mergeCell ref="N48:O48"/>
    <mergeCell ref="P48:Q48"/>
    <mergeCell ref="B47:C47"/>
    <mergeCell ref="D47:E47"/>
    <mergeCell ref="F47:G47"/>
    <mergeCell ref="H47:I47"/>
    <mergeCell ref="J47:K47"/>
    <mergeCell ref="L47:M47"/>
    <mergeCell ref="N49:O49"/>
    <mergeCell ref="P49:Q49"/>
    <mergeCell ref="B50:C50"/>
    <mergeCell ref="D50:E50"/>
    <mergeCell ref="F50:G50"/>
    <mergeCell ref="H50:I50"/>
    <mergeCell ref="J50:K50"/>
    <mergeCell ref="L50:M50"/>
    <mergeCell ref="N50:O50"/>
    <mergeCell ref="P50:Q50"/>
    <mergeCell ref="B49:C49"/>
    <mergeCell ref="D49:E49"/>
    <mergeCell ref="F49:G49"/>
    <mergeCell ref="H49:I49"/>
    <mergeCell ref="J49:K49"/>
    <mergeCell ref="L49:M49"/>
    <mergeCell ref="N51:O51"/>
    <mergeCell ref="P51:Q51"/>
    <mergeCell ref="B52:C52"/>
    <mergeCell ref="D52:E52"/>
    <mergeCell ref="F52:G52"/>
    <mergeCell ref="H52:I52"/>
    <mergeCell ref="J52:K52"/>
    <mergeCell ref="L52:M52"/>
    <mergeCell ref="N52:O52"/>
    <mergeCell ref="P52:Q52"/>
    <mergeCell ref="B51:C51"/>
    <mergeCell ref="D51:E51"/>
    <mergeCell ref="F51:G51"/>
    <mergeCell ref="H51:I51"/>
    <mergeCell ref="J51:K51"/>
    <mergeCell ref="L51:M51"/>
    <mergeCell ref="N53:O53"/>
    <mergeCell ref="P53:Q53"/>
    <mergeCell ref="B54:C54"/>
    <mergeCell ref="D54:E54"/>
    <mergeCell ref="F54:G54"/>
    <mergeCell ref="H54:I54"/>
    <mergeCell ref="J54:K54"/>
    <mergeCell ref="L54:M54"/>
    <mergeCell ref="N54:O54"/>
    <mergeCell ref="P54:Q54"/>
    <mergeCell ref="B53:C53"/>
    <mergeCell ref="D53:E53"/>
    <mergeCell ref="F53:G53"/>
    <mergeCell ref="H53:I53"/>
    <mergeCell ref="J53:K53"/>
    <mergeCell ref="L53:M53"/>
    <mergeCell ref="N55:O55"/>
    <mergeCell ref="P55:Q55"/>
    <mergeCell ref="B56:C56"/>
    <mergeCell ref="D56:E56"/>
    <mergeCell ref="F56:G56"/>
    <mergeCell ref="H56:I56"/>
    <mergeCell ref="J56:K56"/>
    <mergeCell ref="L56:M56"/>
    <mergeCell ref="N56:O56"/>
    <mergeCell ref="P56:Q56"/>
    <mergeCell ref="B55:C55"/>
    <mergeCell ref="D55:E55"/>
    <mergeCell ref="F55:G55"/>
    <mergeCell ref="H55:I55"/>
    <mergeCell ref="J55:K55"/>
    <mergeCell ref="L55:M55"/>
    <mergeCell ref="N57:O57"/>
    <mergeCell ref="P57:Q57"/>
    <mergeCell ref="B58:C58"/>
    <mergeCell ref="D58:E58"/>
    <mergeCell ref="F58:G58"/>
    <mergeCell ref="H58:I58"/>
    <mergeCell ref="J58:K58"/>
    <mergeCell ref="L58:M58"/>
    <mergeCell ref="N58:O58"/>
    <mergeCell ref="P58:Q58"/>
    <mergeCell ref="B57:C57"/>
    <mergeCell ref="D57:E57"/>
    <mergeCell ref="F57:G57"/>
    <mergeCell ref="H57:I57"/>
    <mergeCell ref="J57:K57"/>
    <mergeCell ref="L57:M57"/>
    <mergeCell ref="N59:O59"/>
    <mergeCell ref="P59:Q59"/>
    <mergeCell ref="B60:C60"/>
    <mergeCell ref="D60:E60"/>
    <mergeCell ref="F60:G60"/>
    <mergeCell ref="H60:I60"/>
    <mergeCell ref="J60:K60"/>
    <mergeCell ref="L60:M60"/>
    <mergeCell ref="N60:O60"/>
    <mergeCell ref="P60:Q60"/>
    <mergeCell ref="B59:C59"/>
    <mergeCell ref="D59:E59"/>
    <mergeCell ref="F59:G59"/>
    <mergeCell ref="H59:I59"/>
    <mergeCell ref="J59:K59"/>
    <mergeCell ref="L59:M59"/>
    <mergeCell ref="N61:O61"/>
    <mergeCell ref="P61:Q61"/>
    <mergeCell ref="B62:C62"/>
    <mergeCell ref="D62:E62"/>
    <mergeCell ref="F62:G62"/>
    <mergeCell ref="H62:I62"/>
    <mergeCell ref="J62:K62"/>
    <mergeCell ref="L62:M62"/>
    <mergeCell ref="N62:O62"/>
    <mergeCell ref="P62:Q62"/>
    <mergeCell ref="B61:C61"/>
    <mergeCell ref="D61:E61"/>
    <mergeCell ref="F61:G61"/>
    <mergeCell ref="H61:I61"/>
    <mergeCell ref="J61:K61"/>
    <mergeCell ref="L61:M61"/>
    <mergeCell ref="S27:T27"/>
    <mergeCell ref="B11:C12"/>
    <mergeCell ref="F11:G12"/>
    <mergeCell ref="H11:I12"/>
    <mergeCell ref="J11:K12"/>
    <mergeCell ref="L11:M12"/>
    <mergeCell ref="N11:O12"/>
    <mergeCell ref="P11:Q12"/>
    <mergeCell ref="S15:T15"/>
    <mergeCell ref="S17:T17"/>
    <mergeCell ref="S18:T18"/>
    <mergeCell ref="N27:O27"/>
    <mergeCell ref="P27:Q27"/>
    <mergeCell ref="N25:O25"/>
    <mergeCell ref="P25:Q25"/>
    <mergeCell ref="B26:C26"/>
    <mergeCell ref="D26:E26"/>
    <mergeCell ref="F26:G26"/>
    <mergeCell ref="H26:I26"/>
    <mergeCell ref="J26:K26"/>
    <mergeCell ref="L26:M26"/>
    <mergeCell ref="N26:O26"/>
    <mergeCell ref="P26:Q26"/>
    <mergeCell ref="B25:C25"/>
    <mergeCell ref="S13:T13"/>
    <mergeCell ref="S16:T16"/>
    <mergeCell ref="S19:T19"/>
    <mergeCell ref="S20:T20"/>
    <mergeCell ref="S22:T22"/>
    <mergeCell ref="S23:T23"/>
    <mergeCell ref="S24:T24"/>
    <mergeCell ref="S25:T25"/>
    <mergeCell ref="S26:T26"/>
    <mergeCell ref="B63:C63"/>
    <mergeCell ref="D63:E63"/>
    <mergeCell ref="F63:G63"/>
    <mergeCell ref="H63:I63"/>
    <mergeCell ref="J63:K63"/>
    <mergeCell ref="L63:M63"/>
    <mergeCell ref="N63:O63"/>
    <mergeCell ref="P63:Q63"/>
    <mergeCell ref="B64:C64"/>
    <mergeCell ref="D64:E64"/>
    <mergeCell ref="F64:G64"/>
    <mergeCell ref="H64:I64"/>
    <mergeCell ref="J64:K64"/>
    <mergeCell ref="L64:M64"/>
    <mergeCell ref="N64:O64"/>
    <mergeCell ref="P64:Q64"/>
    <mergeCell ref="B67:C68"/>
    <mergeCell ref="D67:E67"/>
    <mergeCell ref="F67:G68"/>
    <mergeCell ref="H67:I68"/>
    <mergeCell ref="J67:K68"/>
    <mergeCell ref="L67:M68"/>
    <mergeCell ref="N67:O68"/>
    <mergeCell ref="P67:Q68"/>
    <mergeCell ref="D68:E68"/>
    <mergeCell ref="B69:C69"/>
    <mergeCell ref="D69:E69"/>
    <mergeCell ref="F69:G69"/>
    <mergeCell ref="H69:I69"/>
    <mergeCell ref="J69:K69"/>
    <mergeCell ref="L69:M69"/>
    <mergeCell ref="N69:O69"/>
    <mergeCell ref="P69:Q69"/>
    <mergeCell ref="B70:C70"/>
    <mergeCell ref="D70:E70"/>
    <mergeCell ref="F70:G70"/>
    <mergeCell ref="H70:I70"/>
    <mergeCell ref="J70:K70"/>
    <mergeCell ref="L70:M70"/>
    <mergeCell ref="N70:O70"/>
    <mergeCell ref="P70:Q70"/>
    <mergeCell ref="B71:C71"/>
    <mergeCell ref="D71:E71"/>
    <mergeCell ref="F71:G71"/>
    <mergeCell ref="H71:I71"/>
    <mergeCell ref="J71:K71"/>
    <mergeCell ref="L71:M71"/>
    <mergeCell ref="N71:O71"/>
    <mergeCell ref="P71:Q71"/>
    <mergeCell ref="B72:C72"/>
    <mergeCell ref="D72:E72"/>
    <mergeCell ref="F72:G72"/>
    <mergeCell ref="H72:I72"/>
    <mergeCell ref="J72:K72"/>
    <mergeCell ref="L72:M72"/>
    <mergeCell ref="N72:O72"/>
    <mergeCell ref="P72:Q72"/>
    <mergeCell ref="B73:C73"/>
    <mergeCell ref="D73:E73"/>
    <mergeCell ref="F73:G73"/>
    <mergeCell ref="H73:I73"/>
    <mergeCell ref="J73:K73"/>
    <mergeCell ref="L73:M73"/>
    <mergeCell ref="N73:O73"/>
    <mergeCell ref="P73:Q73"/>
    <mergeCell ref="B74:C74"/>
    <mergeCell ref="D74:E74"/>
    <mergeCell ref="F74:G74"/>
    <mergeCell ref="H74:I74"/>
    <mergeCell ref="J74:K74"/>
    <mergeCell ref="L74:M74"/>
    <mergeCell ref="N74:O74"/>
    <mergeCell ref="P74:Q74"/>
    <mergeCell ref="B75:C75"/>
    <mergeCell ref="D75:E75"/>
    <mergeCell ref="F75:G75"/>
    <mergeCell ref="H75:I75"/>
    <mergeCell ref="J75:K75"/>
    <mergeCell ref="L75:M75"/>
    <mergeCell ref="N75:O75"/>
    <mergeCell ref="P75:Q75"/>
    <mergeCell ref="B76:C76"/>
    <mergeCell ref="D76:E76"/>
    <mergeCell ref="F76:G76"/>
    <mergeCell ref="H76:I76"/>
    <mergeCell ref="J76:K76"/>
    <mergeCell ref="L76:M76"/>
    <mergeCell ref="N76:O76"/>
    <mergeCell ref="P76:Q76"/>
    <mergeCell ref="B77:C77"/>
    <mergeCell ref="D77:E77"/>
    <mergeCell ref="F77:G77"/>
    <mergeCell ref="H77:I77"/>
    <mergeCell ref="J77:K77"/>
    <mergeCell ref="L77:M77"/>
    <mergeCell ref="N77:O77"/>
    <mergeCell ref="P77:Q77"/>
    <mergeCell ref="B78:C78"/>
    <mergeCell ref="D78:E78"/>
    <mergeCell ref="F78:G78"/>
    <mergeCell ref="H78:I78"/>
    <mergeCell ref="J78:K78"/>
    <mergeCell ref="L78:M78"/>
    <mergeCell ref="N78:O78"/>
    <mergeCell ref="P78:Q78"/>
    <mergeCell ref="B79:C79"/>
    <mergeCell ref="D79:E79"/>
    <mergeCell ref="F79:G79"/>
    <mergeCell ref="H79:I79"/>
    <mergeCell ref="J79:K79"/>
    <mergeCell ref="L79:M79"/>
    <mergeCell ref="N79:O79"/>
    <mergeCell ref="P79:Q79"/>
    <mergeCell ref="B80:C80"/>
    <mergeCell ref="D80:E80"/>
    <mergeCell ref="F80:G80"/>
    <mergeCell ref="H80:I80"/>
    <mergeCell ref="J80:K80"/>
    <mergeCell ref="L80:M80"/>
    <mergeCell ref="N80:O80"/>
    <mergeCell ref="P80:Q80"/>
    <mergeCell ref="B81:C81"/>
    <mergeCell ref="D81:E81"/>
    <mergeCell ref="F81:G81"/>
    <mergeCell ref="H81:I81"/>
    <mergeCell ref="J81:K81"/>
    <mergeCell ref="L81:M81"/>
    <mergeCell ref="N81:O81"/>
    <mergeCell ref="P81:Q81"/>
    <mergeCell ref="B82:C82"/>
    <mergeCell ref="D82:E82"/>
    <mergeCell ref="F82:G82"/>
    <mergeCell ref="H82:I82"/>
    <mergeCell ref="J82:K82"/>
    <mergeCell ref="L82:M82"/>
    <mergeCell ref="N82:O82"/>
    <mergeCell ref="P82:Q82"/>
    <mergeCell ref="B83:C83"/>
    <mergeCell ref="D83:E83"/>
    <mergeCell ref="F83:G83"/>
    <mergeCell ref="H83:I83"/>
    <mergeCell ref="J83:K83"/>
    <mergeCell ref="L83:M83"/>
    <mergeCell ref="N83:O83"/>
    <mergeCell ref="P83:Q83"/>
    <mergeCell ref="B84:C84"/>
    <mergeCell ref="D84:E84"/>
    <mergeCell ref="F84:G84"/>
    <mergeCell ref="H84:I84"/>
    <mergeCell ref="J84:K84"/>
    <mergeCell ref="L84:M84"/>
    <mergeCell ref="N84:O84"/>
    <mergeCell ref="P84:Q84"/>
    <mergeCell ref="B85:C85"/>
    <mergeCell ref="D85:E85"/>
    <mergeCell ref="F85:G85"/>
    <mergeCell ref="H85:I85"/>
    <mergeCell ref="J85:K85"/>
    <mergeCell ref="L85:M85"/>
    <mergeCell ref="N85:O85"/>
    <mergeCell ref="P85:Q85"/>
    <mergeCell ref="B86:C86"/>
    <mergeCell ref="D86:E86"/>
    <mergeCell ref="F86:G86"/>
    <mergeCell ref="H86:I86"/>
    <mergeCell ref="J86:K86"/>
    <mergeCell ref="L86:M86"/>
    <mergeCell ref="N86:O86"/>
    <mergeCell ref="P86:Q86"/>
    <mergeCell ref="B87:C87"/>
    <mergeCell ref="D87:E87"/>
    <mergeCell ref="F87:G87"/>
    <mergeCell ref="H87:I87"/>
    <mergeCell ref="J87:K87"/>
    <mergeCell ref="L87:M87"/>
    <mergeCell ref="N87:O87"/>
    <mergeCell ref="P87:Q87"/>
    <mergeCell ref="B88:C88"/>
    <mergeCell ref="D88:E88"/>
    <mergeCell ref="F88:G88"/>
    <mergeCell ref="H88:I88"/>
    <mergeCell ref="J88:K88"/>
    <mergeCell ref="L88:M88"/>
    <mergeCell ref="N88:O88"/>
    <mergeCell ref="P88:Q88"/>
    <mergeCell ref="B89:C89"/>
    <mergeCell ref="D89:E89"/>
    <mergeCell ref="F89:G89"/>
    <mergeCell ref="H89:I89"/>
    <mergeCell ref="J89:K89"/>
    <mergeCell ref="L89:M89"/>
    <mergeCell ref="N89:O89"/>
    <mergeCell ref="P89:Q89"/>
    <mergeCell ref="B90:C90"/>
    <mergeCell ref="D90:E90"/>
    <mergeCell ref="F90:G90"/>
    <mergeCell ref="H90:I90"/>
    <mergeCell ref="J90:K90"/>
    <mergeCell ref="L90:M90"/>
    <mergeCell ref="N90:O90"/>
    <mergeCell ref="P90:Q90"/>
    <mergeCell ref="B91:C91"/>
    <mergeCell ref="D91:E91"/>
    <mergeCell ref="F91:G91"/>
    <mergeCell ref="H91:I91"/>
    <mergeCell ref="J91:K91"/>
    <mergeCell ref="L91:M91"/>
    <mergeCell ref="N91:O91"/>
    <mergeCell ref="P91:Q91"/>
    <mergeCell ref="B92:C92"/>
    <mergeCell ref="D92:E92"/>
    <mergeCell ref="F92:G92"/>
    <mergeCell ref="H92:I92"/>
    <mergeCell ref="J92:K92"/>
    <mergeCell ref="L92:M92"/>
    <mergeCell ref="N92:O92"/>
    <mergeCell ref="P92:Q92"/>
    <mergeCell ref="B93:C93"/>
    <mergeCell ref="D93:E93"/>
    <mergeCell ref="F93:G93"/>
    <mergeCell ref="H93:I93"/>
    <mergeCell ref="J93:K93"/>
    <mergeCell ref="L93:M93"/>
    <mergeCell ref="N93:O93"/>
    <mergeCell ref="P93:Q93"/>
    <mergeCell ref="B94:C94"/>
    <mergeCell ref="D94:E94"/>
    <mergeCell ref="F94:G94"/>
    <mergeCell ref="H94:I94"/>
    <mergeCell ref="J94:K94"/>
    <mergeCell ref="L94:M94"/>
    <mergeCell ref="N94:O94"/>
    <mergeCell ref="P94:Q94"/>
    <mergeCell ref="B95:C95"/>
    <mergeCell ref="D95:E95"/>
    <mergeCell ref="F95:G95"/>
    <mergeCell ref="H95:I95"/>
    <mergeCell ref="J95:K95"/>
    <mergeCell ref="L95:M95"/>
    <mergeCell ref="N95:O95"/>
    <mergeCell ref="P95:Q95"/>
    <mergeCell ref="B96:C96"/>
    <mergeCell ref="D96:E96"/>
    <mergeCell ref="F96:G96"/>
    <mergeCell ref="H96:I96"/>
    <mergeCell ref="J96:K96"/>
    <mergeCell ref="L96:M96"/>
    <mergeCell ref="N96:O96"/>
    <mergeCell ref="P96:Q96"/>
    <mergeCell ref="B97:C97"/>
    <mergeCell ref="D97:E97"/>
    <mergeCell ref="F97:G97"/>
    <mergeCell ref="H97:I97"/>
    <mergeCell ref="J97:K97"/>
    <mergeCell ref="L97:M97"/>
    <mergeCell ref="N97:O97"/>
    <mergeCell ref="P97:Q97"/>
    <mergeCell ref="B98:C98"/>
    <mergeCell ref="D98:E98"/>
    <mergeCell ref="F98:G98"/>
    <mergeCell ref="H98:I98"/>
    <mergeCell ref="J98:K98"/>
    <mergeCell ref="L98:M98"/>
    <mergeCell ref="N98:O98"/>
    <mergeCell ref="P98:Q98"/>
    <mergeCell ref="B99:C99"/>
    <mergeCell ref="D99:E99"/>
    <mergeCell ref="F99:G99"/>
    <mergeCell ref="H99:I99"/>
    <mergeCell ref="J99:K99"/>
    <mergeCell ref="L99:M99"/>
    <mergeCell ref="N99:O99"/>
    <mergeCell ref="P99:Q99"/>
    <mergeCell ref="B100:C100"/>
    <mergeCell ref="D100:E100"/>
    <mergeCell ref="F100:G100"/>
    <mergeCell ref="H100:I100"/>
    <mergeCell ref="J100:K100"/>
    <mergeCell ref="L100:M100"/>
    <mergeCell ref="N100:O100"/>
    <mergeCell ref="P100:Q100"/>
    <mergeCell ref="B101:C101"/>
    <mergeCell ref="D101:E101"/>
    <mergeCell ref="F101:G101"/>
    <mergeCell ref="H101:I101"/>
    <mergeCell ref="J101:K101"/>
    <mergeCell ref="L101:M101"/>
    <mergeCell ref="N101:O101"/>
    <mergeCell ref="P101:Q101"/>
    <mergeCell ref="B102:C102"/>
    <mergeCell ref="D102:E102"/>
    <mergeCell ref="F102:G102"/>
    <mergeCell ref="H102:I102"/>
    <mergeCell ref="J102:K102"/>
    <mergeCell ref="L102:M102"/>
    <mergeCell ref="N102:O102"/>
    <mergeCell ref="P102:Q102"/>
    <mergeCell ref="B103:C103"/>
    <mergeCell ref="D103:E103"/>
    <mergeCell ref="F103:G103"/>
    <mergeCell ref="H103:I103"/>
    <mergeCell ref="J103:K103"/>
    <mergeCell ref="L103:M103"/>
    <mergeCell ref="N103:O103"/>
    <mergeCell ref="P103:Q103"/>
    <mergeCell ref="B104:C104"/>
    <mergeCell ref="D104:E104"/>
    <mergeCell ref="F104:G104"/>
    <mergeCell ref="H104:I104"/>
    <mergeCell ref="J104:K104"/>
    <mergeCell ref="L104:M104"/>
    <mergeCell ref="N104:O104"/>
    <mergeCell ref="P104:Q104"/>
    <mergeCell ref="B105:C105"/>
    <mergeCell ref="D105:E105"/>
    <mergeCell ref="F105:G105"/>
    <mergeCell ref="H105:I105"/>
    <mergeCell ref="J105:K105"/>
    <mergeCell ref="L105:M105"/>
    <mergeCell ref="N105:O105"/>
    <mergeCell ref="P105:Q105"/>
    <mergeCell ref="B106:C106"/>
    <mergeCell ref="D106:E106"/>
    <mergeCell ref="F106:G106"/>
    <mergeCell ref="H106:I106"/>
    <mergeCell ref="J106:K106"/>
    <mergeCell ref="L106:M106"/>
    <mergeCell ref="N106:O106"/>
    <mergeCell ref="P106:Q106"/>
    <mergeCell ref="B107:C107"/>
    <mergeCell ref="D107:E107"/>
    <mergeCell ref="F107:G107"/>
    <mergeCell ref="H107:I107"/>
    <mergeCell ref="J107:K107"/>
    <mergeCell ref="L107:M107"/>
    <mergeCell ref="N107:O107"/>
    <mergeCell ref="P107:Q107"/>
    <mergeCell ref="B108:C108"/>
    <mergeCell ref="D108:E108"/>
    <mergeCell ref="F108:G108"/>
    <mergeCell ref="H108:I108"/>
    <mergeCell ref="J108:K108"/>
    <mergeCell ref="L108:M108"/>
    <mergeCell ref="N108:O108"/>
    <mergeCell ref="P108:Q108"/>
    <mergeCell ref="B109:C109"/>
    <mergeCell ref="D109:E109"/>
    <mergeCell ref="F109:G109"/>
    <mergeCell ref="H109:I109"/>
    <mergeCell ref="J109:K109"/>
    <mergeCell ref="L109:M109"/>
    <mergeCell ref="N109:O109"/>
    <mergeCell ref="P109:Q109"/>
    <mergeCell ref="B110:C110"/>
    <mergeCell ref="D110:E110"/>
    <mergeCell ref="F110:G110"/>
    <mergeCell ref="H110:I110"/>
    <mergeCell ref="J110:K110"/>
    <mergeCell ref="L110:M110"/>
    <mergeCell ref="N110:O110"/>
    <mergeCell ref="P110:Q110"/>
    <mergeCell ref="B111:C111"/>
    <mergeCell ref="D111:E111"/>
    <mergeCell ref="F111:G111"/>
    <mergeCell ref="H111:I111"/>
    <mergeCell ref="J111:K111"/>
    <mergeCell ref="L111:M111"/>
    <mergeCell ref="N111:O111"/>
    <mergeCell ref="P111:Q111"/>
    <mergeCell ref="B112:C112"/>
    <mergeCell ref="D112:E112"/>
    <mergeCell ref="F112:G112"/>
    <mergeCell ref="H112:I112"/>
    <mergeCell ref="J112:K112"/>
    <mergeCell ref="L112:M112"/>
    <mergeCell ref="N112:O112"/>
    <mergeCell ref="P112:Q112"/>
    <mergeCell ref="B113:C113"/>
    <mergeCell ref="D113:E113"/>
    <mergeCell ref="F113:G113"/>
    <mergeCell ref="H113:I113"/>
    <mergeCell ref="J113:K113"/>
    <mergeCell ref="L113:M113"/>
    <mergeCell ref="N113:O113"/>
    <mergeCell ref="P113:Q113"/>
    <mergeCell ref="B114:C114"/>
    <mergeCell ref="D114:E114"/>
    <mergeCell ref="F114:G114"/>
    <mergeCell ref="H114:I114"/>
    <mergeCell ref="J114:K114"/>
    <mergeCell ref="L114:M114"/>
    <mergeCell ref="N114:O114"/>
    <mergeCell ref="P114:Q114"/>
    <mergeCell ref="B115:C115"/>
    <mergeCell ref="D115:E115"/>
    <mergeCell ref="F115:G115"/>
    <mergeCell ref="H115:I115"/>
    <mergeCell ref="J115:K115"/>
    <mergeCell ref="L115:M115"/>
    <mergeCell ref="N115:O115"/>
    <mergeCell ref="P115:Q115"/>
    <mergeCell ref="B116:C116"/>
    <mergeCell ref="D116:E116"/>
    <mergeCell ref="F116:G116"/>
    <mergeCell ref="H116:I116"/>
    <mergeCell ref="J116:K116"/>
    <mergeCell ref="L116:M116"/>
    <mergeCell ref="N116:O116"/>
    <mergeCell ref="P116:Q116"/>
    <mergeCell ref="B117:C117"/>
    <mergeCell ref="D117:E117"/>
    <mergeCell ref="F117:G117"/>
    <mergeCell ref="H117:I117"/>
    <mergeCell ref="J117:K117"/>
    <mergeCell ref="L117:M117"/>
    <mergeCell ref="N117:O117"/>
    <mergeCell ref="P117:Q117"/>
    <mergeCell ref="B118:C118"/>
    <mergeCell ref="D118:E118"/>
    <mergeCell ref="F118:G118"/>
    <mergeCell ref="H118:I118"/>
    <mergeCell ref="J118:K118"/>
    <mergeCell ref="L118:M118"/>
    <mergeCell ref="N118:O118"/>
    <mergeCell ref="P118:Q118"/>
    <mergeCell ref="B119:C119"/>
    <mergeCell ref="D119:E119"/>
    <mergeCell ref="F119:G119"/>
    <mergeCell ref="H119:I119"/>
    <mergeCell ref="J119:K119"/>
    <mergeCell ref="L119:M119"/>
    <mergeCell ref="N119:O119"/>
    <mergeCell ref="P119:Q119"/>
    <mergeCell ref="B120:C120"/>
    <mergeCell ref="D120:E120"/>
    <mergeCell ref="F120:G120"/>
    <mergeCell ref="H120:I120"/>
    <mergeCell ref="J120:K120"/>
    <mergeCell ref="L120:M120"/>
    <mergeCell ref="N120:O120"/>
    <mergeCell ref="P120:Q120"/>
    <mergeCell ref="B123:C123"/>
    <mergeCell ref="D123:E123"/>
    <mergeCell ref="F123:G123"/>
    <mergeCell ref="H123:I123"/>
    <mergeCell ref="J123:K123"/>
    <mergeCell ref="L123:M123"/>
    <mergeCell ref="N123:O123"/>
    <mergeCell ref="P123:Q123"/>
    <mergeCell ref="B121:C121"/>
    <mergeCell ref="D121:E121"/>
    <mergeCell ref="F121:G121"/>
    <mergeCell ref="H121:I121"/>
    <mergeCell ref="J121:K121"/>
    <mergeCell ref="L121:M121"/>
    <mergeCell ref="N121:O121"/>
    <mergeCell ref="P121:Q121"/>
    <mergeCell ref="B122:C122"/>
    <mergeCell ref="D122:E122"/>
    <mergeCell ref="F122:G122"/>
    <mergeCell ref="H122:I122"/>
    <mergeCell ref="J122:K122"/>
    <mergeCell ref="L122:M122"/>
    <mergeCell ref="N122:O122"/>
    <mergeCell ref="P122:Q122"/>
  </mergeCells>
  <printOptions horizontalCentered="1" verticalCentered="1"/>
  <pageMargins left="0.47244094488188981" right="0.47244094488188981" top="0.74803149606299213" bottom="0.74803149606299213" header="0.31496062992125984" footer="0.31496062992125984"/>
  <pageSetup scale="75" fitToWidth="0"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21D6-6A52-4545-896E-803FAD95C98E}">
  <dimension ref="A1:AO105"/>
  <sheetViews>
    <sheetView view="pageBreakPreview" topLeftCell="A32" zoomScaleNormal="100" zoomScaleSheetLayoutView="100" workbookViewId="0">
      <selection activeCell="G51" sqref="G51:H51"/>
    </sheetView>
  </sheetViews>
  <sheetFormatPr baseColWidth="10" defaultColWidth="5.7109375" defaultRowHeight="15" x14ac:dyDescent="0.25"/>
  <cols>
    <col min="1" max="16" width="5.7109375" style="1" customWidth="1"/>
    <col min="17" max="17" width="5.7109375" style="1"/>
    <col min="18" max="21" width="5.7109375" style="1" customWidth="1"/>
    <col min="22" max="22" width="5.7109375" style="1"/>
    <col min="23" max="23" width="15.28515625" style="1" customWidth="1"/>
    <col min="24" max="24" width="12" style="1" bestFit="1" customWidth="1"/>
    <col min="25" max="25" width="10" style="1" bestFit="1" customWidth="1"/>
    <col min="26" max="26" width="9" style="1" bestFit="1" customWidth="1"/>
    <col min="27" max="27" width="5.7109375" style="1"/>
    <col min="28" max="28" width="10.140625" style="1" customWidth="1"/>
    <col min="29" max="16384" width="5.7109375" style="1"/>
  </cols>
  <sheetData>
    <row r="1" spans="1:25"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5"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25" x14ac:dyDescent="0.25">
      <c r="A3" s="214"/>
      <c r="B3" s="215"/>
      <c r="C3" s="215"/>
      <c r="D3" s="215"/>
      <c r="E3" s="216"/>
      <c r="F3" s="217" t="s">
        <v>1</v>
      </c>
      <c r="G3" s="210"/>
      <c r="H3" s="211" t="s">
        <v>552</v>
      </c>
      <c r="I3" s="212"/>
      <c r="J3" s="212"/>
      <c r="K3" s="212"/>
      <c r="L3" s="212"/>
      <c r="M3" s="212"/>
      <c r="N3" s="213"/>
      <c r="O3" s="217" t="s">
        <v>4</v>
      </c>
      <c r="P3" s="209"/>
      <c r="Q3" s="209" t="str">
        <f>'0. CARTA RESPONSABILIDAD'!Q3</f>
        <v>R0</v>
      </c>
      <c r="R3" s="209"/>
      <c r="S3" s="209"/>
      <c r="T3" s="209"/>
      <c r="U3" s="210"/>
    </row>
    <row r="4" spans="1:25" ht="13.9" x14ac:dyDescent="0.25">
      <c r="A4" s="2"/>
      <c r="B4" s="3"/>
      <c r="C4" s="3"/>
      <c r="D4" s="3"/>
      <c r="E4" s="3"/>
      <c r="F4" s="3"/>
      <c r="G4" s="3"/>
      <c r="H4" s="3"/>
      <c r="I4" s="3"/>
      <c r="J4" s="3"/>
      <c r="K4" s="3"/>
      <c r="L4" s="3"/>
      <c r="M4" s="3"/>
      <c r="N4" s="3"/>
      <c r="O4" s="3"/>
      <c r="P4" s="3"/>
      <c r="Q4" s="3"/>
      <c r="R4" s="3"/>
      <c r="S4" s="3"/>
      <c r="T4" s="3"/>
      <c r="U4" s="4"/>
    </row>
    <row r="5" spans="1:25" x14ac:dyDescent="0.25">
      <c r="A5" s="5"/>
      <c r="B5" s="225" t="s">
        <v>265</v>
      </c>
      <c r="C5" s="225"/>
      <c r="D5" s="225"/>
      <c r="E5" s="225"/>
      <c r="F5" s="225"/>
      <c r="G5" s="225"/>
      <c r="H5" s="225"/>
      <c r="I5" s="225"/>
      <c r="J5" s="225"/>
      <c r="K5" s="225"/>
      <c r="L5" s="225"/>
      <c r="M5" s="225"/>
      <c r="N5" s="225"/>
      <c r="O5" s="225"/>
      <c r="P5" s="225"/>
      <c r="Q5" s="225"/>
      <c r="R5" s="225"/>
      <c r="S5" s="225"/>
      <c r="T5" s="225"/>
      <c r="U5" s="7"/>
    </row>
    <row r="6" spans="1:25" x14ac:dyDescent="0.25">
      <c r="A6" s="5"/>
      <c r="B6" s="225"/>
      <c r="C6" s="225"/>
      <c r="D6" s="225"/>
      <c r="E6" s="225"/>
      <c r="F6" s="225"/>
      <c r="G6" s="225"/>
      <c r="H6" s="225"/>
      <c r="I6" s="225"/>
      <c r="J6" s="225"/>
      <c r="K6" s="225"/>
      <c r="L6" s="225"/>
      <c r="M6" s="225"/>
      <c r="N6" s="225"/>
      <c r="O6" s="225"/>
      <c r="P6" s="225"/>
      <c r="Q6" s="225"/>
      <c r="R6" s="225"/>
      <c r="S6" s="225"/>
      <c r="T6" s="225"/>
      <c r="U6" s="7"/>
    </row>
    <row r="7" spans="1:25" ht="13.9" x14ac:dyDescent="0.25">
      <c r="A7" s="5"/>
      <c r="B7" s="6"/>
      <c r="C7" s="6"/>
      <c r="D7" s="6"/>
      <c r="E7" s="6"/>
      <c r="F7" s="6"/>
      <c r="G7" s="6"/>
      <c r="H7" s="6"/>
      <c r="I7" s="6"/>
      <c r="J7" s="6"/>
      <c r="U7" s="7"/>
    </row>
    <row r="8" spans="1:25" ht="13.9" x14ac:dyDescent="0.25">
      <c r="A8" s="5"/>
      <c r="B8" s="6" t="s">
        <v>232</v>
      </c>
      <c r="C8" s="6"/>
      <c r="D8" s="6"/>
      <c r="G8" s="6"/>
      <c r="H8" s="6"/>
      <c r="I8" s="6"/>
      <c r="J8" s="6"/>
      <c r="N8" s="15">
        <f>'0. INICIO'!L15</f>
        <v>8.1</v>
      </c>
      <c r="O8" s="6" t="s">
        <v>101</v>
      </c>
      <c r="U8" s="7"/>
    </row>
    <row r="9" spans="1:25" ht="13.9" x14ac:dyDescent="0.25">
      <c r="A9" s="5"/>
      <c r="B9" s="6"/>
      <c r="C9" s="6"/>
      <c r="D9" s="6"/>
      <c r="E9" s="6"/>
      <c r="F9" s="6"/>
      <c r="G9" s="6"/>
      <c r="H9" s="6"/>
      <c r="I9" s="6"/>
      <c r="J9" s="6"/>
      <c r="U9" s="7"/>
    </row>
    <row r="10" spans="1:25" ht="13.9" x14ac:dyDescent="0.25">
      <c r="A10" s="5"/>
      <c r="B10" s="312" t="s">
        <v>162</v>
      </c>
      <c r="C10" s="312"/>
      <c r="D10" s="312"/>
      <c r="E10" s="312"/>
      <c r="F10" s="312"/>
      <c r="G10" s="312"/>
      <c r="H10" s="312"/>
      <c r="I10" s="312"/>
      <c r="J10" s="312"/>
      <c r="K10" s="312"/>
      <c r="L10" s="312"/>
      <c r="M10" s="312"/>
      <c r="N10" s="312"/>
      <c r="O10" s="312"/>
      <c r="P10" s="312"/>
      <c r="U10" s="7"/>
      <c r="W10" s="1" t="s">
        <v>163</v>
      </c>
      <c r="X10" s="1" t="s">
        <v>169</v>
      </c>
      <c r="Y10" s="1" t="s">
        <v>124</v>
      </c>
    </row>
    <row r="11" spans="1:25" x14ac:dyDescent="0.25">
      <c r="A11" s="5"/>
      <c r="B11" s="312" t="s">
        <v>163</v>
      </c>
      <c r="C11" s="312"/>
      <c r="D11" s="312"/>
      <c r="E11" s="312"/>
      <c r="F11" s="312"/>
      <c r="G11" s="312"/>
      <c r="H11" s="312"/>
      <c r="I11" s="312"/>
      <c r="J11" s="312"/>
      <c r="K11" s="312"/>
      <c r="L11" s="312"/>
      <c r="M11" s="312"/>
      <c r="N11" s="13" t="s">
        <v>169</v>
      </c>
      <c r="O11" s="13" t="s">
        <v>124</v>
      </c>
      <c r="P11" s="13" t="s">
        <v>241</v>
      </c>
      <c r="U11" s="7"/>
      <c r="W11" s="1" t="s">
        <v>164</v>
      </c>
      <c r="X11" s="1">
        <v>4.7E-2</v>
      </c>
      <c r="Y11" s="1">
        <v>0.9</v>
      </c>
    </row>
    <row r="12" spans="1:25" x14ac:dyDescent="0.25">
      <c r="A12" s="5"/>
      <c r="B12" s="312" t="s">
        <v>164</v>
      </c>
      <c r="C12" s="312"/>
      <c r="D12" s="312"/>
      <c r="E12" s="312"/>
      <c r="F12" s="312"/>
      <c r="G12" s="312"/>
      <c r="H12" s="312"/>
      <c r="I12" s="312"/>
      <c r="J12" s="312"/>
      <c r="K12" s="312"/>
      <c r="L12" s="312"/>
      <c r="M12" s="312"/>
      <c r="N12" s="187">
        <f>VLOOKUP(B12,$W$11:$Y$15,2,)</f>
        <v>4.7E-2</v>
      </c>
      <c r="O12" s="13">
        <f>VLOOKUP(B12,$W$11:$Y$15,3,)</f>
        <v>0.9</v>
      </c>
      <c r="P12" s="102">
        <f>N12*N8^O12</f>
        <v>0.30884059105237999</v>
      </c>
      <c r="U12" s="7"/>
      <c r="W12" s="1" t="s">
        <v>165</v>
      </c>
      <c r="X12" s="1">
        <v>7.1999999999999995E-2</v>
      </c>
      <c r="Y12" s="1">
        <v>0.8</v>
      </c>
    </row>
    <row r="13" spans="1:25" x14ac:dyDescent="0.25">
      <c r="A13" s="5"/>
      <c r="N13" s="57"/>
      <c r="O13" s="57"/>
      <c r="P13" s="57"/>
      <c r="U13" s="7"/>
      <c r="W13" s="1" t="s">
        <v>166</v>
      </c>
      <c r="X13" s="1">
        <v>7.2999999999999995E-2</v>
      </c>
      <c r="Y13" s="1">
        <v>0.75</v>
      </c>
    </row>
    <row r="14" spans="1:25" ht="13.9" x14ac:dyDescent="0.25">
      <c r="A14" s="5"/>
      <c r="B14" s="300" t="s">
        <v>88</v>
      </c>
      <c r="C14" s="300"/>
      <c r="D14" s="103">
        <f>P12</f>
        <v>0.30884059105237999</v>
      </c>
      <c r="F14" s="1" t="s">
        <v>537</v>
      </c>
      <c r="L14" s="259" t="s">
        <v>538</v>
      </c>
      <c r="M14" s="259"/>
      <c r="N14" s="259"/>
      <c r="O14" s="259"/>
      <c r="P14" s="259"/>
      <c r="Q14" s="259"/>
      <c r="R14" s="259"/>
      <c r="S14" s="259"/>
      <c r="T14" s="259"/>
      <c r="U14" s="301"/>
      <c r="W14" s="1" t="s">
        <v>167</v>
      </c>
      <c r="X14" s="1">
        <v>4.9000000000000002E-2</v>
      </c>
      <c r="Y14" s="1">
        <v>0.75</v>
      </c>
    </row>
    <row r="15" spans="1:25" x14ac:dyDescent="0.25">
      <c r="A15" s="5"/>
      <c r="B15" s="300" t="s">
        <v>57</v>
      </c>
      <c r="C15" s="300"/>
      <c r="D15" s="20">
        <f>'3. ESPECTRO'!$M$21</f>
        <v>0.2</v>
      </c>
      <c r="U15" s="7"/>
      <c r="W15" s="1" t="s">
        <v>168</v>
      </c>
      <c r="X15" s="1">
        <v>0</v>
      </c>
      <c r="Y15" s="1">
        <v>1</v>
      </c>
    </row>
    <row r="16" spans="1:25" ht="13.9" x14ac:dyDescent="0.25">
      <c r="A16" s="5"/>
      <c r="B16" s="300" t="s">
        <v>68</v>
      </c>
      <c r="C16" s="300"/>
      <c r="D16" s="20">
        <f>'3. ESPECTRO'!$M$24</f>
        <v>3.2</v>
      </c>
      <c r="F16" s="300" t="s">
        <v>237</v>
      </c>
      <c r="G16" s="300"/>
      <c r="H16" s="302">
        <f>'6. PERIODOS Y MASA EXCITADA'!S20</f>
        <v>0.375</v>
      </c>
      <c r="I16" s="302"/>
      <c r="L16" s="57" t="s">
        <v>243</v>
      </c>
      <c r="M16" s="302">
        <f>MIN(D18,H16)</f>
        <v>0.370608709262856</v>
      </c>
      <c r="N16" s="302"/>
      <c r="P16" s="6" t="s">
        <v>171</v>
      </c>
      <c r="Q16" s="20" cm="1">
        <f t="array" ref="Q16">_xlfn.IFS(M16&lt;=0.5,1,AND(M16&gt;0.5,M16&lt;=2.5),0.75+0.5*M16,M16&gt;2.5,2)</f>
        <v>1</v>
      </c>
      <c r="S16" s="57" t="s">
        <v>245</v>
      </c>
      <c r="T16" s="303">
        <f>'3. ESPECTRO'!I52</f>
        <v>0.90625</v>
      </c>
      <c r="U16" s="304"/>
    </row>
    <row r="17" spans="1:21" ht="13.9" x14ac:dyDescent="0.25">
      <c r="A17" s="5"/>
      <c r="B17" s="300" t="s">
        <v>239</v>
      </c>
      <c r="C17" s="300"/>
      <c r="D17" s="6">
        <f>MAX(1.2,1.75-1.2*D15*D16)</f>
        <v>1.2</v>
      </c>
      <c r="F17" s="300" t="s">
        <v>238</v>
      </c>
      <c r="G17" s="300"/>
      <c r="H17" s="302">
        <f>'6. PERIODOS Y MASA EXCITADA'!S27</f>
        <v>0.42899999999999999</v>
      </c>
      <c r="I17" s="302"/>
      <c r="L17" s="57" t="s">
        <v>244</v>
      </c>
      <c r="M17" s="302">
        <f>MIN(D18,H17)</f>
        <v>0.370608709262856</v>
      </c>
      <c r="N17" s="302"/>
      <c r="P17" s="6" t="s">
        <v>171</v>
      </c>
      <c r="Q17" s="20" cm="1">
        <f t="array" ref="Q17">_xlfn.IFS(M17&lt;=0.5,1,AND(M17&gt;0.5,M17&lt;=2.5),0.75+0.5*M17,M17&gt;2.5,2)</f>
        <v>1</v>
      </c>
      <c r="S17" s="57" t="s">
        <v>246</v>
      </c>
      <c r="T17" s="303">
        <f>'3. ESPECTRO'!I53</f>
        <v>0.90625</v>
      </c>
      <c r="U17" s="304"/>
    </row>
    <row r="18" spans="1:21" ht="13.9" x14ac:dyDescent="0.25">
      <c r="A18" s="5"/>
      <c r="B18" s="300" t="s">
        <v>240</v>
      </c>
      <c r="C18" s="300"/>
      <c r="D18" s="104">
        <f>D17*P12</f>
        <v>0.370608709262856</v>
      </c>
      <c r="U18" s="7"/>
    </row>
    <row r="19" spans="1:21" ht="13.9" x14ac:dyDescent="0.25">
      <c r="A19" s="5"/>
      <c r="U19" s="7"/>
    </row>
    <row r="20" spans="1:21" x14ac:dyDescent="0.25">
      <c r="A20" s="5"/>
      <c r="B20" s="1" t="s">
        <v>539</v>
      </c>
      <c r="U20" s="7"/>
    </row>
    <row r="21" spans="1:21" ht="13.9" x14ac:dyDescent="0.25">
      <c r="A21" s="5"/>
      <c r="U21" s="7"/>
    </row>
    <row r="22" spans="1:21" x14ac:dyDescent="0.25">
      <c r="A22" s="5"/>
      <c r="B22" s="294" t="s">
        <v>97</v>
      </c>
      <c r="C22" s="294"/>
      <c r="D22" s="294" t="s">
        <v>123</v>
      </c>
      <c r="E22" s="294"/>
      <c r="F22" s="294" t="s">
        <v>173</v>
      </c>
      <c r="G22" s="294"/>
      <c r="H22" s="294" t="s">
        <v>170</v>
      </c>
      <c r="I22" s="294"/>
      <c r="J22" s="294" t="s">
        <v>857</v>
      </c>
      <c r="K22" s="294"/>
      <c r="L22" s="294" t="s">
        <v>175</v>
      </c>
      <c r="M22" s="294"/>
      <c r="N22" s="294" t="s">
        <v>247</v>
      </c>
      <c r="O22" s="294"/>
      <c r="P22" s="294" t="s">
        <v>248</v>
      </c>
      <c r="Q22" s="294"/>
      <c r="U22" s="7"/>
    </row>
    <row r="23" spans="1:21" x14ac:dyDescent="0.25">
      <c r="A23" s="5"/>
      <c r="B23" s="294"/>
      <c r="C23" s="294"/>
      <c r="D23" s="294"/>
      <c r="E23" s="294"/>
      <c r="F23" s="294"/>
      <c r="G23" s="294"/>
      <c r="H23" s="294"/>
      <c r="I23" s="294"/>
      <c r="J23" s="294"/>
      <c r="K23" s="294"/>
      <c r="L23" s="294"/>
      <c r="M23" s="294"/>
      <c r="N23" s="294"/>
      <c r="O23" s="294"/>
      <c r="P23" s="294"/>
      <c r="Q23" s="294"/>
      <c r="U23" s="7"/>
    </row>
    <row r="24" spans="1:21" ht="13.9" x14ac:dyDescent="0.25">
      <c r="A24" s="5"/>
      <c r="B24" s="254"/>
      <c r="C24" s="254"/>
      <c r="D24" s="254" t="s">
        <v>95</v>
      </c>
      <c r="E24" s="254"/>
      <c r="F24" s="254" t="s">
        <v>95</v>
      </c>
      <c r="G24" s="254"/>
      <c r="H24" s="254" t="s">
        <v>101</v>
      </c>
      <c r="I24" s="254"/>
      <c r="J24" s="254"/>
      <c r="K24" s="254"/>
      <c r="L24" s="254"/>
      <c r="M24" s="254"/>
      <c r="N24" s="254" t="s">
        <v>95</v>
      </c>
      <c r="O24" s="254"/>
      <c r="P24" s="254" t="s">
        <v>95</v>
      </c>
      <c r="Q24" s="254"/>
      <c r="U24" s="7"/>
    </row>
    <row r="25" spans="1:21" ht="13.9" x14ac:dyDescent="0.25">
      <c r="A25" s="5"/>
      <c r="B25" s="236" t="str">
        <f>'4. MASA (MODELO)'!H12</f>
        <v/>
      </c>
      <c r="C25" s="236"/>
      <c r="D25" s="279">
        <f>'4. MASA (MODELO)'!K12</f>
        <v>0</v>
      </c>
      <c r="E25" s="236"/>
      <c r="F25" s="279">
        <f>IF(D25="",0,D25)</f>
        <v>0</v>
      </c>
      <c r="G25" s="236"/>
      <c r="H25" s="279"/>
      <c r="I25" s="279"/>
      <c r="J25" s="279">
        <f>F25*H25^$Q$16</f>
        <v>0</v>
      </c>
      <c r="K25" s="279"/>
      <c r="L25" s="279">
        <f t="shared" ref="L25:L38" si="0">J25/$J$40</f>
        <v>0</v>
      </c>
      <c r="M25" s="279"/>
      <c r="N25" s="279">
        <f t="shared" ref="N25:N38" si="1">L25*$G$42</f>
        <v>0</v>
      </c>
      <c r="O25" s="279"/>
      <c r="P25" s="279">
        <f t="shared" ref="P25:P38" si="2">L25*$G$43</f>
        <v>0</v>
      </c>
      <c r="Q25" s="279"/>
      <c r="U25" s="7"/>
    </row>
    <row r="26" spans="1:21" ht="13.9" x14ac:dyDescent="0.25">
      <c r="A26" s="5"/>
      <c r="B26" s="236" t="str">
        <f>'4. MASA (MODELO)'!H13</f>
        <v/>
      </c>
      <c r="C26" s="236"/>
      <c r="D26" s="279">
        <f>'4. MASA (MODELO)'!K13</f>
        <v>0</v>
      </c>
      <c r="E26" s="236"/>
      <c r="F26" s="279">
        <f t="shared" ref="F26:F38" si="3">IF(D26="",0,D26+F25)</f>
        <v>0</v>
      </c>
      <c r="G26" s="236"/>
      <c r="H26" s="279"/>
      <c r="I26" s="279"/>
      <c r="J26" s="279">
        <f t="shared" ref="J26:J38" si="4">F26*H26^$Q$16</f>
        <v>0</v>
      </c>
      <c r="K26" s="279"/>
      <c r="L26" s="279">
        <f t="shared" si="0"/>
        <v>0</v>
      </c>
      <c r="M26" s="279"/>
      <c r="N26" s="279">
        <f t="shared" si="1"/>
        <v>0</v>
      </c>
      <c r="O26" s="279"/>
      <c r="P26" s="279">
        <f t="shared" si="2"/>
        <v>0</v>
      </c>
      <c r="Q26" s="279"/>
      <c r="U26" s="7"/>
    </row>
    <row r="27" spans="1:21" ht="13.9" x14ac:dyDescent="0.25">
      <c r="A27" s="5"/>
      <c r="B27" s="236" t="str">
        <f>'4. MASA (MODELO)'!H14</f>
        <v/>
      </c>
      <c r="C27" s="236"/>
      <c r="D27" s="279">
        <f>'4. MASA (MODELO)'!K14</f>
        <v>0</v>
      </c>
      <c r="E27" s="236"/>
      <c r="F27" s="279">
        <f t="shared" si="3"/>
        <v>0</v>
      </c>
      <c r="G27" s="236"/>
      <c r="H27" s="279"/>
      <c r="I27" s="279"/>
      <c r="J27" s="279">
        <f t="shared" si="4"/>
        <v>0</v>
      </c>
      <c r="K27" s="279"/>
      <c r="L27" s="279">
        <f t="shared" si="0"/>
        <v>0</v>
      </c>
      <c r="M27" s="279"/>
      <c r="N27" s="279">
        <f t="shared" si="1"/>
        <v>0</v>
      </c>
      <c r="O27" s="279"/>
      <c r="P27" s="279">
        <f t="shared" si="2"/>
        <v>0</v>
      </c>
      <c r="Q27" s="279"/>
      <c r="U27" s="7"/>
    </row>
    <row r="28" spans="1:21" ht="13.9" x14ac:dyDescent="0.25">
      <c r="A28" s="5"/>
      <c r="B28" s="236" t="str">
        <f>'4. MASA (MODELO)'!H15</f>
        <v/>
      </c>
      <c r="C28" s="236"/>
      <c r="D28" s="279">
        <f>'4. MASA (MODELO)'!K15</f>
        <v>0</v>
      </c>
      <c r="E28" s="236"/>
      <c r="F28" s="279">
        <f t="shared" si="3"/>
        <v>0</v>
      </c>
      <c r="G28" s="236"/>
      <c r="H28" s="279"/>
      <c r="I28" s="279"/>
      <c r="J28" s="279">
        <f t="shared" si="4"/>
        <v>0</v>
      </c>
      <c r="K28" s="279"/>
      <c r="L28" s="279">
        <f t="shared" si="0"/>
        <v>0</v>
      </c>
      <c r="M28" s="279"/>
      <c r="N28" s="279">
        <f t="shared" si="1"/>
        <v>0</v>
      </c>
      <c r="O28" s="279"/>
      <c r="P28" s="279">
        <f t="shared" si="2"/>
        <v>0</v>
      </c>
      <c r="Q28" s="279"/>
      <c r="U28" s="7"/>
    </row>
    <row r="29" spans="1:21" ht="13.9" x14ac:dyDescent="0.25">
      <c r="A29" s="5"/>
      <c r="B29" s="236" t="str">
        <f>'4. MASA (MODELO)'!H16</f>
        <v/>
      </c>
      <c r="C29" s="236"/>
      <c r="D29" s="279">
        <f>'4. MASA (MODELO)'!K16</f>
        <v>0</v>
      </c>
      <c r="E29" s="236"/>
      <c r="F29" s="279">
        <f t="shared" si="3"/>
        <v>0</v>
      </c>
      <c r="G29" s="236"/>
      <c r="H29" s="279"/>
      <c r="I29" s="279"/>
      <c r="J29" s="279">
        <f t="shared" si="4"/>
        <v>0</v>
      </c>
      <c r="K29" s="279"/>
      <c r="L29" s="279">
        <f t="shared" si="0"/>
        <v>0</v>
      </c>
      <c r="M29" s="279"/>
      <c r="N29" s="279">
        <f t="shared" si="1"/>
        <v>0</v>
      </c>
      <c r="O29" s="279"/>
      <c r="P29" s="279">
        <f t="shared" si="2"/>
        <v>0</v>
      </c>
      <c r="Q29" s="279"/>
      <c r="U29" s="7"/>
    </row>
    <row r="30" spans="1:21" ht="13.9" x14ac:dyDescent="0.25">
      <c r="A30" s="5"/>
      <c r="B30" s="236" t="str">
        <f>'4. MASA (MODELO)'!H17</f>
        <v/>
      </c>
      <c r="C30" s="236"/>
      <c r="D30" s="279">
        <f>'4. MASA (MODELO)'!K17</f>
        <v>0</v>
      </c>
      <c r="E30" s="236"/>
      <c r="F30" s="279">
        <f t="shared" si="3"/>
        <v>0</v>
      </c>
      <c r="G30" s="236"/>
      <c r="H30" s="279"/>
      <c r="I30" s="279"/>
      <c r="J30" s="279">
        <f t="shared" si="4"/>
        <v>0</v>
      </c>
      <c r="K30" s="279"/>
      <c r="L30" s="279">
        <f t="shared" si="0"/>
        <v>0</v>
      </c>
      <c r="M30" s="279"/>
      <c r="N30" s="279">
        <f t="shared" si="1"/>
        <v>0</v>
      </c>
      <c r="O30" s="279"/>
      <c r="P30" s="279">
        <f t="shared" si="2"/>
        <v>0</v>
      </c>
      <c r="Q30" s="279"/>
      <c r="U30" s="7"/>
    </row>
    <row r="31" spans="1:21" ht="13.9" x14ac:dyDescent="0.25">
      <c r="A31" s="5"/>
      <c r="B31" s="236" t="str">
        <f>'4. MASA (MODELO)'!H18</f>
        <v/>
      </c>
      <c r="C31" s="236"/>
      <c r="D31" s="279">
        <f>'4. MASA (MODELO)'!K18</f>
        <v>0</v>
      </c>
      <c r="E31" s="236"/>
      <c r="F31" s="279">
        <f t="shared" si="3"/>
        <v>0</v>
      </c>
      <c r="G31" s="236"/>
      <c r="H31" s="279"/>
      <c r="I31" s="279"/>
      <c r="J31" s="279">
        <f t="shared" si="4"/>
        <v>0</v>
      </c>
      <c r="K31" s="279"/>
      <c r="L31" s="279">
        <f t="shared" si="0"/>
        <v>0</v>
      </c>
      <c r="M31" s="279"/>
      <c r="N31" s="279">
        <f t="shared" si="1"/>
        <v>0</v>
      </c>
      <c r="O31" s="279"/>
      <c r="P31" s="279">
        <f t="shared" si="2"/>
        <v>0</v>
      </c>
      <c r="Q31" s="279"/>
      <c r="U31" s="7"/>
    </row>
    <row r="32" spans="1:21" ht="13.9" x14ac:dyDescent="0.25">
      <c r="A32" s="5"/>
      <c r="B32" s="236" t="str">
        <f>'4. MASA (MODELO)'!H19</f>
        <v/>
      </c>
      <c r="C32" s="236"/>
      <c r="D32" s="279">
        <f>'4. MASA (MODELO)'!K19</f>
        <v>0</v>
      </c>
      <c r="E32" s="236"/>
      <c r="F32" s="279">
        <f t="shared" si="3"/>
        <v>0</v>
      </c>
      <c r="G32" s="236"/>
      <c r="H32" s="279"/>
      <c r="I32" s="279"/>
      <c r="J32" s="279">
        <f t="shared" si="4"/>
        <v>0</v>
      </c>
      <c r="K32" s="279"/>
      <c r="L32" s="279">
        <f t="shared" si="0"/>
        <v>0</v>
      </c>
      <c r="M32" s="279"/>
      <c r="N32" s="279">
        <f t="shared" si="1"/>
        <v>0</v>
      </c>
      <c r="O32" s="279"/>
      <c r="P32" s="279">
        <f t="shared" si="2"/>
        <v>0</v>
      </c>
      <c r="Q32" s="279"/>
      <c r="U32" s="7"/>
    </row>
    <row r="33" spans="1:24" ht="13.9" x14ac:dyDescent="0.25">
      <c r="A33" s="5"/>
      <c r="B33" s="236" t="str">
        <f>'4. MASA (MODELO)'!H20</f>
        <v/>
      </c>
      <c r="C33" s="236"/>
      <c r="D33" s="279">
        <f>'4. MASA (MODELO)'!K20</f>
        <v>0</v>
      </c>
      <c r="E33" s="236"/>
      <c r="F33" s="279">
        <f t="shared" si="3"/>
        <v>0</v>
      </c>
      <c r="G33" s="236"/>
      <c r="H33" s="279"/>
      <c r="I33" s="279"/>
      <c r="J33" s="279">
        <f t="shared" si="4"/>
        <v>0</v>
      </c>
      <c r="K33" s="279"/>
      <c r="L33" s="279">
        <f t="shared" si="0"/>
        <v>0</v>
      </c>
      <c r="M33" s="279"/>
      <c r="N33" s="279">
        <f t="shared" si="1"/>
        <v>0</v>
      </c>
      <c r="O33" s="279"/>
      <c r="P33" s="279">
        <f t="shared" si="2"/>
        <v>0</v>
      </c>
      <c r="Q33" s="279"/>
      <c r="U33" s="7"/>
    </row>
    <row r="34" spans="1:24" ht="13.9" x14ac:dyDescent="0.25">
      <c r="A34" s="5"/>
      <c r="B34" s="236" t="str">
        <f>'4. MASA (MODELO)'!H21</f>
        <v/>
      </c>
      <c r="C34" s="236"/>
      <c r="D34" s="279">
        <f>'4. MASA (MODELO)'!K21</f>
        <v>0</v>
      </c>
      <c r="E34" s="236"/>
      <c r="F34" s="279">
        <f t="shared" si="3"/>
        <v>0</v>
      </c>
      <c r="G34" s="236"/>
      <c r="H34" s="279"/>
      <c r="I34" s="279"/>
      <c r="J34" s="279">
        <f t="shared" si="4"/>
        <v>0</v>
      </c>
      <c r="K34" s="279"/>
      <c r="L34" s="279">
        <f t="shared" si="0"/>
        <v>0</v>
      </c>
      <c r="M34" s="279"/>
      <c r="N34" s="279">
        <f t="shared" si="1"/>
        <v>0</v>
      </c>
      <c r="O34" s="279"/>
      <c r="P34" s="279">
        <f t="shared" si="2"/>
        <v>0</v>
      </c>
      <c r="Q34" s="279"/>
      <c r="U34" s="7"/>
    </row>
    <row r="35" spans="1:24" ht="13.9" x14ac:dyDescent="0.25">
      <c r="A35" s="5"/>
      <c r="B35" s="236" t="str">
        <f>'4. MASA (MODELO)'!H22</f>
        <v/>
      </c>
      <c r="C35" s="236"/>
      <c r="D35" s="279">
        <f>'4. MASA (MODELO)'!K22</f>
        <v>0</v>
      </c>
      <c r="E35" s="236"/>
      <c r="F35" s="279">
        <f t="shared" si="3"/>
        <v>0</v>
      </c>
      <c r="G35" s="236"/>
      <c r="H35" s="279"/>
      <c r="I35" s="279"/>
      <c r="J35" s="279">
        <f t="shared" si="4"/>
        <v>0</v>
      </c>
      <c r="K35" s="279"/>
      <c r="L35" s="279">
        <f t="shared" si="0"/>
        <v>0</v>
      </c>
      <c r="M35" s="279"/>
      <c r="N35" s="279">
        <f t="shared" si="1"/>
        <v>0</v>
      </c>
      <c r="O35" s="279"/>
      <c r="P35" s="279">
        <f t="shared" si="2"/>
        <v>0</v>
      </c>
      <c r="Q35" s="279"/>
      <c r="U35" s="7"/>
    </row>
    <row r="36" spans="1:24" ht="13.9" x14ac:dyDescent="0.25">
      <c r="A36" s="5"/>
      <c r="B36" s="236" t="str">
        <f>'4. MASA (MODELO)'!H23</f>
        <v/>
      </c>
      <c r="C36" s="236"/>
      <c r="D36" s="279">
        <f>'4. MASA (MODELO)'!K23</f>
        <v>0</v>
      </c>
      <c r="E36" s="236"/>
      <c r="F36" s="279">
        <f t="shared" si="3"/>
        <v>0</v>
      </c>
      <c r="G36" s="236"/>
      <c r="H36" s="279"/>
      <c r="I36" s="279"/>
      <c r="J36" s="279">
        <f t="shared" si="4"/>
        <v>0</v>
      </c>
      <c r="K36" s="279"/>
      <c r="L36" s="279">
        <f t="shared" si="0"/>
        <v>0</v>
      </c>
      <c r="M36" s="279"/>
      <c r="N36" s="279">
        <f t="shared" si="1"/>
        <v>0</v>
      </c>
      <c r="O36" s="279"/>
      <c r="P36" s="279">
        <f t="shared" si="2"/>
        <v>0</v>
      </c>
      <c r="Q36" s="279"/>
      <c r="U36" s="7"/>
    </row>
    <row r="37" spans="1:24" ht="13.9" x14ac:dyDescent="0.25">
      <c r="A37" s="5"/>
      <c r="B37" s="236" t="str">
        <f>'4. MASA (MODELO)'!H24</f>
        <v>N+08.10</v>
      </c>
      <c r="C37" s="236"/>
      <c r="D37" s="279">
        <f>'4. MASA (MODELO)'!K24</f>
        <v>3072.9180999999999</v>
      </c>
      <c r="E37" s="236"/>
      <c r="F37" s="279">
        <f t="shared" si="3"/>
        <v>3072.9180999999999</v>
      </c>
      <c r="G37" s="236"/>
      <c r="H37" s="279">
        <v>8.1</v>
      </c>
      <c r="I37" s="279"/>
      <c r="J37" s="279">
        <f t="shared" si="4"/>
        <v>24890.636609999998</v>
      </c>
      <c r="K37" s="279"/>
      <c r="L37" s="279">
        <f t="shared" si="0"/>
        <v>0.4219891294816826</v>
      </c>
      <c r="M37" s="279"/>
      <c r="N37" s="279">
        <f>L37*$G$42</f>
        <v>2607.6543594145928</v>
      </c>
      <c r="O37" s="279"/>
      <c r="P37" s="279">
        <f t="shared" si="2"/>
        <v>2607.6543594145928</v>
      </c>
      <c r="Q37" s="279"/>
      <c r="U37" s="7"/>
    </row>
    <row r="38" spans="1:24" ht="13.9" x14ac:dyDescent="0.25">
      <c r="A38" s="5"/>
      <c r="B38" s="236" t="str">
        <f>'4. MASA (MODELO)'!H25</f>
        <v>N+05.00</v>
      </c>
      <c r="C38" s="236"/>
      <c r="D38" s="279">
        <f>'4. MASA (MODELO)'!K25</f>
        <v>3745.7687000000005</v>
      </c>
      <c r="E38" s="236"/>
      <c r="F38" s="279">
        <f t="shared" si="3"/>
        <v>6818.6868000000004</v>
      </c>
      <c r="G38" s="236"/>
      <c r="H38" s="279">
        <v>5</v>
      </c>
      <c r="I38" s="279"/>
      <c r="J38" s="279">
        <f t="shared" si="4"/>
        <v>34093.434000000001</v>
      </c>
      <c r="K38" s="279"/>
      <c r="L38" s="279">
        <f t="shared" si="0"/>
        <v>0.57801087051831745</v>
      </c>
      <c r="M38" s="279"/>
      <c r="N38" s="279">
        <f t="shared" si="1"/>
        <v>3571.7805530854084</v>
      </c>
      <c r="O38" s="279"/>
      <c r="P38" s="279">
        <f t="shared" si="2"/>
        <v>3571.7805530854084</v>
      </c>
      <c r="Q38" s="279"/>
      <c r="U38" s="7"/>
    </row>
    <row r="39" spans="1:24" ht="13.9" x14ac:dyDescent="0.25">
      <c r="A39" s="5"/>
      <c r="B39" s="236" t="str">
        <f>'4. MASA (MODELO)'!H26</f>
        <v>N-0.00</v>
      </c>
      <c r="C39" s="236"/>
      <c r="D39" s="279">
        <f>'4. MASA (MODELO)'!K26</f>
        <v>0</v>
      </c>
      <c r="E39" s="236"/>
      <c r="F39" s="279">
        <f t="shared" ref="F39" si="5">IF(D39="",0,D39+F38)</f>
        <v>6818.6868000000004</v>
      </c>
      <c r="G39" s="236"/>
      <c r="H39" s="279">
        <v>0</v>
      </c>
      <c r="I39" s="279"/>
      <c r="J39" s="279">
        <f t="shared" ref="J39" si="6">F39*H39^$Q$16</f>
        <v>0</v>
      </c>
      <c r="K39" s="279"/>
      <c r="L39" s="279">
        <f t="shared" ref="L39" si="7">J39/$J$40</f>
        <v>0</v>
      </c>
      <c r="M39" s="279"/>
      <c r="N39" s="279">
        <f t="shared" ref="N39" si="8">L39*$G$42</f>
        <v>0</v>
      </c>
      <c r="O39" s="279"/>
      <c r="P39" s="279">
        <f t="shared" ref="P39" si="9">L39*$G$43</f>
        <v>0</v>
      </c>
      <c r="Q39" s="279"/>
      <c r="U39" s="7"/>
    </row>
    <row r="40" spans="1:24" ht="13.9" x14ac:dyDescent="0.25">
      <c r="A40" s="5"/>
      <c r="B40" s="254" t="s">
        <v>174</v>
      </c>
      <c r="C40" s="254"/>
      <c r="D40" s="280">
        <f>SUM(D25:E39)</f>
        <v>6818.6868000000004</v>
      </c>
      <c r="E40" s="280"/>
      <c r="F40" s="310"/>
      <c r="G40" s="311"/>
      <c r="H40" s="310"/>
      <c r="I40" s="310"/>
      <c r="J40" s="280">
        <f>SUM(J25:K39)</f>
        <v>58984.070609999995</v>
      </c>
      <c r="K40" s="280"/>
      <c r="L40" s="280">
        <f>SUM(L25:M39)</f>
        <v>1</v>
      </c>
      <c r="M40" s="280"/>
      <c r="N40" s="300"/>
      <c r="O40" s="300"/>
      <c r="P40" s="309"/>
      <c r="Q40" s="309"/>
      <c r="U40" s="7"/>
    </row>
    <row r="41" spans="1:24" ht="13.9" x14ac:dyDescent="0.25">
      <c r="A41" s="5"/>
      <c r="U41" s="7"/>
    </row>
    <row r="42" spans="1:24" ht="13.9" x14ac:dyDescent="0.25">
      <c r="A42" s="5"/>
      <c r="B42" s="236" t="s">
        <v>454</v>
      </c>
      <c r="C42" s="236"/>
      <c r="D42" s="236"/>
      <c r="E42" s="236"/>
      <c r="F42" s="236"/>
      <c r="G42" s="279">
        <f>T16*$D$40</f>
        <v>6179.4349125000008</v>
      </c>
      <c r="H42" s="279"/>
      <c r="I42" s="52" t="s">
        <v>95</v>
      </c>
      <c r="U42" s="7"/>
    </row>
    <row r="43" spans="1:24" ht="13.9" x14ac:dyDescent="0.25">
      <c r="A43" s="5"/>
      <c r="B43" s="236" t="s">
        <v>455</v>
      </c>
      <c r="C43" s="236"/>
      <c r="D43" s="236"/>
      <c r="E43" s="236"/>
      <c r="F43" s="236"/>
      <c r="G43" s="279">
        <f>T17*$D$40</f>
        <v>6179.4349125000008</v>
      </c>
      <c r="H43" s="279"/>
      <c r="I43" s="52" t="s">
        <v>95</v>
      </c>
      <c r="U43" s="7"/>
    </row>
    <row r="44" spans="1:24" ht="13.9" x14ac:dyDescent="0.25">
      <c r="A44" s="5"/>
      <c r="U44" s="7"/>
      <c r="X44" s="201"/>
    </row>
    <row r="45" spans="1:24" ht="13.9" x14ac:dyDescent="0.25">
      <c r="A45" s="5"/>
      <c r="B45" s="236" t="s">
        <v>250</v>
      </c>
      <c r="C45" s="236"/>
      <c r="D45" s="236"/>
      <c r="E45" s="236"/>
      <c r="F45" s="236"/>
      <c r="G45" s="236" t="s">
        <v>251</v>
      </c>
      <c r="H45" s="236"/>
      <c r="I45" s="53">
        <f>VLOOKUP($G$45,W45:X46,2,)</f>
        <v>0.8</v>
      </c>
      <c r="U45" s="7"/>
      <c r="W45" s="1" t="s">
        <v>251</v>
      </c>
      <c r="X45" s="1">
        <v>0.8</v>
      </c>
    </row>
    <row r="46" spans="1:24" ht="13.9" x14ac:dyDescent="0.25">
      <c r="A46" s="5"/>
      <c r="U46" s="7"/>
      <c r="W46" s="1" t="s">
        <v>100</v>
      </c>
      <c r="X46" s="1">
        <v>0.9</v>
      </c>
    </row>
    <row r="47" spans="1:24" ht="13.9" x14ac:dyDescent="0.25">
      <c r="A47" s="5"/>
      <c r="B47" s="236" t="str">
        <f>"Vb X ("&amp;I45&amp;"FHE)"</f>
        <v>Vb X (0.8FHE)</v>
      </c>
      <c r="C47" s="236"/>
      <c r="D47" s="236"/>
      <c r="E47" s="236"/>
      <c r="F47" s="236"/>
      <c r="G47" s="279">
        <f>G42*$I$45</f>
        <v>4943.5479300000006</v>
      </c>
      <c r="H47" s="279"/>
      <c r="I47" s="53" t="s">
        <v>95</v>
      </c>
      <c r="U47" s="8"/>
    </row>
    <row r="48" spans="1:24" ht="13.9" x14ac:dyDescent="0.25">
      <c r="A48" s="5"/>
      <c r="B48" s="236" t="str">
        <f>"Vb Y ("&amp;I45&amp;"FHE)"</f>
        <v>Vb Y (0.8FHE)</v>
      </c>
      <c r="C48" s="236"/>
      <c r="D48" s="236"/>
      <c r="E48" s="236"/>
      <c r="F48" s="236"/>
      <c r="G48" s="279">
        <f>G43*$I$45</f>
        <v>4943.5479300000006</v>
      </c>
      <c r="H48" s="279"/>
      <c r="I48" s="53" t="s">
        <v>95</v>
      </c>
      <c r="U48" s="7"/>
    </row>
    <row r="49" spans="1:28" x14ac:dyDescent="0.25">
      <c r="A49" s="5"/>
      <c r="U49" s="7"/>
      <c r="X49" s="1" t="s">
        <v>254</v>
      </c>
      <c r="Y49" s="1" t="s">
        <v>255</v>
      </c>
      <c r="Z49" s="1" t="s">
        <v>256</v>
      </c>
    </row>
    <row r="50" spans="1:28" ht="13.9" customHeight="1" x14ac:dyDescent="0.25">
      <c r="A50" s="5"/>
      <c r="U50" s="7"/>
      <c r="W50" s="1" t="s">
        <v>458</v>
      </c>
      <c r="X50" s="1" t="s">
        <v>357</v>
      </c>
      <c r="Y50" s="20">
        <v>5535.6044000000002</v>
      </c>
      <c r="Z50" s="20">
        <v>20.576499999999999</v>
      </c>
      <c r="AB50" s="1">
        <f>SQRT(Y50^2+Z50^2)</f>
        <v>5535.6426425169111</v>
      </c>
    </row>
    <row r="51" spans="1:28" x14ac:dyDescent="0.25">
      <c r="A51" s="5"/>
      <c r="B51" s="236" t="s">
        <v>456</v>
      </c>
      <c r="C51" s="236"/>
      <c r="D51" s="236"/>
      <c r="E51" s="236"/>
      <c r="F51" s="236"/>
      <c r="G51" s="279">
        <f>+AB50</f>
        <v>5535.6426425169111</v>
      </c>
      <c r="H51" s="279"/>
      <c r="I51" s="53" t="s">
        <v>95</v>
      </c>
      <c r="K51" s="236" t="s">
        <v>252</v>
      </c>
      <c r="L51" s="236"/>
      <c r="M51" s="236"/>
      <c r="N51" s="236"/>
      <c r="O51" s="236"/>
      <c r="P51" s="289">
        <f>MAX(G47/G51,1)</f>
        <v>1</v>
      </c>
      <c r="Q51" s="289"/>
      <c r="U51" s="7"/>
      <c r="X51" s="1" t="s">
        <v>358</v>
      </c>
      <c r="Y51" s="20">
        <v>20.576499999999999</v>
      </c>
      <c r="Z51" s="20">
        <v>5482.6935999999996</v>
      </c>
      <c r="AB51" s="1">
        <f>SQRT(Y51^2+Z51^2)</f>
        <v>5482.7322115741899</v>
      </c>
    </row>
    <row r="52" spans="1:28" x14ac:dyDescent="0.25">
      <c r="A52" s="5"/>
      <c r="B52" s="236" t="s">
        <v>457</v>
      </c>
      <c r="C52" s="236"/>
      <c r="D52" s="236"/>
      <c r="E52" s="236"/>
      <c r="F52" s="236"/>
      <c r="G52" s="279">
        <f>+AB51</f>
        <v>5482.7322115741899</v>
      </c>
      <c r="H52" s="279"/>
      <c r="I52" s="53" t="s">
        <v>95</v>
      </c>
      <c r="K52" s="236" t="s">
        <v>253</v>
      </c>
      <c r="L52" s="236"/>
      <c r="M52" s="236"/>
      <c r="N52" s="236"/>
      <c r="O52" s="236"/>
      <c r="P52" s="289">
        <f>MAX(G48/G52,1)</f>
        <v>1</v>
      </c>
      <c r="Q52" s="289"/>
      <c r="U52" s="7"/>
      <c r="W52" s="1" t="s">
        <v>459</v>
      </c>
      <c r="X52" s="1" t="s">
        <v>357</v>
      </c>
      <c r="Y52" s="20">
        <v>4642.8747999999996</v>
      </c>
      <c r="Z52" s="20">
        <v>14.488799999999999</v>
      </c>
      <c r="AB52" s="1">
        <f>SQRT(Y52^2+Z52^2)</f>
        <v>4642.8974072017227</v>
      </c>
    </row>
    <row r="53" spans="1:28" ht="13.9" customHeight="1" x14ac:dyDescent="0.25">
      <c r="A53" s="5"/>
      <c r="P53" s="102"/>
      <c r="Q53" s="102"/>
      <c r="U53" s="7"/>
      <c r="X53" s="1" t="s">
        <v>358</v>
      </c>
      <c r="Y53" s="20">
        <v>14.488899999999999</v>
      </c>
      <c r="Z53" s="20">
        <v>4600.2579999999998</v>
      </c>
      <c r="AB53" s="1">
        <f>SQRT(Y53^2+Z53^2)</f>
        <v>4600.2808169488098</v>
      </c>
    </row>
    <row r="54" spans="1:28" x14ac:dyDescent="0.25">
      <c r="A54" s="5"/>
      <c r="B54" s="236" t="s">
        <v>540</v>
      </c>
      <c r="C54" s="236"/>
      <c r="D54" s="236"/>
      <c r="E54" s="236"/>
      <c r="F54" s="236"/>
      <c r="G54" s="279">
        <f>+AB52</f>
        <v>4642.8974072017227</v>
      </c>
      <c r="H54" s="279"/>
      <c r="I54" s="53" t="s">
        <v>95</v>
      </c>
      <c r="K54" s="236" t="s">
        <v>252</v>
      </c>
      <c r="L54" s="236"/>
      <c r="M54" s="236"/>
      <c r="N54" s="236"/>
      <c r="O54" s="236"/>
      <c r="P54" s="289">
        <f>MAX(G47/G54,1)</f>
        <v>1.0647549356425432</v>
      </c>
      <c r="Q54" s="289"/>
      <c r="U54" s="7"/>
    </row>
    <row r="55" spans="1:28" x14ac:dyDescent="0.25">
      <c r="A55" s="5"/>
      <c r="B55" s="236" t="s">
        <v>541</v>
      </c>
      <c r="C55" s="236"/>
      <c r="D55" s="236"/>
      <c r="E55" s="236"/>
      <c r="F55" s="236"/>
      <c r="G55" s="279">
        <f>+AB53</f>
        <v>4600.2808169488098</v>
      </c>
      <c r="H55" s="279"/>
      <c r="I55" s="53" t="s">
        <v>95</v>
      </c>
      <c r="K55" s="236" t="s">
        <v>253</v>
      </c>
      <c r="L55" s="236"/>
      <c r="M55" s="236"/>
      <c r="N55" s="236"/>
      <c r="O55" s="236"/>
      <c r="P55" s="289">
        <f>MAX(G48/G55,1)</f>
        <v>1.0746187301841428</v>
      </c>
      <c r="Q55" s="289"/>
      <c r="U55" s="7"/>
    </row>
    <row r="56" spans="1:28" ht="13.9" customHeight="1" x14ac:dyDescent="0.25">
      <c r="A56" s="5"/>
      <c r="U56" s="7"/>
    </row>
    <row r="57" spans="1:28" x14ac:dyDescent="0.25">
      <c r="A57" s="5"/>
      <c r="B57" s="6" t="s">
        <v>543</v>
      </c>
      <c r="C57" s="6"/>
      <c r="D57" s="6"/>
      <c r="E57" s="6"/>
      <c r="F57" s="6"/>
      <c r="G57" s="6"/>
      <c r="U57" s="7"/>
    </row>
    <row r="58" spans="1:28" ht="13.9" customHeight="1" x14ac:dyDescent="0.25">
      <c r="A58" s="5"/>
      <c r="U58" s="7"/>
    </row>
    <row r="59" spans="1:28" x14ac:dyDescent="0.25">
      <c r="A59" s="5"/>
      <c r="B59" s="279" t="s">
        <v>257</v>
      </c>
      <c r="C59" s="279"/>
      <c r="D59" s="279" t="s">
        <v>258</v>
      </c>
      <c r="E59" s="279"/>
      <c r="F59" s="295" t="s">
        <v>42</v>
      </c>
      <c r="G59" s="295"/>
      <c r="H59" s="295" t="s">
        <v>87</v>
      </c>
      <c r="I59" s="295"/>
      <c r="J59" s="295" t="s">
        <v>579</v>
      </c>
      <c r="K59" s="295"/>
      <c r="L59" s="278" t="s">
        <v>580</v>
      </c>
      <c r="M59" s="278"/>
      <c r="U59" s="7"/>
    </row>
    <row r="60" spans="1:28" x14ac:dyDescent="0.25">
      <c r="A60" s="5"/>
      <c r="B60" s="305" t="s">
        <v>542</v>
      </c>
      <c r="C60" s="306"/>
      <c r="D60" s="279" t="s">
        <v>259</v>
      </c>
      <c r="E60" s="279"/>
      <c r="F60" s="296">
        <f>'0. INICIO'!M28</f>
        <v>1</v>
      </c>
      <c r="G60" s="296"/>
      <c r="H60" s="296">
        <f>'5. IRREGULARIDADES'!M150</f>
        <v>5.25</v>
      </c>
      <c r="I60" s="296"/>
      <c r="J60" s="299">
        <f>9.8067*P51</f>
        <v>9.8066999999999993</v>
      </c>
      <c r="K60" s="299"/>
      <c r="L60" s="296">
        <f>F60*J60/H60</f>
        <v>1.8679428571428569</v>
      </c>
      <c r="M60" s="296"/>
      <c r="U60" s="7"/>
      <c r="W60" s="296">
        <f>J60*1000</f>
        <v>9806.6999999999989</v>
      </c>
      <c r="X60" s="296"/>
      <c r="Y60" s="297">
        <f>L60*1000</f>
        <v>1867.9428571428568</v>
      </c>
      <c r="Z60" s="298"/>
    </row>
    <row r="61" spans="1:28" x14ac:dyDescent="0.25">
      <c r="A61" s="5"/>
      <c r="B61" s="307"/>
      <c r="C61" s="308"/>
      <c r="D61" s="279" t="s">
        <v>260</v>
      </c>
      <c r="E61" s="279"/>
      <c r="F61" s="296">
        <f>F60</f>
        <v>1</v>
      </c>
      <c r="G61" s="296"/>
      <c r="H61" s="296">
        <f>'5. IRREGULARIDADES'!P150</f>
        <v>7</v>
      </c>
      <c r="I61" s="296"/>
      <c r="J61" s="299">
        <f>9.8067*P52</f>
        <v>9.8066999999999993</v>
      </c>
      <c r="K61" s="299"/>
      <c r="L61" s="296">
        <f>F61*J61/H61</f>
        <v>1.4009571428571428</v>
      </c>
      <c r="M61" s="296"/>
      <c r="U61" s="7"/>
      <c r="W61" s="296">
        <f>J61*1000</f>
        <v>9806.6999999999989</v>
      </c>
      <c r="X61" s="296"/>
      <c r="Y61" s="297">
        <f>L61*1000</f>
        <v>1400.9571428571428</v>
      </c>
      <c r="Z61" s="298"/>
    </row>
    <row r="62" spans="1:28" ht="13.9" customHeight="1" x14ac:dyDescent="0.25">
      <c r="A62" s="5"/>
      <c r="U62" s="7"/>
    </row>
    <row r="63" spans="1:28" ht="13.9" customHeight="1" x14ac:dyDescent="0.25">
      <c r="A63" s="5"/>
      <c r="U63" s="7"/>
    </row>
    <row r="64" spans="1:28" ht="13.9" customHeight="1" x14ac:dyDescent="0.25">
      <c r="A64" s="5"/>
      <c r="U64" s="7"/>
    </row>
    <row r="65" spans="1:21" ht="13.9" customHeight="1" x14ac:dyDescent="0.25">
      <c r="A65" s="9"/>
      <c r="B65" s="10"/>
      <c r="C65" s="10"/>
      <c r="D65" s="10"/>
      <c r="E65" s="10"/>
      <c r="F65" s="10"/>
      <c r="G65" s="10"/>
      <c r="H65" s="10"/>
      <c r="I65" s="10"/>
      <c r="J65" s="10"/>
      <c r="K65" s="10"/>
      <c r="L65" s="10"/>
      <c r="M65" s="10"/>
      <c r="N65" s="10"/>
      <c r="O65" s="10"/>
      <c r="P65" s="10"/>
      <c r="Q65" s="10"/>
      <c r="R65" s="10"/>
      <c r="S65" s="10"/>
      <c r="T65" s="10"/>
      <c r="U65" s="11"/>
    </row>
    <row r="85" spans="34:41" x14ac:dyDescent="0.25">
      <c r="AO85" s="16"/>
    </row>
    <row r="86" spans="34:41" x14ac:dyDescent="0.25">
      <c r="AO86" s="16"/>
    </row>
    <row r="91" spans="34:41" x14ac:dyDescent="0.25">
      <c r="AH91" s="101"/>
      <c r="AI91" s="101"/>
      <c r="AJ91" s="101"/>
      <c r="AK91" s="101"/>
      <c r="AL91" s="101"/>
      <c r="AM91" s="101"/>
      <c r="AN91" s="101"/>
      <c r="AO91" s="101"/>
    </row>
    <row r="95" spans="34:41" x14ac:dyDescent="0.25">
      <c r="AH95" s="13"/>
      <c r="AI95" s="13"/>
      <c r="AJ95" s="13"/>
      <c r="AK95" s="13"/>
      <c r="AL95" s="13"/>
      <c r="AM95" s="13"/>
    </row>
    <row r="96" spans="34:41" x14ac:dyDescent="0.25">
      <c r="AH96" s="13"/>
      <c r="AI96" s="13"/>
      <c r="AJ96" s="13"/>
      <c r="AK96" s="13"/>
      <c r="AL96" s="13"/>
      <c r="AM96" s="13"/>
    </row>
    <row r="97" spans="30:39" x14ac:dyDescent="0.25">
      <c r="AE97" s="13"/>
      <c r="AF97" s="13"/>
    </row>
    <row r="98" spans="30:39" x14ac:dyDescent="0.25">
      <c r="AE98" s="13"/>
      <c r="AF98" s="13"/>
    </row>
    <row r="99" spans="30:39" x14ac:dyDescent="0.25">
      <c r="AE99" s="13"/>
      <c r="AF99" s="13"/>
      <c r="AG99" s="13"/>
      <c r="AH99" s="13"/>
      <c r="AI99" s="13"/>
      <c r="AJ99" s="13"/>
      <c r="AK99" s="13"/>
      <c r="AL99" s="13"/>
      <c r="AM99" s="13"/>
    </row>
    <row r="100" spans="30:39" x14ac:dyDescent="0.25">
      <c r="AE100" s="13"/>
      <c r="AF100" s="13"/>
      <c r="AG100" s="13"/>
    </row>
    <row r="101" spans="30:39" x14ac:dyDescent="0.25">
      <c r="AE101" s="13"/>
      <c r="AF101" s="13"/>
      <c r="AG101" s="13"/>
    </row>
    <row r="102" spans="30:39" x14ac:dyDescent="0.25">
      <c r="AD102" s="13"/>
      <c r="AE102" s="13"/>
      <c r="AF102" s="13"/>
      <c r="AG102" s="13"/>
    </row>
    <row r="103" spans="30:39" x14ac:dyDescent="0.25">
      <c r="AD103" s="13"/>
      <c r="AE103" s="13"/>
      <c r="AF103" s="13"/>
      <c r="AG103" s="13"/>
    </row>
    <row r="104" spans="30:39" x14ac:dyDescent="0.25">
      <c r="AE104" s="13"/>
      <c r="AF104" s="13"/>
      <c r="AG104" s="13"/>
    </row>
    <row r="105" spans="30:39" x14ac:dyDescent="0.25">
      <c r="AE105" s="13"/>
      <c r="AF105" s="13"/>
      <c r="AG105" s="13"/>
    </row>
  </sheetData>
  <mergeCells count="220">
    <mergeCell ref="Q2:U2"/>
    <mergeCell ref="F3:G3"/>
    <mergeCell ref="H3:N3"/>
    <mergeCell ref="O3:P3"/>
    <mergeCell ref="L24:M24"/>
    <mergeCell ref="N24:O24"/>
    <mergeCell ref="P24:Q24"/>
    <mergeCell ref="B22:C23"/>
    <mergeCell ref="D22:E23"/>
    <mergeCell ref="F22:G23"/>
    <mergeCell ref="H22:I23"/>
    <mergeCell ref="J22:K23"/>
    <mergeCell ref="Q3:U3"/>
    <mergeCell ref="B12:M12"/>
    <mergeCell ref="L22:M23"/>
    <mergeCell ref="N22:O23"/>
    <mergeCell ref="P22:Q23"/>
    <mergeCell ref="B24:C24"/>
    <mergeCell ref="D24:E24"/>
    <mergeCell ref="F24:G24"/>
    <mergeCell ref="H24:I24"/>
    <mergeCell ref="J24:K24"/>
    <mergeCell ref="A1:E3"/>
    <mergeCell ref="F1:G2"/>
    <mergeCell ref="H1:N2"/>
    <mergeCell ref="O1:P1"/>
    <mergeCell ref="Q1:U1"/>
    <mergeCell ref="O2:P2"/>
    <mergeCell ref="P26:Q26"/>
    <mergeCell ref="B25:C25"/>
    <mergeCell ref="D25:E25"/>
    <mergeCell ref="F25:G25"/>
    <mergeCell ref="H25:I25"/>
    <mergeCell ref="J25:K25"/>
    <mergeCell ref="L25:M25"/>
    <mergeCell ref="N25:O25"/>
    <mergeCell ref="P25:Q25"/>
    <mergeCell ref="B26:C26"/>
    <mergeCell ref="D26:E26"/>
    <mergeCell ref="F26:G26"/>
    <mergeCell ref="H26:I26"/>
    <mergeCell ref="J26:K26"/>
    <mergeCell ref="L26:M26"/>
    <mergeCell ref="N26:O26"/>
    <mergeCell ref="B5:T6"/>
    <mergeCell ref="T16:U16"/>
    <mergeCell ref="B10:P10"/>
    <mergeCell ref="B11:M11"/>
    <mergeCell ref="P28:Q28"/>
    <mergeCell ref="B27:C27"/>
    <mergeCell ref="D27:E27"/>
    <mergeCell ref="F27:G27"/>
    <mergeCell ref="H27:I27"/>
    <mergeCell ref="J27:K27"/>
    <mergeCell ref="L27:M27"/>
    <mergeCell ref="N27:O27"/>
    <mergeCell ref="P27:Q27"/>
    <mergeCell ref="B28:C28"/>
    <mergeCell ref="D28:E28"/>
    <mergeCell ref="F28:G28"/>
    <mergeCell ref="H28:I28"/>
    <mergeCell ref="J28:K28"/>
    <mergeCell ref="L28:M28"/>
    <mergeCell ref="N28:O28"/>
    <mergeCell ref="P30:Q30"/>
    <mergeCell ref="B29:C29"/>
    <mergeCell ref="D29:E29"/>
    <mergeCell ref="F29:G29"/>
    <mergeCell ref="H29:I29"/>
    <mergeCell ref="J29:K29"/>
    <mergeCell ref="L29:M29"/>
    <mergeCell ref="N29:O29"/>
    <mergeCell ref="P29:Q29"/>
    <mergeCell ref="B30:C30"/>
    <mergeCell ref="D30:E30"/>
    <mergeCell ref="F30:G30"/>
    <mergeCell ref="H30:I30"/>
    <mergeCell ref="J30:K30"/>
    <mergeCell ref="L30:M30"/>
    <mergeCell ref="N30:O30"/>
    <mergeCell ref="P32:Q32"/>
    <mergeCell ref="B31:C31"/>
    <mergeCell ref="D31:E31"/>
    <mergeCell ref="F31:G31"/>
    <mergeCell ref="H31:I31"/>
    <mergeCell ref="J31:K31"/>
    <mergeCell ref="L31:M31"/>
    <mergeCell ref="N31:O31"/>
    <mergeCell ref="P31:Q31"/>
    <mergeCell ref="B32:C32"/>
    <mergeCell ref="D32:E32"/>
    <mergeCell ref="F32:G32"/>
    <mergeCell ref="H32:I32"/>
    <mergeCell ref="J32:K32"/>
    <mergeCell ref="L32:M32"/>
    <mergeCell ref="N32:O32"/>
    <mergeCell ref="P34:Q34"/>
    <mergeCell ref="B33:C33"/>
    <mergeCell ref="D33:E33"/>
    <mergeCell ref="F33:G33"/>
    <mergeCell ref="H33:I33"/>
    <mergeCell ref="J33:K33"/>
    <mergeCell ref="L33:M33"/>
    <mergeCell ref="N33:O33"/>
    <mergeCell ref="P33:Q33"/>
    <mergeCell ref="B34:C34"/>
    <mergeCell ref="D34:E34"/>
    <mergeCell ref="F34:G34"/>
    <mergeCell ref="H34:I34"/>
    <mergeCell ref="J34:K34"/>
    <mergeCell ref="L34:M34"/>
    <mergeCell ref="N34:O34"/>
    <mergeCell ref="P36:Q36"/>
    <mergeCell ref="B35:C35"/>
    <mergeCell ref="D35:E35"/>
    <mergeCell ref="F35:G35"/>
    <mergeCell ref="H35:I35"/>
    <mergeCell ref="J35:K35"/>
    <mergeCell ref="L35:M35"/>
    <mergeCell ref="N35:O35"/>
    <mergeCell ref="P35:Q35"/>
    <mergeCell ref="B36:C36"/>
    <mergeCell ref="D36:E36"/>
    <mergeCell ref="F36:G36"/>
    <mergeCell ref="H36:I36"/>
    <mergeCell ref="J36:K36"/>
    <mergeCell ref="L36:M36"/>
    <mergeCell ref="N36:O36"/>
    <mergeCell ref="P38:Q38"/>
    <mergeCell ref="B37:C37"/>
    <mergeCell ref="D37:E37"/>
    <mergeCell ref="F37:G37"/>
    <mergeCell ref="H37:I37"/>
    <mergeCell ref="J37:K37"/>
    <mergeCell ref="L37:M37"/>
    <mergeCell ref="N37:O37"/>
    <mergeCell ref="P37:Q37"/>
    <mergeCell ref="B38:C38"/>
    <mergeCell ref="D38:E38"/>
    <mergeCell ref="F38:G38"/>
    <mergeCell ref="H38:I38"/>
    <mergeCell ref="J38:K38"/>
    <mergeCell ref="L38:M38"/>
    <mergeCell ref="N38:O38"/>
    <mergeCell ref="N40:O40"/>
    <mergeCell ref="P40:Q40"/>
    <mergeCell ref="B39:C39"/>
    <mergeCell ref="D39:E39"/>
    <mergeCell ref="F39:G39"/>
    <mergeCell ref="H39:I39"/>
    <mergeCell ref="J39:K39"/>
    <mergeCell ref="L39:M39"/>
    <mergeCell ref="N39:O39"/>
    <mergeCell ref="P39:Q39"/>
    <mergeCell ref="B40:C40"/>
    <mergeCell ref="D40:E40"/>
    <mergeCell ref="F40:G40"/>
    <mergeCell ref="H40:I40"/>
    <mergeCell ref="J40:K40"/>
    <mergeCell ref="L40:M40"/>
    <mergeCell ref="B59:C59"/>
    <mergeCell ref="D59:E59"/>
    <mergeCell ref="G47:H47"/>
    <mergeCell ref="G45:H45"/>
    <mergeCell ref="J60:K60"/>
    <mergeCell ref="L59:M59"/>
    <mergeCell ref="G42:H42"/>
    <mergeCell ref="D60:E60"/>
    <mergeCell ref="G43:H43"/>
    <mergeCell ref="B42:F42"/>
    <mergeCell ref="B43:F43"/>
    <mergeCell ref="B54:F54"/>
    <mergeCell ref="G54:H54"/>
    <mergeCell ref="B55:F55"/>
    <mergeCell ref="G55:H55"/>
    <mergeCell ref="B47:F47"/>
    <mergeCell ref="B48:F48"/>
    <mergeCell ref="K51:O51"/>
    <mergeCell ref="K52:O52"/>
    <mergeCell ref="B51:F51"/>
    <mergeCell ref="B52:F52"/>
    <mergeCell ref="G48:H48"/>
    <mergeCell ref="B60:C61"/>
    <mergeCell ref="B45:F45"/>
    <mergeCell ref="B14:C14"/>
    <mergeCell ref="L14:U14"/>
    <mergeCell ref="B15:C15"/>
    <mergeCell ref="B16:C16"/>
    <mergeCell ref="B17:C17"/>
    <mergeCell ref="B18:C18"/>
    <mergeCell ref="F16:G16"/>
    <mergeCell ref="F17:G17"/>
    <mergeCell ref="H17:I17"/>
    <mergeCell ref="T17:U17"/>
    <mergeCell ref="H16:I16"/>
    <mergeCell ref="M16:N16"/>
    <mergeCell ref="M17:N17"/>
    <mergeCell ref="Y60:Z60"/>
    <mergeCell ref="Y61:Z61"/>
    <mergeCell ref="W60:X60"/>
    <mergeCell ref="W61:X61"/>
    <mergeCell ref="J61:K61"/>
    <mergeCell ref="L60:M60"/>
    <mergeCell ref="L61:M61"/>
    <mergeCell ref="H59:I59"/>
    <mergeCell ref="H60:I60"/>
    <mergeCell ref="H61:I61"/>
    <mergeCell ref="D61:E61"/>
    <mergeCell ref="P51:Q51"/>
    <mergeCell ref="P52:Q52"/>
    <mergeCell ref="G51:H51"/>
    <mergeCell ref="G52:H52"/>
    <mergeCell ref="F59:G59"/>
    <mergeCell ref="F60:G60"/>
    <mergeCell ref="F61:G61"/>
    <mergeCell ref="J59:K59"/>
    <mergeCell ref="K54:O54"/>
    <mergeCell ref="P54:Q54"/>
    <mergeCell ref="K55:O55"/>
    <mergeCell ref="P55:Q55"/>
  </mergeCells>
  <dataValidations disablePrompts="1" count="2">
    <dataValidation type="list" allowBlank="1" showInputMessage="1" showErrorMessage="1" sqref="B12" xr:uid="{8FF8F9AC-951B-4C3A-9F5C-9F010755F958}">
      <formula1>$W$10:$W$14</formula1>
    </dataValidation>
    <dataValidation type="list" allowBlank="1" showInputMessage="1" showErrorMessage="1" sqref="G45" xr:uid="{4C84EC17-8443-4636-AE01-60872C29DEF7}">
      <formula1>$W$45:$W$46</formula1>
    </dataValidation>
  </dataValidations>
  <printOptions horizontalCentered="1" verticalCentered="1"/>
  <pageMargins left="0.47244094488188981" right="0.47244094488188981" top="0.74803149606299213" bottom="0.74803149606299213" header="0.31496062992125984" footer="0.31496062992125984"/>
  <pageSetup scale="70" fitToWidth="0"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45EED-6AC5-4C5F-BEAB-DBE660DF5A2C}">
  <dimension ref="A1:AK313"/>
  <sheetViews>
    <sheetView view="pageBreakPreview" zoomScale="85" zoomScaleNormal="100" zoomScaleSheetLayoutView="85" workbookViewId="0">
      <selection activeCell="I44" sqref="I44:K44"/>
    </sheetView>
  </sheetViews>
  <sheetFormatPr baseColWidth="10" defaultColWidth="5.7109375" defaultRowHeight="15" x14ac:dyDescent="0.25"/>
  <cols>
    <col min="1" max="16" width="5.7109375" style="1" customWidth="1"/>
    <col min="17" max="17" width="5.7109375" style="1"/>
    <col min="18" max="21" width="5.7109375" style="1" customWidth="1"/>
    <col min="22" max="22" width="5.7109375" style="1"/>
    <col min="23" max="23" width="7.140625" style="1" bestFit="1" customWidth="1"/>
    <col min="24" max="24" width="5.42578125" style="1" bestFit="1" customWidth="1"/>
    <col min="25" max="25" width="12.140625" style="1" bestFit="1" customWidth="1"/>
    <col min="26" max="26" width="11" style="1" bestFit="1" customWidth="1"/>
    <col min="27" max="27" width="11.5703125" style="1" bestFit="1" customWidth="1"/>
    <col min="28" max="28" width="9.28515625" style="1" bestFit="1" customWidth="1"/>
    <col min="29" max="30" width="6.7109375" style="1" bestFit="1" customWidth="1"/>
    <col min="31" max="31" width="7.28515625" style="1" bestFit="1" customWidth="1"/>
    <col min="32" max="32" width="8.5703125" style="1" bestFit="1" customWidth="1"/>
    <col min="33" max="33" width="5.7109375" style="1"/>
    <col min="34" max="34" width="6.5703125" style="1" bestFit="1" customWidth="1"/>
    <col min="35" max="35" width="12.140625" style="1" bestFit="1" customWidth="1"/>
    <col min="36" max="36" width="7.140625" style="1" bestFit="1" customWidth="1"/>
    <col min="37" max="16384" width="5.7109375" style="1"/>
  </cols>
  <sheetData>
    <row r="1" spans="1:37"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37"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37" x14ac:dyDescent="0.25">
      <c r="A3" s="214"/>
      <c r="B3" s="215"/>
      <c r="C3" s="215"/>
      <c r="D3" s="215"/>
      <c r="E3" s="216"/>
      <c r="F3" s="217" t="s">
        <v>1</v>
      </c>
      <c r="G3" s="210"/>
      <c r="H3" s="217" t="s">
        <v>272</v>
      </c>
      <c r="I3" s="209"/>
      <c r="J3" s="209"/>
      <c r="K3" s="209"/>
      <c r="L3" s="209"/>
      <c r="M3" s="209"/>
      <c r="N3" s="210"/>
      <c r="O3" s="217" t="s">
        <v>4</v>
      </c>
      <c r="P3" s="209"/>
      <c r="Q3" s="209" t="str">
        <f>'0. CARTA RESPONSABILIDAD'!Q3</f>
        <v>R0</v>
      </c>
      <c r="R3" s="209"/>
      <c r="S3" s="209"/>
      <c r="T3" s="209"/>
      <c r="U3" s="210"/>
      <c r="W3" s="254" t="s">
        <v>286</v>
      </c>
      <c r="X3" s="254"/>
      <c r="Y3" s="254" t="s">
        <v>287</v>
      </c>
      <c r="Z3" s="254"/>
    </row>
    <row r="4" spans="1:37" x14ac:dyDescent="0.25">
      <c r="A4" s="2"/>
      <c r="B4" s="3"/>
      <c r="C4" s="3"/>
      <c r="D4" s="3"/>
      <c r="E4" s="3"/>
      <c r="F4" s="3"/>
      <c r="G4" s="3"/>
      <c r="H4" s="3"/>
      <c r="I4" s="3"/>
      <c r="J4" s="3"/>
      <c r="K4" s="3"/>
      <c r="L4" s="3"/>
      <c r="M4" s="3"/>
      <c r="N4" s="3"/>
      <c r="O4" s="3"/>
      <c r="P4" s="3"/>
      <c r="Q4" s="3"/>
      <c r="R4" s="3"/>
      <c r="S4" s="3"/>
      <c r="T4" s="3"/>
      <c r="U4" s="4"/>
      <c r="W4" s="254"/>
      <c r="X4" s="254"/>
      <c r="Y4" s="254"/>
      <c r="Z4" s="254"/>
    </row>
    <row r="5" spans="1:37" x14ac:dyDescent="0.25">
      <c r="A5" s="5"/>
      <c r="B5" s="225" t="s">
        <v>547</v>
      </c>
      <c r="C5" s="225"/>
      <c r="D5" s="225"/>
      <c r="E5" s="225"/>
      <c r="F5" s="225"/>
      <c r="G5" s="225"/>
      <c r="H5" s="225"/>
      <c r="I5" s="225"/>
      <c r="J5" s="225"/>
      <c r="K5" s="225"/>
      <c r="L5" s="225"/>
      <c r="M5" s="225"/>
      <c r="N5" s="225"/>
      <c r="O5" s="225"/>
      <c r="P5" s="225"/>
      <c r="Q5" s="225"/>
      <c r="R5" s="225"/>
      <c r="S5" s="225"/>
      <c r="T5" s="225"/>
      <c r="U5" s="7"/>
      <c r="W5" s="241">
        <f>MAX(O13:P64)</f>
        <v>4.3189999999999999E-3</v>
      </c>
      <c r="X5" s="241"/>
      <c r="Y5" s="241">
        <f>MAX(Q13:R64)</f>
        <v>6.3420000000000004E-3</v>
      </c>
      <c r="Z5" s="241"/>
    </row>
    <row r="6" spans="1:37" x14ac:dyDescent="0.25">
      <c r="A6" s="5"/>
      <c r="B6" s="225"/>
      <c r="C6" s="225"/>
      <c r="D6" s="225"/>
      <c r="E6" s="225"/>
      <c r="F6" s="225"/>
      <c r="G6" s="225"/>
      <c r="H6" s="225"/>
      <c r="I6" s="225"/>
      <c r="J6" s="225"/>
      <c r="K6" s="225"/>
      <c r="L6" s="225"/>
      <c r="M6" s="225"/>
      <c r="N6" s="225"/>
      <c r="O6" s="225"/>
      <c r="P6" s="225"/>
      <c r="Q6" s="225"/>
      <c r="R6" s="225"/>
      <c r="S6" s="225"/>
      <c r="T6" s="225"/>
      <c r="U6" s="7"/>
    </row>
    <row r="7" spans="1:37" ht="13.9" x14ac:dyDescent="0.25">
      <c r="A7" s="5"/>
      <c r="B7" s="6"/>
      <c r="C7" s="6"/>
      <c r="D7" s="6"/>
      <c r="E7" s="6"/>
      <c r="F7" s="6"/>
      <c r="G7" s="6"/>
      <c r="H7" s="6"/>
      <c r="I7" s="6"/>
      <c r="J7" s="6"/>
      <c r="U7" s="7"/>
    </row>
    <row r="8" spans="1:37" x14ac:dyDescent="0.25">
      <c r="A8" s="5"/>
      <c r="C8" s="254" t="s">
        <v>289</v>
      </c>
      <c r="D8" s="254"/>
      <c r="E8" s="254"/>
      <c r="F8" s="254"/>
      <c r="G8" s="254"/>
      <c r="H8" s="254"/>
      <c r="I8" s="254"/>
      <c r="J8" s="313">
        <f>MAX(S13:T500)</f>
        <v>6.3420177388588258E-3</v>
      </c>
      <c r="K8" s="254"/>
      <c r="L8" s="294" t="str">
        <f>_xlfn.CONCAT("En el sentido ",VLOOKUP(J8,$AH$13:$AK$500,4,))</f>
        <v xml:space="preserve">En el sentido </v>
      </c>
      <c r="M8" s="294"/>
      <c r="N8" s="254" t="s">
        <v>290</v>
      </c>
      <c r="O8" s="254"/>
      <c r="P8" s="254"/>
      <c r="Q8" s="254">
        <f>VLOOKUP(J8,$AH$13:$AJ$500,2,)</f>
        <v>265</v>
      </c>
      <c r="R8" s="254"/>
      <c r="S8" s="254"/>
      <c r="U8" s="7"/>
      <c r="W8" s="1" t="s">
        <v>293</v>
      </c>
    </row>
    <row r="9" spans="1:37" x14ac:dyDescent="0.25">
      <c r="A9" s="5"/>
      <c r="C9" s="254"/>
      <c r="D9" s="254"/>
      <c r="E9" s="254"/>
      <c r="F9" s="254"/>
      <c r="G9" s="254"/>
      <c r="H9" s="254"/>
      <c r="I9" s="254"/>
      <c r="J9" s="254"/>
      <c r="K9" s="254"/>
      <c r="L9" s="294"/>
      <c r="M9" s="294"/>
      <c r="N9" s="254" t="s">
        <v>291</v>
      </c>
      <c r="O9" s="254"/>
      <c r="P9" s="254"/>
      <c r="Q9" s="254" t="str">
        <f>VLOOKUP(J8,$AH$13:$AJ$500,3,)</f>
        <v>N+08.10</v>
      </c>
      <c r="R9" s="254"/>
      <c r="S9" s="254"/>
      <c r="U9" s="7"/>
    </row>
    <row r="10" spans="1:37" ht="13.9" x14ac:dyDescent="0.25">
      <c r="A10" s="5"/>
      <c r="U10" s="7"/>
    </row>
    <row r="11" spans="1:37" x14ac:dyDescent="0.25">
      <c r="A11" s="5"/>
      <c r="B11" s="294" t="s">
        <v>188</v>
      </c>
      <c r="C11" s="294"/>
      <c r="D11" s="294" t="s">
        <v>273</v>
      </c>
      <c r="E11" s="294" t="s">
        <v>274</v>
      </c>
      <c r="F11" s="294"/>
      <c r="G11" s="294" t="s">
        <v>275</v>
      </c>
      <c r="H11" s="294"/>
      <c r="I11" s="254" t="s">
        <v>284</v>
      </c>
      <c r="J11" s="254"/>
      <c r="K11" s="254"/>
      <c r="L11" s="254" t="s">
        <v>285</v>
      </c>
      <c r="M11" s="254"/>
      <c r="N11" s="254"/>
      <c r="O11" s="254" t="s">
        <v>286</v>
      </c>
      <c r="P11" s="254"/>
      <c r="Q11" s="254" t="s">
        <v>287</v>
      </c>
      <c r="R11" s="254"/>
      <c r="S11" s="254" t="s">
        <v>288</v>
      </c>
      <c r="T11" s="254"/>
      <c r="U11" s="7"/>
      <c r="W11" s="1" t="s">
        <v>188</v>
      </c>
      <c r="X11" s="1" t="s">
        <v>273</v>
      </c>
      <c r="Y11" s="1" t="s">
        <v>274</v>
      </c>
      <c r="Z11" s="1" t="s">
        <v>275</v>
      </c>
      <c r="AA11" s="1" t="s">
        <v>276</v>
      </c>
      <c r="AB11" s="1" t="s">
        <v>277</v>
      </c>
      <c r="AC11" s="1" t="s">
        <v>278</v>
      </c>
      <c r="AD11" s="1" t="s">
        <v>279</v>
      </c>
      <c r="AE11" s="1" t="s">
        <v>280</v>
      </c>
      <c r="AF11" s="1" t="s">
        <v>281</v>
      </c>
      <c r="AH11" s="1" t="s">
        <v>292</v>
      </c>
      <c r="AI11" s="1" t="s">
        <v>274</v>
      </c>
      <c r="AJ11" s="1" t="s">
        <v>188</v>
      </c>
    </row>
    <row r="12" spans="1:37" x14ac:dyDescent="0.25">
      <c r="A12" s="5"/>
      <c r="B12" s="294"/>
      <c r="C12" s="294"/>
      <c r="D12" s="294"/>
      <c r="E12" s="294"/>
      <c r="F12" s="294"/>
      <c r="G12" s="294"/>
      <c r="H12" s="294"/>
      <c r="I12" s="254" t="s">
        <v>374</v>
      </c>
      <c r="J12" s="254"/>
      <c r="K12" s="254"/>
      <c r="L12" s="254" t="s">
        <v>374</v>
      </c>
      <c r="M12" s="254"/>
      <c r="N12" s="254"/>
      <c r="O12" s="254"/>
      <c r="P12" s="254"/>
      <c r="Q12" s="254"/>
      <c r="R12" s="254"/>
      <c r="S12" s="254"/>
      <c r="T12" s="254"/>
      <c r="U12" s="7"/>
      <c r="AC12" s="1" t="s">
        <v>101</v>
      </c>
      <c r="AD12" s="1" t="s">
        <v>101</v>
      </c>
    </row>
    <row r="13" spans="1:37" ht="13.9" customHeight="1" x14ac:dyDescent="0.25">
      <c r="A13" s="5"/>
      <c r="B13" s="236" t="str">
        <f>W13</f>
        <v>N+08.10</v>
      </c>
      <c r="C13" s="236"/>
      <c r="D13" s="53">
        <f>X13</f>
        <v>16</v>
      </c>
      <c r="E13" s="236">
        <f>Y13</f>
        <v>285</v>
      </c>
      <c r="F13" s="236"/>
      <c r="G13" s="236" t="str">
        <f>MID(Z13,1,7)</f>
        <v>SX</v>
      </c>
      <c r="H13" s="236"/>
      <c r="I13" s="279">
        <f>AC13</f>
        <v>32.707000000000001</v>
      </c>
      <c r="J13" s="279"/>
      <c r="K13" s="279"/>
      <c r="L13" s="279">
        <f>AD13</f>
        <v>0.20100000000000001</v>
      </c>
      <c r="M13" s="279"/>
      <c r="N13" s="279"/>
      <c r="O13" s="241">
        <f>AE13</f>
        <v>4.3059999999999999E-3</v>
      </c>
      <c r="P13" s="241"/>
      <c r="Q13" s="241">
        <f>AF13</f>
        <v>1.1400000000000001E-4</v>
      </c>
      <c r="R13" s="241"/>
      <c r="S13" s="241">
        <f>SQRT(O13^2+Q13^2)</f>
        <v>4.3075087927942762E-3</v>
      </c>
      <c r="T13" s="241"/>
      <c r="U13" s="7"/>
      <c r="W13" s="1" t="s">
        <v>835</v>
      </c>
      <c r="X13" s="1">
        <v>16</v>
      </c>
      <c r="Y13" s="1">
        <v>285</v>
      </c>
      <c r="Z13" s="1" t="s">
        <v>582</v>
      </c>
      <c r="AA13" s="1" t="s">
        <v>282</v>
      </c>
      <c r="AB13" s="1" t="s">
        <v>283</v>
      </c>
      <c r="AC13" s="21">
        <v>32.707000000000001</v>
      </c>
      <c r="AD13" s="21">
        <v>0.20100000000000001</v>
      </c>
      <c r="AE13" s="21">
        <v>4.3059999999999999E-3</v>
      </c>
      <c r="AF13" s="21">
        <v>1.1400000000000001E-4</v>
      </c>
      <c r="AG13" s="21"/>
      <c r="AH13" s="21">
        <f>S13</f>
        <v>4.3075087927942762E-3</v>
      </c>
      <c r="AI13" s="1">
        <f>Y13</f>
        <v>285</v>
      </c>
      <c r="AJ13" s="1" t="str">
        <f>W13</f>
        <v>N+08.10</v>
      </c>
      <c r="AK13" s="1" t="str">
        <f>MID(Z13,11,1)</f>
        <v/>
      </c>
    </row>
    <row r="14" spans="1:37" ht="13.9" customHeight="1" x14ac:dyDescent="0.25">
      <c r="A14" s="5"/>
      <c r="B14" s="236" t="str">
        <f t="shared" ref="B14:B60" si="0">W14</f>
        <v>N+08.10</v>
      </c>
      <c r="C14" s="236"/>
      <c r="D14" s="53">
        <f t="shared" ref="D14:D60" si="1">X14</f>
        <v>16</v>
      </c>
      <c r="E14" s="236">
        <f t="shared" ref="E14:E60" si="2">Y14</f>
        <v>285</v>
      </c>
      <c r="F14" s="236"/>
      <c r="G14" s="236" t="str">
        <f t="shared" ref="G14:G60" si="3">MID(Z14,1,7)</f>
        <v>SY</v>
      </c>
      <c r="H14" s="236"/>
      <c r="I14" s="279">
        <f t="shared" ref="I14:I60" si="4">AC14</f>
        <v>5.1999999999999998E-2</v>
      </c>
      <c r="J14" s="279"/>
      <c r="K14" s="279"/>
      <c r="L14" s="279">
        <f t="shared" ref="L14:L60" si="5">AD14</f>
        <v>43.566000000000003</v>
      </c>
      <c r="M14" s="279"/>
      <c r="N14" s="279"/>
      <c r="O14" s="241">
        <f t="shared" ref="O14:O60" si="6">AE14</f>
        <v>1.8E-5</v>
      </c>
      <c r="P14" s="241"/>
      <c r="Q14" s="241">
        <f t="shared" ref="Q14:Q60" si="7">AF14</f>
        <v>6.254E-3</v>
      </c>
      <c r="R14" s="241"/>
      <c r="S14" s="241">
        <f t="shared" ref="S14:S60" si="8">SQRT(O14^2+Q14^2)</f>
        <v>6.2540259033681657E-3</v>
      </c>
      <c r="T14" s="241"/>
      <c r="U14" s="7"/>
      <c r="W14" s="1" t="s">
        <v>835</v>
      </c>
      <c r="X14" s="1">
        <v>16</v>
      </c>
      <c r="Y14" s="1">
        <v>285</v>
      </c>
      <c r="Z14" s="1" t="s">
        <v>583</v>
      </c>
      <c r="AA14" s="1" t="s">
        <v>282</v>
      </c>
      <c r="AB14" s="1" t="s">
        <v>283</v>
      </c>
      <c r="AC14" s="21">
        <v>5.1999999999999998E-2</v>
      </c>
      <c r="AD14" s="21">
        <v>43.566000000000003</v>
      </c>
      <c r="AE14" s="21">
        <v>1.8E-5</v>
      </c>
      <c r="AF14" s="21">
        <v>6.254E-3</v>
      </c>
      <c r="AG14" s="21"/>
      <c r="AH14" s="21">
        <f t="shared" ref="AH14:AH60" si="9">S14</f>
        <v>6.2540259033681657E-3</v>
      </c>
      <c r="AI14" s="1">
        <f t="shared" ref="AI14:AI60" si="10">Y14</f>
        <v>285</v>
      </c>
      <c r="AJ14" s="1" t="str">
        <f t="shared" ref="AJ14:AJ60" si="11">W14</f>
        <v>N+08.10</v>
      </c>
      <c r="AK14" s="1" t="str">
        <f t="shared" ref="AK14:AK60" si="12">MID(Z14,11,1)</f>
        <v/>
      </c>
    </row>
    <row r="15" spans="1:37" ht="13.9" customHeight="1" x14ac:dyDescent="0.25">
      <c r="A15" s="5"/>
      <c r="B15" s="236" t="str">
        <f t="shared" si="0"/>
        <v>N+08.10</v>
      </c>
      <c r="C15" s="236"/>
      <c r="D15" s="53">
        <f t="shared" si="1"/>
        <v>19</v>
      </c>
      <c r="E15" s="236">
        <f t="shared" si="2"/>
        <v>230</v>
      </c>
      <c r="F15" s="236"/>
      <c r="G15" s="236" t="str">
        <f t="shared" si="3"/>
        <v>SX</v>
      </c>
      <c r="H15" s="236"/>
      <c r="I15" s="279">
        <f t="shared" si="4"/>
        <v>32.279000000000003</v>
      </c>
      <c r="J15" s="279"/>
      <c r="K15" s="279"/>
      <c r="L15" s="279">
        <f t="shared" si="5"/>
        <v>0.34899999999999998</v>
      </c>
      <c r="M15" s="279"/>
      <c r="N15" s="279"/>
      <c r="O15" s="241">
        <f t="shared" si="6"/>
        <v>4.2430000000000002E-3</v>
      </c>
      <c r="P15" s="241"/>
      <c r="Q15" s="241">
        <f t="shared" si="7"/>
        <v>4.1E-5</v>
      </c>
      <c r="R15" s="241"/>
      <c r="S15" s="241">
        <f t="shared" si="8"/>
        <v>4.2431980863494928E-3</v>
      </c>
      <c r="T15" s="241"/>
      <c r="U15" s="7"/>
      <c r="W15" s="1" t="s">
        <v>835</v>
      </c>
      <c r="X15" s="1">
        <v>19</v>
      </c>
      <c r="Y15" s="1">
        <v>230</v>
      </c>
      <c r="Z15" s="1" t="s">
        <v>582</v>
      </c>
      <c r="AA15" s="1" t="s">
        <v>282</v>
      </c>
      <c r="AB15" s="1" t="s">
        <v>283</v>
      </c>
      <c r="AC15" s="21">
        <v>32.279000000000003</v>
      </c>
      <c r="AD15" s="21">
        <v>0.34899999999999998</v>
      </c>
      <c r="AE15" s="21">
        <v>4.2430000000000002E-3</v>
      </c>
      <c r="AF15" s="21">
        <v>4.1E-5</v>
      </c>
      <c r="AG15" s="21"/>
      <c r="AH15" s="21">
        <f t="shared" si="9"/>
        <v>4.2431980863494928E-3</v>
      </c>
      <c r="AI15" s="1">
        <f t="shared" si="10"/>
        <v>230</v>
      </c>
      <c r="AJ15" s="1" t="str">
        <f t="shared" si="11"/>
        <v>N+08.10</v>
      </c>
      <c r="AK15" s="1" t="str">
        <f t="shared" si="12"/>
        <v/>
      </c>
    </row>
    <row r="16" spans="1:37" ht="13.9" customHeight="1" x14ac:dyDescent="0.25">
      <c r="A16" s="5"/>
      <c r="B16" s="236" t="str">
        <f t="shared" si="0"/>
        <v>N+08.10</v>
      </c>
      <c r="C16" s="236"/>
      <c r="D16" s="53">
        <f t="shared" si="1"/>
        <v>19</v>
      </c>
      <c r="E16" s="236">
        <f t="shared" si="2"/>
        <v>230</v>
      </c>
      <c r="F16" s="236"/>
      <c r="G16" s="236" t="str">
        <f t="shared" si="3"/>
        <v>SY</v>
      </c>
      <c r="H16" s="236"/>
      <c r="I16" s="279">
        <f t="shared" si="4"/>
        <v>2.9000000000000001E-2</v>
      </c>
      <c r="J16" s="279"/>
      <c r="K16" s="279"/>
      <c r="L16" s="279">
        <f t="shared" si="5"/>
        <v>43.564999999999998</v>
      </c>
      <c r="M16" s="279"/>
      <c r="N16" s="279"/>
      <c r="O16" s="241">
        <f t="shared" si="6"/>
        <v>1.5999999999999999E-5</v>
      </c>
      <c r="P16" s="241"/>
      <c r="Q16" s="241">
        <f t="shared" si="7"/>
        <v>6.2550000000000001E-3</v>
      </c>
      <c r="R16" s="241"/>
      <c r="S16" s="241">
        <f t="shared" si="8"/>
        <v>6.2550204635956229E-3</v>
      </c>
      <c r="T16" s="241"/>
      <c r="U16" s="7"/>
      <c r="W16" s="1" t="s">
        <v>835</v>
      </c>
      <c r="X16" s="1">
        <v>19</v>
      </c>
      <c r="Y16" s="1">
        <v>230</v>
      </c>
      <c r="Z16" s="1" t="s">
        <v>583</v>
      </c>
      <c r="AA16" s="1" t="s">
        <v>282</v>
      </c>
      <c r="AB16" s="1" t="s">
        <v>283</v>
      </c>
      <c r="AC16" s="21">
        <v>2.9000000000000001E-2</v>
      </c>
      <c r="AD16" s="21">
        <v>43.564999999999998</v>
      </c>
      <c r="AE16" s="21">
        <v>1.5999999999999999E-5</v>
      </c>
      <c r="AF16" s="21">
        <v>6.2550000000000001E-3</v>
      </c>
      <c r="AG16" s="21"/>
      <c r="AH16" s="21">
        <f t="shared" si="9"/>
        <v>6.2550204635956229E-3</v>
      </c>
      <c r="AI16" s="1">
        <f t="shared" si="10"/>
        <v>230</v>
      </c>
      <c r="AJ16" s="1" t="str">
        <f t="shared" si="11"/>
        <v>N+08.10</v>
      </c>
      <c r="AK16" s="1" t="str">
        <f t="shared" si="12"/>
        <v/>
      </c>
    </row>
    <row r="17" spans="1:37" ht="13.9" customHeight="1" x14ac:dyDescent="0.25">
      <c r="A17" s="5"/>
      <c r="B17" s="236" t="str">
        <f t="shared" si="0"/>
        <v>N+08.10</v>
      </c>
      <c r="C17" s="236"/>
      <c r="D17" s="53">
        <f t="shared" si="1"/>
        <v>20</v>
      </c>
      <c r="E17" s="236">
        <f t="shared" si="2"/>
        <v>235</v>
      </c>
      <c r="F17" s="236"/>
      <c r="G17" s="236" t="str">
        <f t="shared" si="3"/>
        <v>SX</v>
      </c>
      <c r="H17" s="236"/>
      <c r="I17" s="279">
        <f t="shared" si="4"/>
        <v>32.235999999999997</v>
      </c>
      <c r="J17" s="279"/>
      <c r="K17" s="279"/>
      <c r="L17" s="279">
        <f t="shared" si="5"/>
        <v>3.4000000000000002E-2</v>
      </c>
      <c r="M17" s="279"/>
      <c r="N17" s="279"/>
      <c r="O17" s="241">
        <f t="shared" si="6"/>
        <v>4.1720000000000004E-3</v>
      </c>
      <c r="P17" s="241"/>
      <c r="Q17" s="241">
        <f t="shared" si="7"/>
        <v>2.1999999999999999E-5</v>
      </c>
      <c r="R17" s="241"/>
      <c r="S17" s="241">
        <f t="shared" si="8"/>
        <v>4.1720580053493991E-3</v>
      </c>
      <c r="T17" s="241"/>
      <c r="U17" s="7"/>
      <c r="W17" s="1" t="s">
        <v>835</v>
      </c>
      <c r="X17" s="1">
        <v>20</v>
      </c>
      <c r="Y17" s="1">
        <v>235</v>
      </c>
      <c r="Z17" s="1" t="s">
        <v>582</v>
      </c>
      <c r="AA17" s="1" t="s">
        <v>282</v>
      </c>
      <c r="AB17" s="1" t="s">
        <v>283</v>
      </c>
      <c r="AC17" s="21">
        <v>32.235999999999997</v>
      </c>
      <c r="AD17" s="21">
        <v>3.4000000000000002E-2</v>
      </c>
      <c r="AE17" s="21">
        <v>4.1720000000000004E-3</v>
      </c>
      <c r="AF17" s="21">
        <v>2.1999999999999999E-5</v>
      </c>
      <c r="AG17" s="21"/>
      <c r="AH17" s="21">
        <f t="shared" si="9"/>
        <v>4.1720580053493991E-3</v>
      </c>
      <c r="AI17" s="1">
        <f t="shared" si="10"/>
        <v>235</v>
      </c>
      <c r="AJ17" s="1" t="str">
        <f t="shared" si="11"/>
        <v>N+08.10</v>
      </c>
      <c r="AK17" s="1" t="str">
        <f t="shared" si="12"/>
        <v/>
      </c>
    </row>
    <row r="18" spans="1:37" ht="13.9" customHeight="1" x14ac:dyDescent="0.25">
      <c r="A18" s="5"/>
      <c r="B18" s="236" t="str">
        <f t="shared" si="0"/>
        <v>N+08.10</v>
      </c>
      <c r="C18" s="236"/>
      <c r="D18" s="53">
        <f t="shared" si="1"/>
        <v>20</v>
      </c>
      <c r="E18" s="236">
        <f t="shared" si="2"/>
        <v>235</v>
      </c>
      <c r="F18" s="236"/>
      <c r="G18" s="236" t="str">
        <f t="shared" si="3"/>
        <v>SY</v>
      </c>
      <c r="H18" s="236"/>
      <c r="I18" s="279">
        <f t="shared" si="4"/>
        <v>7.6999999999999999E-2</v>
      </c>
      <c r="J18" s="279"/>
      <c r="K18" s="279"/>
      <c r="L18" s="279">
        <f t="shared" si="5"/>
        <v>43.753</v>
      </c>
      <c r="M18" s="279"/>
      <c r="N18" s="279"/>
      <c r="O18" s="241">
        <f t="shared" si="6"/>
        <v>1.5E-5</v>
      </c>
      <c r="P18" s="241"/>
      <c r="Q18" s="241">
        <f t="shared" si="7"/>
        <v>6.293E-3</v>
      </c>
      <c r="R18" s="241"/>
      <c r="S18" s="241">
        <f t="shared" si="8"/>
        <v>6.2930178769808054E-3</v>
      </c>
      <c r="T18" s="241"/>
      <c r="U18" s="7"/>
      <c r="W18" s="1" t="s">
        <v>835</v>
      </c>
      <c r="X18" s="1">
        <v>20</v>
      </c>
      <c r="Y18" s="1">
        <v>235</v>
      </c>
      <c r="Z18" s="1" t="s">
        <v>583</v>
      </c>
      <c r="AA18" s="1" t="s">
        <v>282</v>
      </c>
      <c r="AB18" s="1" t="s">
        <v>283</v>
      </c>
      <c r="AC18" s="21">
        <v>7.6999999999999999E-2</v>
      </c>
      <c r="AD18" s="21">
        <v>43.753</v>
      </c>
      <c r="AE18" s="21">
        <v>1.5E-5</v>
      </c>
      <c r="AF18" s="21">
        <v>6.293E-3</v>
      </c>
      <c r="AG18" s="21"/>
      <c r="AH18" s="21">
        <f t="shared" si="9"/>
        <v>6.2930178769808054E-3</v>
      </c>
      <c r="AI18" s="1">
        <f t="shared" si="10"/>
        <v>235</v>
      </c>
      <c r="AJ18" s="1" t="str">
        <f t="shared" si="11"/>
        <v>N+08.10</v>
      </c>
      <c r="AK18" s="1" t="str">
        <f t="shared" si="12"/>
        <v/>
      </c>
    </row>
    <row r="19" spans="1:37" ht="13.9" customHeight="1" x14ac:dyDescent="0.25">
      <c r="A19" s="5"/>
      <c r="B19" s="236" t="str">
        <f t="shared" si="0"/>
        <v>N+08.10</v>
      </c>
      <c r="C19" s="236"/>
      <c r="D19" s="53">
        <f t="shared" si="1"/>
        <v>26</v>
      </c>
      <c r="E19" s="236">
        <f t="shared" si="2"/>
        <v>240</v>
      </c>
      <c r="F19" s="236"/>
      <c r="G19" s="236" t="str">
        <f t="shared" si="3"/>
        <v>SX</v>
      </c>
      <c r="H19" s="236"/>
      <c r="I19" s="279">
        <f t="shared" si="4"/>
        <v>32.25</v>
      </c>
      <c r="J19" s="279"/>
      <c r="K19" s="279"/>
      <c r="L19" s="279">
        <f t="shared" si="5"/>
        <v>0.313</v>
      </c>
      <c r="M19" s="279"/>
      <c r="N19" s="279"/>
      <c r="O19" s="241">
        <f t="shared" si="6"/>
        <v>4.3189999999999999E-3</v>
      </c>
      <c r="P19" s="241"/>
      <c r="Q19" s="241">
        <f t="shared" si="7"/>
        <v>4.8000000000000001E-5</v>
      </c>
      <c r="R19" s="241"/>
      <c r="S19" s="241">
        <f t="shared" si="8"/>
        <v>4.3192667201736919E-3</v>
      </c>
      <c r="T19" s="241"/>
      <c r="U19" s="7"/>
      <c r="W19" s="1" t="s">
        <v>835</v>
      </c>
      <c r="X19" s="1">
        <v>26</v>
      </c>
      <c r="Y19" s="1">
        <v>240</v>
      </c>
      <c r="Z19" s="1" t="s">
        <v>582</v>
      </c>
      <c r="AA19" s="1" t="s">
        <v>282</v>
      </c>
      <c r="AB19" s="1" t="s">
        <v>283</v>
      </c>
      <c r="AC19" s="21">
        <v>32.25</v>
      </c>
      <c r="AD19" s="21">
        <v>0.313</v>
      </c>
      <c r="AE19" s="21">
        <v>4.3189999999999999E-3</v>
      </c>
      <c r="AF19" s="21">
        <v>4.8000000000000001E-5</v>
      </c>
      <c r="AG19" s="21"/>
      <c r="AH19" s="21">
        <f t="shared" si="9"/>
        <v>4.3192667201736919E-3</v>
      </c>
      <c r="AI19" s="1">
        <f t="shared" si="10"/>
        <v>240</v>
      </c>
      <c r="AJ19" s="1" t="str">
        <f t="shared" si="11"/>
        <v>N+08.10</v>
      </c>
      <c r="AK19" s="1" t="str">
        <f t="shared" si="12"/>
        <v/>
      </c>
    </row>
    <row r="20" spans="1:37" ht="13.9" customHeight="1" x14ac:dyDescent="0.25">
      <c r="A20" s="5"/>
      <c r="B20" s="236" t="str">
        <f t="shared" si="0"/>
        <v>N+08.10</v>
      </c>
      <c r="C20" s="236"/>
      <c r="D20" s="53">
        <f t="shared" si="1"/>
        <v>26</v>
      </c>
      <c r="E20" s="236">
        <f t="shared" si="2"/>
        <v>240</v>
      </c>
      <c r="F20" s="236"/>
      <c r="G20" s="236" t="str">
        <f t="shared" si="3"/>
        <v>SY</v>
      </c>
      <c r="H20" s="236"/>
      <c r="I20" s="279">
        <f t="shared" si="4"/>
        <v>0.16</v>
      </c>
      <c r="J20" s="279"/>
      <c r="K20" s="279"/>
      <c r="L20" s="279">
        <f t="shared" si="5"/>
        <v>43.451000000000001</v>
      </c>
      <c r="M20" s="279"/>
      <c r="N20" s="279"/>
      <c r="O20" s="241">
        <f t="shared" si="6"/>
        <v>3.4999999999999997E-5</v>
      </c>
      <c r="P20" s="241"/>
      <c r="Q20" s="241">
        <f t="shared" si="7"/>
        <v>6.2379999999999996E-3</v>
      </c>
      <c r="R20" s="241"/>
      <c r="S20" s="241">
        <f t="shared" si="8"/>
        <v>6.2380981877492112E-3</v>
      </c>
      <c r="T20" s="241"/>
      <c r="U20" s="7"/>
      <c r="W20" s="1" t="s">
        <v>835</v>
      </c>
      <c r="X20" s="1">
        <v>26</v>
      </c>
      <c r="Y20" s="1">
        <v>240</v>
      </c>
      <c r="Z20" s="1" t="s">
        <v>583</v>
      </c>
      <c r="AA20" s="1" t="s">
        <v>282</v>
      </c>
      <c r="AB20" s="1" t="s">
        <v>283</v>
      </c>
      <c r="AC20" s="21">
        <v>0.16</v>
      </c>
      <c r="AD20" s="21">
        <v>43.451000000000001</v>
      </c>
      <c r="AE20" s="21">
        <v>3.4999999999999997E-5</v>
      </c>
      <c r="AF20" s="21">
        <v>6.2379999999999996E-3</v>
      </c>
      <c r="AG20" s="21"/>
      <c r="AH20" s="21">
        <f t="shared" si="9"/>
        <v>6.2380981877492112E-3</v>
      </c>
      <c r="AI20" s="1">
        <f t="shared" si="10"/>
        <v>240</v>
      </c>
      <c r="AJ20" s="1" t="str">
        <f t="shared" si="11"/>
        <v>N+08.10</v>
      </c>
      <c r="AK20" s="1" t="str">
        <f t="shared" si="12"/>
        <v/>
      </c>
    </row>
    <row r="21" spans="1:37" ht="13.9" customHeight="1" x14ac:dyDescent="0.25">
      <c r="A21" s="5"/>
      <c r="B21" s="236" t="str">
        <f t="shared" si="0"/>
        <v>N+08.10</v>
      </c>
      <c r="C21" s="236"/>
      <c r="D21" s="53">
        <f t="shared" si="1"/>
        <v>42</v>
      </c>
      <c r="E21" s="236">
        <f t="shared" si="2"/>
        <v>245</v>
      </c>
      <c r="F21" s="236"/>
      <c r="G21" s="236" t="str">
        <f t="shared" si="3"/>
        <v>SX</v>
      </c>
      <c r="H21" s="236"/>
      <c r="I21" s="279">
        <f t="shared" si="4"/>
        <v>32.609000000000002</v>
      </c>
      <c r="J21" s="279"/>
      <c r="K21" s="279"/>
      <c r="L21" s="279">
        <f t="shared" si="5"/>
        <v>0.26800000000000002</v>
      </c>
      <c r="M21" s="279"/>
      <c r="N21" s="279"/>
      <c r="O21" s="241">
        <f t="shared" si="6"/>
        <v>4.0150000000000003E-3</v>
      </c>
      <c r="P21" s="241"/>
      <c r="Q21" s="241">
        <f t="shared" si="7"/>
        <v>4.5000000000000003E-5</v>
      </c>
      <c r="R21" s="241"/>
      <c r="S21" s="241">
        <f t="shared" si="8"/>
        <v>4.0152521714084165E-3</v>
      </c>
      <c r="T21" s="241"/>
      <c r="U21" s="7"/>
      <c r="W21" s="1" t="s">
        <v>835</v>
      </c>
      <c r="X21" s="1">
        <v>42</v>
      </c>
      <c r="Y21" s="1">
        <v>245</v>
      </c>
      <c r="Z21" s="1" t="s">
        <v>582</v>
      </c>
      <c r="AA21" s="1" t="s">
        <v>282</v>
      </c>
      <c r="AB21" s="1" t="s">
        <v>283</v>
      </c>
      <c r="AC21" s="21">
        <v>32.609000000000002</v>
      </c>
      <c r="AD21" s="21">
        <v>0.26800000000000002</v>
      </c>
      <c r="AE21" s="21">
        <v>4.0150000000000003E-3</v>
      </c>
      <c r="AF21" s="21">
        <v>4.5000000000000003E-5</v>
      </c>
      <c r="AG21" s="21"/>
      <c r="AH21" s="21">
        <f t="shared" si="9"/>
        <v>4.0152521714084165E-3</v>
      </c>
      <c r="AI21" s="1">
        <f t="shared" si="10"/>
        <v>245</v>
      </c>
      <c r="AJ21" s="1" t="str">
        <f t="shared" si="11"/>
        <v>N+08.10</v>
      </c>
      <c r="AK21" s="1" t="str">
        <f t="shared" si="12"/>
        <v/>
      </c>
    </row>
    <row r="22" spans="1:37" ht="13.9" customHeight="1" x14ac:dyDescent="0.25">
      <c r="A22" s="5"/>
      <c r="B22" s="236" t="str">
        <f t="shared" si="0"/>
        <v>N+08.10</v>
      </c>
      <c r="C22" s="236"/>
      <c r="D22" s="53">
        <f t="shared" si="1"/>
        <v>42</v>
      </c>
      <c r="E22" s="236">
        <f t="shared" si="2"/>
        <v>245</v>
      </c>
      <c r="F22" s="236"/>
      <c r="G22" s="236" t="str">
        <f t="shared" si="3"/>
        <v>SY</v>
      </c>
      <c r="H22" s="236"/>
      <c r="I22" s="279">
        <f t="shared" si="4"/>
        <v>4.9000000000000002E-2</v>
      </c>
      <c r="J22" s="279"/>
      <c r="K22" s="279"/>
      <c r="L22" s="279">
        <f t="shared" si="5"/>
        <v>43.453000000000003</v>
      </c>
      <c r="M22" s="279"/>
      <c r="N22" s="279"/>
      <c r="O22" s="241">
        <f t="shared" si="6"/>
        <v>1.5999999999999999E-5</v>
      </c>
      <c r="P22" s="241"/>
      <c r="Q22" s="241">
        <f t="shared" si="7"/>
        <v>6.313E-3</v>
      </c>
      <c r="R22" s="241"/>
      <c r="S22" s="241">
        <f t="shared" si="8"/>
        <v>6.3130202755891738E-3</v>
      </c>
      <c r="T22" s="241"/>
      <c r="U22" s="7"/>
      <c r="W22" s="1" t="s">
        <v>835</v>
      </c>
      <c r="X22" s="1">
        <v>42</v>
      </c>
      <c r="Y22" s="1">
        <v>245</v>
      </c>
      <c r="Z22" s="1" t="s">
        <v>583</v>
      </c>
      <c r="AA22" s="1" t="s">
        <v>282</v>
      </c>
      <c r="AB22" s="1" t="s">
        <v>283</v>
      </c>
      <c r="AC22" s="21">
        <v>4.9000000000000002E-2</v>
      </c>
      <c r="AD22" s="21">
        <v>43.453000000000003</v>
      </c>
      <c r="AE22" s="21">
        <v>1.5999999999999999E-5</v>
      </c>
      <c r="AF22" s="21">
        <v>6.313E-3</v>
      </c>
      <c r="AG22" s="21"/>
      <c r="AH22" s="21">
        <f t="shared" si="9"/>
        <v>6.3130202755891738E-3</v>
      </c>
      <c r="AI22" s="1">
        <f t="shared" si="10"/>
        <v>245</v>
      </c>
      <c r="AJ22" s="1" t="str">
        <f t="shared" si="11"/>
        <v>N+08.10</v>
      </c>
      <c r="AK22" s="1" t="str">
        <f t="shared" si="12"/>
        <v/>
      </c>
    </row>
    <row r="23" spans="1:37" ht="13.9" customHeight="1" x14ac:dyDescent="0.25">
      <c r="A23" s="5"/>
      <c r="B23" s="236" t="str">
        <f t="shared" si="0"/>
        <v>N+08.10</v>
      </c>
      <c r="C23" s="236"/>
      <c r="D23" s="53">
        <f t="shared" si="1"/>
        <v>43</v>
      </c>
      <c r="E23" s="236">
        <f t="shared" si="2"/>
        <v>250</v>
      </c>
      <c r="F23" s="236"/>
      <c r="G23" s="236" t="str">
        <f t="shared" si="3"/>
        <v>SX</v>
      </c>
      <c r="H23" s="236"/>
      <c r="I23" s="279">
        <f t="shared" si="4"/>
        <v>32.604999999999997</v>
      </c>
      <c r="J23" s="279"/>
      <c r="K23" s="279"/>
      <c r="L23" s="279">
        <f t="shared" si="5"/>
        <v>3.4000000000000002E-2</v>
      </c>
      <c r="M23" s="279"/>
      <c r="N23" s="279"/>
      <c r="O23" s="241">
        <f t="shared" si="6"/>
        <v>4.0200000000000001E-3</v>
      </c>
      <c r="P23" s="241"/>
      <c r="Q23" s="241">
        <f t="shared" si="7"/>
        <v>2.5000000000000001E-5</v>
      </c>
      <c r="R23" s="241"/>
      <c r="S23" s="241">
        <f t="shared" si="8"/>
        <v>4.0200777355668136E-3</v>
      </c>
      <c r="T23" s="241"/>
      <c r="U23" s="7"/>
      <c r="W23" s="1" t="s">
        <v>835</v>
      </c>
      <c r="X23" s="1">
        <v>43</v>
      </c>
      <c r="Y23" s="1">
        <v>250</v>
      </c>
      <c r="Z23" s="1" t="s">
        <v>582</v>
      </c>
      <c r="AA23" s="1" t="s">
        <v>282</v>
      </c>
      <c r="AB23" s="1" t="s">
        <v>283</v>
      </c>
      <c r="AC23" s="21">
        <v>32.604999999999997</v>
      </c>
      <c r="AD23" s="21">
        <v>3.4000000000000002E-2</v>
      </c>
      <c r="AE23" s="21">
        <v>4.0200000000000001E-3</v>
      </c>
      <c r="AF23" s="21">
        <v>2.5000000000000001E-5</v>
      </c>
      <c r="AG23" s="21"/>
      <c r="AH23" s="21">
        <f t="shared" si="9"/>
        <v>4.0200777355668136E-3</v>
      </c>
      <c r="AI23" s="1">
        <f t="shared" si="10"/>
        <v>250</v>
      </c>
      <c r="AJ23" s="1" t="str">
        <f t="shared" si="11"/>
        <v>N+08.10</v>
      </c>
      <c r="AK23" s="1" t="str">
        <f t="shared" si="12"/>
        <v/>
      </c>
    </row>
    <row r="24" spans="1:37" ht="13.9" customHeight="1" x14ac:dyDescent="0.25">
      <c r="A24" s="5"/>
      <c r="B24" s="236" t="str">
        <f t="shared" si="0"/>
        <v>N+08.10</v>
      </c>
      <c r="C24" s="236"/>
      <c r="D24" s="53">
        <f t="shared" si="1"/>
        <v>43</v>
      </c>
      <c r="E24" s="236">
        <f t="shared" si="2"/>
        <v>250</v>
      </c>
      <c r="F24" s="236"/>
      <c r="G24" s="236" t="str">
        <f t="shared" si="3"/>
        <v>SY</v>
      </c>
      <c r="H24" s="236"/>
      <c r="I24" s="279">
        <f t="shared" si="4"/>
        <v>4.2999999999999997E-2</v>
      </c>
      <c r="J24" s="279"/>
      <c r="K24" s="279"/>
      <c r="L24" s="279">
        <f t="shared" si="5"/>
        <v>43.741</v>
      </c>
      <c r="M24" s="279"/>
      <c r="N24" s="279"/>
      <c r="O24" s="241">
        <f t="shared" si="6"/>
        <v>1.5E-5</v>
      </c>
      <c r="P24" s="241"/>
      <c r="Q24" s="241">
        <f t="shared" si="7"/>
        <v>6.3410000000000003E-3</v>
      </c>
      <c r="R24" s="241"/>
      <c r="S24" s="241">
        <f t="shared" si="8"/>
        <v>6.3410177416563032E-3</v>
      </c>
      <c r="T24" s="241"/>
      <c r="U24" s="7"/>
      <c r="W24" s="1" t="s">
        <v>835</v>
      </c>
      <c r="X24" s="1">
        <v>43</v>
      </c>
      <c r="Y24" s="1">
        <v>250</v>
      </c>
      <c r="Z24" s="1" t="s">
        <v>583</v>
      </c>
      <c r="AA24" s="1" t="s">
        <v>282</v>
      </c>
      <c r="AB24" s="1" t="s">
        <v>283</v>
      </c>
      <c r="AC24" s="21">
        <v>4.2999999999999997E-2</v>
      </c>
      <c r="AD24" s="21">
        <v>43.741</v>
      </c>
      <c r="AE24" s="21">
        <v>1.5E-5</v>
      </c>
      <c r="AF24" s="21">
        <v>6.3410000000000003E-3</v>
      </c>
      <c r="AG24" s="21"/>
      <c r="AH24" s="21">
        <f t="shared" si="9"/>
        <v>6.3410177416563032E-3</v>
      </c>
      <c r="AI24" s="1">
        <f t="shared" si="10"/>
        <v>250</v>
      </c>
      <c r="AJ24" s="1" t="str">
        <f t="shared" si="11"/>
        <v>N+08.10</v>
      </c>
      <c r="AK24" s="1" t="str">
        <f t="shared" si="12"/>
        <v/>
      </c>
    </row>
    <row r="25" spans="1:37" ht="13.9" customHeight="1" x14ac:dyDescent="0.25">
      <c r="A25" s="5"/>
      <c r="B25" s="236" t="str">
        <f t="shared" si="0"/>
        <v>N+08.10</v>
      </c>
      <c r="C25" s="236"/>
      <c r="D25" s="53">
        <f t="shared" si="1"/>
        <v>44</v>
      </c>
      <c r="E25" s="236">
        <f t="shared" si="2"/>
        <v>255</v>
      </c>
      <c r="F25" s="236"/>
      <c r="G25" s="236" t="str">
        <f t="shared" si="3"/>
        <v>SX</v>
      </c>
      <c r="H25" s="236"/>
      <c r="I25" s="279">
        <f t="shared" si="4"/>
        <v>32.613999999999997</v>
      </c>
      <c r="J25" s="279"/>
      <c r="K25" s="279"/>
      <c r="L25" s="279">
        <f t="shared" si="5"/>
        <v>0.30499999999999999</v>
      </c>
      <c r="M25" s="279"/>
      <c r="N25" s="279"/>
      <c r="O25" s="241">
        <f t="shared" si="6"/>
        <v>4.0299999999999997E-3</v>
      </c>
      <c r="P25" s="241"/>
      <c r="Q25" s="241">
        <f t="shared" si="7"/>
        <v>2.9E-5</v>
      </c>
      <c r="R25" s="241"/>
      <c r="S25" s="241">
        <f t="shared" si="8"/>
        <v>4.0301043410810094E-3</v>
      </c>
      <c r="T25" s="241"/>
      <c r="U25" s="7"/>
      <c r="W25" s="1" t="s">
        <v>835</v>
      </c>
      <c r="X25" s="1">
        <v>44</v>
      </c>
      <c r="Y25" s="1">
        <v>255</v>
      </c>
      <c r="Z25" s="1" t="s">
        <v>582</v>
      </c>
      <c r="AA25" s="1" t="s">
        <v>282</v>
      </c>
      <c r="AB25" s="1" t="s">
        <v>283</v>
      </c>
      <c r="AC25" s="21">
        <v>32.613999999999997</v>
      </c>
      <c r="AD25" s="21">
        <v>0.30499999999999999</v>
      </c>
      <c r="AE25" s="21">
        <v>4.0299999999999997E-3</v>
      </c>
      <c r="AF25" s="21">
        <v>2.9E-5</v>
      </c>
      <c r="AG25" s="21"/>
      <c r="AH25" s="21">
        <f t="shared" si="9"/>
        <v>4.0301043410810094E-3</v>
      </c>
      <c r="AI25" s="1">
        <f t="shared" si="10"/>
        <v>255</v>
      </c>
      <c r="AJ25" s="1" t="str">
        <f t="shared" si="11"/>
        <v>N+08.10</v>
      </c>
      <c r="AK25" s="1" t="str">
        <f t="shared" si="12"/>
        <v/>
      </c>
    </row>
    <row r="26" spans="1:37" ht="13.9" customHeight="1" x14ac:dyDescent="0.25">
      <c r="A26" s="5"/>
      <c r="B26" s="236" t="str">
        <f t="shared" si="0"/>
        <v>N+08.10</v>
      </c>
      <c r="C26" s="236"/>
      <c r="D26" s="53">
        <f t="shared" si="1"/>
        <v>44</v>
      </c>
      <c r="E26" s="236">
        <f t="shared" si="2"/>
        <v>255</v>
      </c>
      <c r="F26" s="236"/>
      <c r="G26" s="236" t="str">
        <f t="shared" si="3"/>
        <v>SY</v>
      </c>
      <c r="H26" s="236"/>
      <c r="I26" s="279">
        <f t="shared" si="4"/>
        <v>3.7999999999999999E-2</v>
      </c>
      <c r="J26" s="279"/>
      <c r="K26" s="279"/>
      <c r="L26" s="279">
        <f t="shared" si="5"/>
        <v>43.567</v>
      </c>
      <c r="M26" s="279"/>
      <c r="N26" s="279"/>
      <c r="O26" s="241">
        <f t="shared" si="6"/>
        <v>1.5E-5</v>
      </c>
      <c r="P26" s="241"/>
      <c r="Q26" s="241">
        <f t="shared" si="7"/>
        <v>6.3229999999999996E-3</v>
      </c>
      <c r="R26" s="241"/>
      <c r="S26" s="241">
        <f t="shared" si="8"/>
        <v>6.3230177921622197E-3</v>
      </c>
      <c r="T26" s="241"/>
      <c r="U26" s="7"/>
      <c r="W26" s="1" t="s">
        <v>835</v>
      </c>
      <c r="X26" s="1">
        <v>44</v>
      </c>
      <c r="Y26" s="1">
        <v>255</v>
      </c>
      <c r="Z26" s="1" t="s">
        <v>583</v>
      </c>
      <c r="AA26" s="1" t="s">
        <v>282</v>
      </c>
      <c r="AB26" s="1" t="s">
        <v>283</v>
      </c>
      <c r="AC26" s="21">
        <v>3.7999999999999999E-2</v>
      </c>
      <c r="AD26" s="21">
        <v>43.567</v>
      </c>
      <c r="AE26" s="21">
        <v>1.5E-5</v>
      </c>
      <c r="AF26" s="21">
        <v>6.3229999999999996E-3</v>
      </c>
      <c r="AG26" s="21"/>
      <c r="AH26" s="21">
        <f t="shared" si="9"/>
        <v>6.3230177921622197E-3</v>
      </c>
      <c r="AI26" s="1">
        <f t="shared" si="10"/>
        <v>255</v>
      </c>
      <c r="AJ26" s="1" t="str">
        <f t="shared" si="11"/>
        <v>N+08.10</v>
      </c>
      <c r="AK26" s="1" t="str">
        <f t="shared" si="12"/>
        <v/>
      </c>
    </row>
    <row r="27" spans="1:37" ht="13.9" customHeight="1" x14ac:dyDescent="0.25">
      <c r="A27" s="5"/>
      <c r="B27" s="236" t="str">
        <f t="shared" si="0"/>
        <v>N+08.10</v>
      </c>
      <c r="C27" s="236"/>
      <c r="D27" s="53">
        <f t="shared" si="1"/>
        <v>45</v>
      </c>
      <c r="E27" s="236">
        <f t="shared" si="2"/>
        <v>260</v>
      </c>
      <c r="F27" s="236"/>
      <c r="G27" s="236" t="str">
        <f t="shared" si="3"/>
        <v>SX</v>
      </c>
      <c r="H27" s="236"/>
      <c r="I27" s="279">
        <f t="shared" si="4"/>
        <v>32.759</v>
      </c>
      <c r="J27" s="279"/>
      <c r="K27" s="279"/>
      <c r="L27" s="279">
        <f t="shared" si="5"/>
        <v>0.23400000000000001</v>
      </c>
      <c r="M27" s="279"/>
      <c r="N27" s="279"/>
      <c r="O27" s="241">
        <f t="shared" si="6"/>
        <v>4.0610000000000004E-3</v>
      </c>
      <c r="P27" s="241"/>
      <c r="Q27" s="241">
        <f t="shared" si="7"/>
        <v>7.7000000000000001E-5</v>
      </c>
      <c r="R27" s="241"/>
      <c r="S27" s="241">
        <f t="shared" si="8"/>
        <v>4.0617299270138581E-3</v>
      </c>
      <c r="T27" s="241"/>
      <c r="U27" s="7"/>
      <c r="W27" s="1" t="s">
        <v>835</v>
      </c>
      <c r="X27" s="1">
        <v>45</v>
      </c>
      <c r="Y27" s="1">
        <v>260</v>
      </c>
      <c r="Z27" s="1" t="s">
        <v>582</v>
      </c>
      <c r="AA27" s="1" t="s">
        <v>282</v>
      </c>
      <c r="AB27" s="1" t="s">
        <v>283</v>
      </c>
      <c r="AC27" s="21">
        <v>32.759</v>
      </c>
      <c r="AD27" s="21">
        <v>0.23400000000000001</v>
      </c>
      <c r="AE27" s="21">
        <v>4.0610000000000004E-3</v>
      </c>
      <c r="AF27" s="21">
        <v>7.7000000000000001E-5</v>
      </c>
      <c r="AG27" s="21"/>
      <c r="AH27" s="21">
        <f t="shared" si="9"/>
        <v>4.0617299270138581E-3</v>
      </c>
      <c r="AI27" s="1">
        <f t="shared" si="10"/>
        <v>260</v>
      </c>
      <c r="AJ27" s="1" t="str">
        <f t="shared" si="11"/>
        <v>N+08.10</v>
      </c>
      <c r="AK27" s="1" t="str">
        <f t="shared" si="12"/>
        <v/>
      </c>
    </row>
    <row r="28" spans="1:37" ht="13.9" customHeight="1" x14ac:dyDescent="0.25">
      <c r="A28" s="5"/>
      <c r="B28" s="236" t="str">
        <f t="shared" si="0"/>
        <v>N+08.10</v>
      </c>
      <c r="C28" s="236"/>
      <c r="D28" s="53">
        <f t="shared" si="1"/>
        <v>45</v>
      </c>
      <c r="E28" s="236">
        <f t="shared" si="2"/>
        <v>260</v>
      </c>
      <c r="F28" s="236"/>
      <c r="G28" s="236" t="str">
        <f t="shared" si="3"/>
        <v>SY</v>
      </c>
      <c r="H28" s="236"/>
      <c r="I28" s="279">
        <f t="shared" si="4"/>
        <v>2.4E-2</v>
      </c>
      <c r="J28" s="279"/>
      <c r="K28" s="279"/>
      <c r="L28" s="279">
        <f t="shared" si="5"/>
        <v>43.567999999999998</v>
      </c>
      <c r="M28" s="279"/>
      <c r="N28" s="279"/>
      <c r="O28" s="241">
        <f t="shared" si="6"/>
        <v>1.5E-5</v>
      </c>
      <c r="P28" s="241"/>
      <c r="Q28" s="241">
        <f t="shared" si="7"/>
        <v>6.3220000000000004E-3</v>
      </c>
      <c r="R28" s="241"/>
      <c r="S28" s="241">
        <f t="shared" si="8"/>
        <v>6.3220177949765378E-3</v>
      </c>
      <c r="T28" s="241"/>
      <c r="U28" s="7"/>
      <c r="W28" s="1" t="s">
        <v>835</v>
      </c>
      <c r="X28" s="1">
        <v>45</v>
      </c>
      <c r="Y28" s="1">
        <v>260</v>
      </c>
      <c r="Z28" s="1" t="s">
        <v>583</v>
      </c>
      <c r="AA28" s="1" t="s">
        <v>282</v>
      </c>
      <c r="AB28" s="1" t="s">
        <v>283</v>
      </c>
      <c r="AC28" s="21">
        <v>2.4E-2</v>
      </c>
      <c r="AD28" s="21">
        <v>43.567999999999998</v>
      </c>
      <c r="AE28" s="21">
        <v>1.5E-5</v>
      </c>
      <c r="AF28" s="21">
        <v>6.3220000000000004E-3</v>
      </c>
      <c r="AG28" s="21"/>
      <c r="AH28" s="21">
        <f t="shared" si="9"/>
        <v>6.3220177949765378E-3</v>
      </c>
      <c r="AI28" s="1">
        <f t="shared" si="10"/>
        <v>260</v>
      </c>
      <c r="AJ28" s="1" t="str">
        <f t="shared" si="11"/>
        <v>N+08.10</v>
      </c>
      <c r="AK28" s="1" t="str">
        <f t="shared" si="12"/>
        <v/>
      </c>
    </row>
    <row r="29" spans="1:37" ht="13.9" customHeight="1" x14ac:dyDescent="0.25">
      <c r="A29" s="5"/>
      <c r="B29" s="236" t="str">
        <f t="shared" si="0"/>
        <v>N+08.10</v>
      </c>
      <c r="C29" s="236"/>
      <c r="D29" s="53">
        <f t="shared" si="1"/>
        <v>46</v>
      </c>
      <c r="E29" s="236">
        <f t="shared" si="2"/>
        <v>265</v>
      </c>
      <c r="F29" s="236"/>
      <c r="G29" s="236" t="str">
        <f t="shared" si="3"/>
        <v>SX</v>
      </c>
      <c r="H29" s="236"/>
      <c r="I29" s="279">
        <f t="shared" si="4"/>
        <v>32.750999999999998</v>
      </c>
      <c r="J29" s="279"/>
      <c r="K29" s="279"/>
      <c r="L29" s="279">
        <f t="shared" si="5"/>
        <v>3.4000000000000002E-2</v>
      </c>
      <c r="M29" s="279"/>
      <c r="N29" s="279"/>
      <c r="O29" s="241">
        <f t="shared" si="6"/>
        <v>4.0610000000000004E-3</v>
      </c>
      <c r="P29" s="241"/>
      <c r="Q29" s="241">
        <f t="shared" si="7"/>
        <v>2.3E-5</v>
      </c>
      <c r="R29" s="241"/>
      <c r="S29" s="241">
        <f t="shared" si="8"/>
        <v>4.0610651312186566E-3</v>
      </c>
      <c r="T29" s="241"/>
      <c r="U29" s="7"/>
      <c r="W29" s="1" t="s">
        <v>835</v>
      </c>
      <c r="X29" s="1">
        <v>46</v>
      </c>
      <c r="Y29" s="1">
        <v>265</v>
      </c>
      <c r="Z29" s="1" t="s">
        <v>582</v>
      </c>
      <c r="AA29" s="1" t="s">
        <v>282</v>
      </c>
      <c r="AB29" s="1" t="s">
        <v>283</v>
      </c>
      <c r="AC29" s="21">
        <v>32.750999999999998</v>
      </c>
      <c r="AD29" s="21">
        <v>3.4000000000000002E-2</v>
      </c>
      <c r="AE29" s="21">
        <v>4.0610000000000004E-3</v>
      </c>
      <c r="AF29" s="21">
        <v>2.3E-5</v>
      </c>
      <c r="AG29" s="21"/>
      <c r="AH29" s="21">
        <f t="shared" si="9"/>
        <v>4.0610651312186566E-3</v>
      </c>
      <c r="AI29" s="1">
        <f t="shared" si="10"/>
        <v>265</v>
      </c>
      <c r="AJ29" s="1" t="str">
        <f t="shared" si="11"/>
        <v>N+08.10</v>
      </c>
      <c r="AK29" s="1" t="str">
        <f t="shared" si="12"/>
        <v/>
      </c>
    </row>
    <row r="30" spans="1:37" ht="13.9" x14ac:dyDescent="0.25">
      <c r="A30" s="5"/>
      <c r="B30" s="236" t="str">
        <f t="shared" si="0"/>
        <v>N+08.10</v>
      </c>
      <c r="C30" s="236"/>
      <c r="D30" s="53">
        <f t="shared" si="1"/>
        <v>46</v>
      </c>
      <c r="E30" s="236">
        <f t="shared" si="2"/>
        <v>265</v>
      </c>
      <c r="F30" s="236"/>
      <c r="G30" s="236" t="str">
        <f t="shared" si="3"/>
        <v>SY</v>
      </c>
      <c r="H30" s="236"/>
      <c r="I30" s="279">
        <f t="shared" si="4"/>
        <v>2.3E-2</v>
      </c>
      <c r="J30" s="279"/>
      <c r="K30" s="279"/>
      <c r="L30" s="279">
        <f t="shared" si="5"/>
        <v>43.741</v>
      </c>
      <c r="M30" s="279"/>
      <c r="N30" s="279"/>
      <c r="O30" s="241">
        <f t="shared" si="6"/>
        <v>1.5E-5</v>
      </c>
      <c r="P30" s="241"/>
      <c r="Q30" s="241">
        <f t="shared" si="7"/>
        <v>6.3420000000000004E-3</v>
      </c>
      <c r="R30" s="241"/>
      <c r="S30" s="241">
        <f t="shared" si="8"/>
        <v>6.3420177388588258E-3</v>
      </c>
      <c r="T30" s="241"/>
      <c r="U30" s="7"/>
      <c r="W30" s="1" t="s">
        <v>835</v>
      </c>
      <c r="X30" s="1">
        <v>46</v>
      </c>
      <c r="Y30" s="1">
        <v>265</v>
      </c>
      <c r="Z30" s="1" t="s">
        <v>583</v>
      </c>
      <c r="AA30" s="1" t="s">
        <v>282</v>
      </c>
      <c r="AB30" s="1" t="s">
        <v>283</v>
      </c>
      <c r="AC30" s="21">
        <v>2.3E-2</v>
      </c>
      <c r="AD30" s="21">
        <v>43.741</v>
      </c>
      <c r="AE30" s="21">
        <v>1.5E-5</v>
      </c>
      <c r="AF30" s="21">
        <v>6.3420000000000004E-3</v>
      </c>
      <c r="AG30" s="21"/>
      <c r="AH30" s="21">
        <f t="shared" si="9"/>
        <v>6.3420177388588258E-3</v>
      </c>
      <c r="AI30" s="1">
        <f t="shared" si="10"/>
        <v>265</v>
      </c>
      <c r="AJ30" s="1" t="str">
        <f t="shared" si="11"/>
        <v>N+08.10</v>
      </c>
      <c r="AK30" s="1" t="str">
        <f t="shared" si="12"/>
        <v/>
      </c>
    </row>
    <row r="31" spans="1:37" ht="13.9" x14ac:dyDescent="0.25">
      <c r="A31" s="5"/>
      <c r="B31" s="236" t="str">
        <f t="shared" si="0"/>
        <v>N+08.10</v>
      </c>
      <c r="C31" s="236"/>
      <c r="D31" s="53">
        <f t="shared" si="1"/>
        <v>47</v>
      </c>
      <c r="E31" s="236">
        <f t="shared" si="2"/>
        <v>270</v>
      </c>
      <c r="F31" s="236"/>
      <c r="G31" s="236" t="str">
        <f t="shared" si="3"/>
        <v>SX</v>
      </c>
      <c r="H31" s="236"/>
      <c r="I31" s="279">
        <f t="shared" si="4"/>
        <v>32.758000000000003</v>
      </c>
      <c r="J31" s="279"/>
      <c r="K31" s="279"/>
      <c r="L31" s="279">
        <f t="shared" si="5"/>
        <v>0.20300000000000001</v>
      </c>
      <c r="M31" s="279"/>
      <c r="N31" s="279"/>
      <c r="O31" s="241">
        <f t="shared" si="6"/>
        <v>4.065E-3</v>
      </c>
      <c r="P31" s="241"/>
      <c r="Q31" s="241">
        <f t="shared" si="7"/>
        <v>7.1000000000000005E-5</v>
      </c>
      <c r="R31" s="241"/>
      <c r="S31" s="241">
        <f t="shared" si="8"/>
        <v>4.0656200019185268E-3</v>
      </c>
      <c r="T31" s="241"/>
      <c r="U31" s="7"/>
      <c r="W31" s="1" t="s">
        <v>835</v>
      </c>
      <c r="X31" s="1">
        <v>47</v>
      </c>
      <c r="Y31" s="1">
        <v>270</v>
      </c>
      <c r="Z31" s="1" t="s">
        <v>582</v>
      </c>
      <c r="AA31" s="1" t="s">
        <v>282</v>
      </c>
      <c r="AB31" s="1" t="s">
        <v>283</v>
      </c>
      <c r="AC31" s="21">
        <v>32.758000000000003</v>
      </c>
      <c r="AD31" s="21">
        <v>0.20300000000000001</v>
      </c>
      <c r="AE31" s="21">
        <v>4.065E-3</v>
      </c>
      <c r="AF31" s="21">
        <v>7.1000000000000005E-5</v>
      </c>
      <c r="AG31" s="21"/>
      <c r="AH31" s="21">
        <f t="shared" si="9"/>
        <v>4.0656200019185268E-3</v>
      </c>
      <c r="AI31" s="1">
        <f t="shared" si="10"/>
        <v>270</v>
      </c>
      <c r="AJ31" s="1" t="str">
        <f t="shared" si="11"/>
        <v>N+08.10</v>
      </c>
      <c r="AK31" s="1" t="str">
        <f t="shared" si="12"/>
        <v/>
      </c>
    </row>
    <row r="32" spans="1:37" ht="13.9" x14ac:dyDescent="0.25">
      <c r="A32" s="5"/>
      <c r="B32" s="236" t="str">
        <f t="shared" si="0"/>
        <v>N+08.10</v>
      </c>
      <c r="C32" s="236"/>
      <c r="D32" s="53">
        <f t="shared" si="1"/>
        <v>47</v>
      </c>
      <c r="E32" s="236">
        <f t="shared" si="2"/>
        <v>270</v>
      </c>
      <c r="F32" s="236"/>
      <c r="G32" s="236" t="str">
        <f t="shared" si="3"/>
        <v>SY</v>
      </c>
      <c r="H32" s="236"/>
      <c r="I32" s="279">
        <f t="shared" si="4"/>
        <v>2.5000000000000001E-2</v>
      </c>
      <c r="J32" s="279"/>
      <c r="K32" s="279"/>
      <c r="L32" s="279">
        <f t="shared" si="5"/>
        <v>43.451999999999998</v>
      </c>
      <c r="M32" s="279"/>
      <c r="N32" s="279"/>
      <c r="O32" s="241">
        <f t="shared" si="6"/>
        <v>1.4E-5</v>
      </c>
      <c r="P32" s="241"/>
      <c r="Q32" s="241">
        <f t="shared" si="7"/>
        <v>6.3119999999999999E-3</v>
      </c>
      <c r="R32" s="241"/>
      <c r="S32" s="241">
        <f t="shared" si="8"/>
        <v>6.3120155259631617E-3</v>
      </c>
      <c r="T32" s="241"/>
      <c r="U32" s="7"/>
      <c r="W32" s="1" t="s">
        <v>835</v>
      </c>
      <c r="X32" s="1">
        <v>47</v>
      </c>
      <c r="Y32" s="1">
        <v>270</v>
      </c>
      <c r="Z32" s="1" t="s">
        <v>583</v>
      </c>
      <c r="AA32" s="1" t="s">
        <v>282</v>
      </c>
      <c r="AB32" s="1" t="s">
        <v>283</v>
      </c>
      <c r="AC32" s="21">
        <v>2.5000000000000001E-2</v>
      </c>
      <c r="AD32" s="21">
        <v>43.451999999999998</v>
      </c>
      <c r="AE32" s="21">
        <v>1.4E-5</v>
      </c>
      <c r="AF32" s="21">
        <v>6.3119999999999999E-3</v>
      </c>
      <c r="AG32" s="21"/>
      <c r="AH32" s="21">
        <f t="shared" si="9"/>
        <v>6.3120155259631617E-3</v>
      </c>
      <c r="AI32" s="1">
        <f t="shared" si="10"/>
        <v>270</v>
      </c>
      <c r="AJ32" s="1" t="str">
        <f t="shared" si="11"/>
        <v>N+08.10</v>
      </c>
      <c r="AK32" s="1" t="str">
        <f t="shared" si="12"/>
        <v/>
      </c>
    </row>
    <row r="33" spans="1:37" ht="13.9" x14ac:dyDescent="0.25">
      <c r="A33" s="5"/>
      <c r="B33" s="236" t="str">
        <f t="shared" si="0"/>
        <v>N+08.10</v>
      </c>
      <c r="C33" s="236"/>
      <c r="D33" s="53">
        <f t="shared" si="1"/>
        <v>48</v>
      </c>
      <c r="E33" s="236">
        <f t="shared" si="2"/>
        <v>275</v>
      </c>
      <c r="F33" s="236"/>
      <c r="G33" s="236" t="str">
        <f t="shared" si="3"/>
        <v>SX</v>
      </c>
      <c r="H33" s="236"/>
      <c r="I33" s="279">
        <f t="shared" si="4"/>
        <v>32.704000000000001</v>
      </c>
      <c r="J33" s="279"/>
      <c r="K33" s="279"/>
      <c r="L33" s="279">
        <f t="shared" si="5"/>
        <v>0.17599999999999999</v>
      </c>
      <c r="M33" s="279"/>
      <c r="N33" s="279"/>
      <c r="O33" s="241">
        <f t="shared" si="6"/>
        <v>4.3119999999999999E-3</v>
      </c>
      <c r="P33" s="241"/>
      <c r="Q33" s="241">
        <f t="shared" si="7"/>
        <v>1.03E-4</v>
      </c>
      <c r="R33" s="241"/>
      <c r="S33" s="241">
        <f t="shared" si="8"/>
        <v>4.3132299961861527E-3</v>
      </c>
      <c r="T33" s="241"/>
      <c r="U33" s="7"/>
      <c r="W33" s="1" t="s">
        <v>835</v>
      </c>
      <c r="X33" s="1">
        <v>48</v>
      </c>
      <c r="Y33" s="1">
        <v>275</v>
      </c>
      <c r="Z33" s="1" t="s">
        <v>582</v>
      </c>
      <c r="AA33" s="1" t="s">
        <v>282</v>
      </c>
      <c r="AB33" s="1" t="s">
        <v>283</v>
      </c>
      <c r="AC33" s="21">
        <v>32.704000000000001</v>
      </c>
      <c r="AD33" s="21">
        <v>0.17599999999999999</v>
      </c>
      <c r="AE33" s="21">
        <v>4.3119999999999999E-3</v>
      </c>
      <c r="AF33" s="21">
        <v>1.03E-4</v>
      </c>
      <c r="AG33" s="21"/>
      <c r="AH33" s="21">
        <f t="shared" si="9"/>
        <v>4.3132299961861527E-3</v>
      </c>
      <c r="AI33" s="1">
        <f t="shared" si="10"/>
        <v>275</v>
      </c>
      <c r="AJ33" s="1" t="str">
        <f t="shared" si="11"/>
        <v>N+08.10</v>
      </c>
      <c r="AK33" s="1" t="str">
        <f t="shared" si="12"/>
        <v/>
      </c>
    </row>
    <row r="34" spans="1:37" ht="13.9" x14ac:dyDescent="0.25">
      <c r="A34" s="5"/>
      <c r="B34" s="236" t="str">
        <f t="shared" si="0"/>
        <v>N+08.10</v>
      </c>
      <c r="C34" s="236"/>
      <c r="D34" s="53">
        <f t="shared" si="1"/>
        <v>48</v>
      </c>
      <c r="E34" s="236">
        <f t="shared" si="2"/>
        <v>275</v>
      </c>
      <c r="F34" s="236"/>
      <c r="G34" s="236" t="str">
        <f t="shared" si="3"/>
        <v>SY</v>
      </c>
      <c r="H34" s="236"/>
      <c r="I34" s="279">
        <f t="shared" si="4"/>
        <v>0.129</v>
      </c>
      <c r="J34" s="279"/>
      <c r="K34" s="279"/>
      <c r="L34" s="279">
        <f t="shared" si="5"/>
        <v>43.451000000000001</v>
      </c>
      <c r="M34" s="279"/>
      <c r="N34" s="279"/>
      <c r="O34" s="241">
        <f t="shared" si="6"/>
        <v>2.8E-5</v>
      </c>
      <c r="P34" s="241"/>
      <c r="Q34" s="241">
        <f t="shared" si="7"/>
        <v>6.2430000000000003E-3</v>
      </c>
      <c r="R34" s="241"/>
      <c r="S34" s="241">
        <f t="shared" si="8"/>
        <v>6.243062790009404E-3</v>
      </c>
      <c r="T34" s="241"/>
      <c r="U34" s="7"/>
      <c r="W34" s="1" t="s">
        <v>835</v>
      </c>
      <c r="X34" s="1">
        <v>48</v>
      </c>
      <c r="Y34" s="1">
        <v>275</v>
      </c>
      <c r="Z34" s="1" t="s">
        <v>583</v>
      </c>
      <c r="AA34" s="1" t="s">
        <v>282</v>
      </c>
      <c r="AB34" s="1" t="s">
        <v>283</v>
      </c>
      <c r="AC34" s="21">
        <v>0.129</v>
      </c>
      <c r="AD34" s="21">
        <v>43.451000000000001</v>
      </c>
      <c r="AE34" s="21">
        <v>2.8E-5</v>
      </c>
      <c r="AF34" s="21">
        <v>6.2430000000000003E-3</v>
      </c>
      <c r="AG34" s="21"/>
      <c r="AH34" s="21">
        <f t="shared" si="9"/>
        <v>6.243062790009404E-3</v>
      </c>
      <c r="AI34" s="1">
        <f t="shared" si="10"/>
        <v>275</v>
      </c>
      <c r="AJ34" s="1" t="str">
        <f t="shared" si="11"/>
        <v>N+08.10</v>
      </c>
      <c r="AK34" s="1" t="str">
        <f t="shared" si="12"/>
        <v/>
      </c>
    </row>
    <row r="35" spans="1:37" ht="13.9" x14ac:dyDescent="0.25">
      <c r="A35" s="5"/>
      <c r="B35" s="236" t="str">
        <f t="shared" si="0"/>
        <v>N+08.10</v>
      </c>
      <c r="C35" s="236"/>
      <c r="D35" s="53">
        <f t="shared" si="1"/>
        <v>49</v>
      </c>
      <c r="E35" s="236">
        <f t="shared" si="2"/>
        <v>280</v>
      </c>
      <c r="F35" s="236"/>
      <c r="G35" s="236" t="str">
        <f t="shared" si="3"/>
        <v>SX</v>
      </c>
      <c r="H35" s="236"/>
      <c r="I35" s="279">
        <f t="shared" si="4"/>
        <v>32.670999999999999</v>
      </c>
      <c r="J35" s="279"/>
      <c r="K35" s="279"/>
      <c r="L35" s="279">
        <f t="shared" si="5"/>
        <v>3.4000000000000002E-2</v>
      </c>
      <c r="M35" s="279"/>
      <c r="N35" s="279"/>
      <c r="O35" s="241">
        <f t="shared" si="6"/>
        <v>4.2240000000000003E-3</v>
      </c>
      <c r="P35" s="241"/>
      <c r="Q35" s="241">
        <f t="shared" si="7"/>
        <v>2.1999999999999999E-5</v>
      </c>
      <c r="R35" s="241"/>
      <c r="S35" s="241">
        <f t="shared" si="8"/>
        <v>4.2240572912781386E-3</v>
      </c>
      <c r="T35" s="241"/>
      <c r="U35" s="7"/>
      <c r="W35" s="1" t="s">
        <v>835</v>
      </c>
      <c r="X35" s="1">
        <v>49</v>
      </c>
      <c r="Y35" s="1">
        <v>280</v>
      </c>
      <c r="Z35" s="1" t="s">
        <v>582</v>
      </c>
      <c r="AA35" s="1" t="s">
        <v>282</v>
      </c>
      <c r="AB35" s="1" t="s">
        <v>283</v>
      </c>
      <c r="AC35" s="21">
        <v>32.670999999999999</v>
      </c>
      <c r="AD35" s="21">
        <v>3.4000000000000002E-2</v>
      </c>
      <c r="AE35" s="21">
        <v>4.2240000000000003E-3</v>
      </c>
      <c r="AF35" s="21">
        <v>2.1999999999999999E-5</v>
      </c>
      <c r="AG35" s="21"/>
      <c r="AH35" s="21">
        <f t="shared" si="9"/>
        <v>4.2240572912781386E-3</v>
      </c>
      <c r="AI35" s="1">
        <f t="shared" si="10"/>
        <v>280</v>
      </c>
      <c r="AJ35" s="1" t="str">
        <f t="shared" si="11"/>
        <v>N+08.10</v>
      </c>
      <c r="AK35" s="1" t="str">
        <f t="shared" si="12"/>
        <v/>
      </c>
    </row>
    <row r="36" spans="1:37" ht="13.9" x14ac:dyDescent="0.25">
      <c r="A36" s="5"/>
      <c r="B36" s="236" t="str">
        <f t="shared" si="0"/>
        <v>N+08.10</v>
      </c>
      <c r="C36" s="236"/>
      <c r="D36" s="53">
        <f t="shared" si="1"/>
        <v>49</v>
      </c>
      <c r="E36" s="236">
        <f t="shared" si="2"/>
        <v>280</v>
      </c>
      <c r="F36" s="236"/>
      <c r="G36" s="236" t="str">
        <f t="shared" si="3"/>
        <v>SY</v>
      </c>
      <c r="H36" s="236"/>
      <c r="I36" s="279">
        <f t="shared" si="4"/>
        <v>4.5999999999999999E-2</v>
      </c>
      <c r="J36" s="279"/>
      <c r="K36" s="279"/>
      <c r="L36" s="279">
        <f t="shared" si="5"/>
        <v>43.753</v>
      </c>
      <c r="M36" s="279"/>
      <c r="N36" s="279"/>
      <c r="O36" s="241">
        <f t="shared" si="6"/>
        <v>1.2E-5</v>
      </c>
      <c r="P36" s="241"/>
      <c r="Q36" s="241">
        <f t="shared" si="7"/>
        <v>6.2950000000000002E-3</v>
      </c>
      <c r="R36" s="241"/>
      <c r="S36" s="241">
        <f t="shared" si="8"/>
        <v>6.2950114376385371E-3</v>
      </c>
      <c r="T36" s="241"/>
      <c r="U36" s="7"/>
      <c r="W36" s="1" t="s">
        <v>835</v>
      </c>
      <c r="X36" s="1">
        <v>49</v>
      </c>
      <c r="Y36" s="1">
        <v>280</v>
      </c>
      <c r="Z36" s="1" t="s">
        <v>583</v>
      </c>
      <c r="AA36" s="1" t="s">
        <v>282</v>
      </c>
      <c r="AB36" s="1" t="s">
        <v>283</v>
      </c>
      <c r="AC36" s="21">
        <v>4.5999999999999999E-2</v>
      </c>
      <c r="AD36" s="21">
        <v>43.753</v>
      </c>
      <c r="AE36" s="21">
        <v>1.2E-5</v>
      </c>
      <c r="AF36" s="21">
        <v>6.2950000000000002E-3</v>
      </c>
      <c r="AG36" s="21"/>
      <c r="AH36" s="21">
        <f t="shared" si="9"/>
        <v>6.2950114376385371E-3</v>
      </c>
      <c r="AI36" s="1">
        <f t="shared" si="10"/>
        <v>280</v>
      </c>
      <c r="AJ36" s="1" t="str">
        <f t="shared" si="11"/>
        <v>N+08.10</v>
      </c>
      <c r="AK36" s="1" t="str">
        <f t="shared" si="12"/>
        <v/>
      </c>
    </row>
    <row r="37" spans="1:37" ht="13.9" x14ac:dyDescent="0.25">
      <c r="A37" s="5"/>
      <c r="B37" s="236" t="str">
        <f t="shared" si="0"/>
        <v>N+05.00</v>
      </c>
      <c r="C37" s="236"/>
      <c r="D37" s="53">
        <f t="shared" si="1"/>
        <v>16</v>
      </c>
      <c r="E37" s="236">
        <f t="shared" si="2"/>
        <v>284</v>
      </c>
      <c r="F37" s="236"/>
      <c r="G37" s="236" t="str">
        <f t="shared" si="3"/>
        <v>SX</v>
      </c>
      <c r="H37" s="236"/>
      <c r="I37" s="279">
        <f t="shared" si="4"/>
        <v>19.373000000000001</v>
      </c>
      <c r="J37" s="279"/>
      <c r="K37" s="279"/>
      <c r="L37" s="279">
        <f t="shared" si="5"/>
        <v>0.22600000000000001</v>
      </c>
      <c r="M37" s="279"/>
      <c r="N37" s="279"/>
      <c r="O37" s="241">
        <f t="shared" si="6"/>
        <v>3.875E-3</v>
      </c>
      <c r="P37" s="241"/>
      <c r="Q37" s="241">
        <f t="shared" si="7"/>
        <v>4.5000000000000003E-5</v>
      </c>
      <c r="R37" s="241"/>
      <c r="S37" s="241">
        <f t="shared" si="8"/>
        <v>3.8752612815138024E-3</v>
      </c>
      <c r="T37" s="241"/>
      <c r="U37" s="7"/>
      <c r="W37" s="1" t="s">
        <v>836</v>
      </c>
      <c r="X37" s="1">
        <v>16</v>
      </c>
      <c r="Y37" s="1">
        <v>284</v>
      </c>
      <c r="Z37" s="1" t="s">
        <v>582</v>
      </c>
      <c r="AA37" s="1" t="s">
        <v>282</v>
      </c>
      <c r="AB37" s="1" t="s">
        <v>283</v>
      </c>
      <c r="AC37" s="21">
        <v>19.373000000000001</v>
      </c>
      <c r="AD37" s="21">
        <v>0.22600000000000001</v>
      </c>
      <c r="AE37" s="21">
        <v>3.875E-3</v>
      </c>
      <c r="AF37" s="21">
        <v>4.5000000000000003E-5</v>
      </c>
      <c r="AG37" s="21"/>
      <c r="AH37" s="21">
        <f t="shared" si="9"/>
        <v>3.8752612815138024E-3</v>
      </c>
      <c r="AI37" s="1">
        <f t="shared" si="10"/>
        <v>284</v>
      </c>
      <c r="AJ37" s="1" t="str">
        <f t="shared" si="11"/>
        <v>N+05.00</v>
      </c>
      <c r="AK37" s="1" t="str">
        <f t="shared" si="12"/>
        <v/>
      </c>
    </row>
    <row r="38" spans="1:37" ht="13.9" x14ac:dyDescent="0.25">
      <c r="A38" s="5"/>
      <c r="B38" s="236" t="str">
        <f t="shared" si="0"/>
        <v>N+05.00</v>
      </c>
      <c r="C38" s="236"/>
      <c r="D38" s="53">
        <f t="shared" si="1"/>
        <v>16</v>
      </c>
      <c r="E38" s="236">
        <f t="shared" si="2"/>
        <v>284</v>
      </c>
      <c r="F38" s="236"/>
      <c r="G38" s="236" t="str">
        <f t="shared" si="3"/>
        <v>SY</v>
      </c>
      <c r="H38" s="236"/>
      <c r="I38" s="279">
        <f t="shared" si="4"/>
        <v>2.5999999999999999E-2</v>
      </c>
      <c r="J38" s="279"/>
      <c r="K38" s="279"/>
      <c r="L38" s="279">
        <f t="shared" si="5"/>
        <v>24.204999999999998</v>
      </c>
      <c r="M38" s="279"/>
      <c r="N38" s="279"/>
      <c r="O38" s="241">
        <f t="shared" si="6"/>
        <v>5.0000000000000004E-6</v>
      </c>
      <c r="P38" s="241"/>
      <c r="Q38" s="241">
        <f t="shared" si="7"/>
        <v>4.8409999999999998E-3</v>
      </c>
      <c r="R38" s="241"/>
      <c r="S38" s="241">
        <f t="shared" si="8"/>
        <v>4.8410025821104445E-3</v>
      </c>
      <c r="T38" s="241"/>
      <c r="U38" s="7"/>
      <c r="W38" s="1" t="s">
        <v>836</v>
      </c>
      <c r="X38" s="1">
        <v>16</v>
      </c>
      <c r="Y38" s="1">
        <v>284</v>
      </c>
      <c r="Z38" s="1" t="s">
        <v>583</v>
      </c>
      <c r="AA38" s="1" t="s">
        <v>282</v>
      </c>
      <c r="AB38" s="1" t="s">
        <v>283</v>
      </c>
      <c r="AC38" s="21">
        <v>2.5999999999999999E-2</v>
      </c>
      <c r="AD38" s="21">
        <v>24.204999999999998</v>
      </c>
      <c r="AE38" s="21">
        <v>5.0000000000000004E-6</v>
      </c>
      <c r="AF38" s="21">
        <v>4.8409999999999998E-3</v>
      </c>
      <c r="AG38" s="21"/>
      <c r="AH38" s="21">
        <f t="shared" si="9"/>
        <v>4.8410025821104445E-3</v>
      </c>
      <c r="AI38" s="1">
        <f t="shared" si="10"/>
        <v>284</v>
      </c>
      <c r="AJ38" s="1" t="str">
        <f t="shared" si="11"/>
        <v>N+05.00</v>
      </c>
      <c r="AK38" s="1" t="str">
        <f t="shared" si="12"/>
        <v/>
      </c>
    </row>
    <row r="39" spans="1:37" ht="13.9" x14ac:dyDescent="0.25">
      <c r="A39" s="5"/>
      <c r="B39" s="236" t="str">
        <f t="shared" si="0"/>
        <v>N+05.00</v>
      </c>
      <c r="C39" s="236"/>
      <c r="D39" s="53">
        <f t="shared" si="1"/>
        <v>19</v>
      </c>
      <c r="E39" s="236">
        <f t="shared" si="2"/>
        <v>229</v>
      </c>
      <c r="F39" s="236"/>
      <c r="G39" s="236" t="str">
        <f t="shared" si="3"/>
        <v>SX</v>
      </c>
      <c r="H39" s="236"/>
      <c r="I39" s="279">
        <f t="shared" si="4"/>
        <v>19.140999999999998</v>
      </c>
      <c r="J39" s="279"/>
      <c r="K39" s="279"/>
      <c r="L39" s="279">
        <f t="shared" si="5"/>
        <v>0.4</v>
      </c>
      <c r="M39" s="279"/>
      <c r="N39" s="279"/>
      <c r="O39" s="241">
        <f t="shared" si="6"/>
        <v>3.8279999999999998E-3</v>
      </c>
      <c r="P39" s="241"/>
      <c r="Q39" s="241">
        <f t="shared" si="7"/>
        <v>8.0000000000000007E-5</v>
      </c>
      <c r="R39" s="241"/>
      <c r="S39" s="241">
        <f t="shared" si="8"/>
        <v>3.8288358544079689E-3</v>
      </c>
      <c r="T39" s="241"/>
      <c r="U39" s="7"/>
      <c r="W39" s="1" t="s">
        <v>836</v>
      </c>
      <c r="X39" s="1">
        <v>19</v>
      </c>
      <c r="Y39" s="1">
        <v>229</v>
      </c>
      <c r="Z39" s="1" t="s">
        <v>582</v>
      </c>
      <c r="AA39" s="1" t="s">
        <v>282</v>
      </c>
      <c r="AB39" s="1" t="s">
        <v>283</v>
      </c>
      <c r="AC39" s="21">
        <v>19.140999999999998</v>
      </c>
      <c r="AD39" s="21">
        <v>0.4</v>
      </c>
      <c r="AE39" s="21">
        <v>3.8279999999999998E-3</v>
      </c>
      <c r="AF39" s="21">
        <v>8.0000000000000007E-5</v>
      </c>
      <c r="AG39" s="21"/>
      <c r="AH39" s="21">
        <f t="shared" si="9"/>
        <v>3.8288358544079689E-3</v>
      </c>
      <c r="AI39" s="1">
        <f t="shared" si="10"/>
        <v>229</v>
      </c>
      <c r="AJ39" s="1" t="str">
        <f t="shared" si="11"/>
        <v>N+05.00</v>
      </c>
      <c r="AK39" s="1" t="str">
        <f t="shared" si="12"/>
        <v/>
      </c>
    </row>
    <row r="40" spans="1:37" ht="13.9" x14ac:dyDescent="0.25">
      <c r="A40" s="5"/>
      <c r="B40" s="236" t="str">
        <f t="shared" si="0"/>
        <v>N+05.00</v>
      </c>
      <c r="C40" s="236"/>
      <c r="D40" s="53">
        <f t="shared" si="1"/>
        <v>19</v>
      </c>
      <c r="E40" s="236">
        <f t="shared" si="2"/>
        <v>229</v>
      </c>
      <c r="F40" s="236"/>
      <c r="G40" s="236" t="str">
        <f t="shared" si="3"/>
        <v>SY</v>
      </c>
      <c r="H40" s="236"/>
      <c r="I40" s="279">
        <f t="shared" si="4"/>
        <v>3.2000000000000001E-2</v>
      </c>
      <c r="J40" s="279"/>
      <c r="K40" s="279"/>
      <c r="L40" s="279">
        <f t="shared" si="5"/>
        <v>24.2</v>
      </c>
      <c r="M40" s="279"/>
      <c r="N40" s="279"/>
      <c r="O40" s="241">
        <f t="shared" si="6"/>
        <v>6.0000000000000002E-6</v>
      </c>
      <c r="P40" s="241"/>
      <c r="Q40" s="241">
        <f t="shared" si="7"/>
        <v>4.8399999999999997E-3</v>
      </c>
      <c r="R40" s="241"/>
      <c r="S40" s="241">
        <f t="shared" si="8"/>
        <v>4.8400037190068357E-3</v>
      </c>
      <c r="T40" s="241"/>
      <c r="U40" s="7"/>
      <c r="W40" s="1" t="s">
        <v>836</v>
      </c>
      <c r="X40" s="1">
        <v>19</v>
      </c>
      <c r="Y40" s="1">
        <v>229</v>
      </c>
      <c r="Z40" s="1" t="s">
        <v>583</v>
      </c>
      <c r="AA40" s="1" t="s">
        <v>282</v>
      </c>
      <c r="AB40" s="1" t="s">
        <v>283</v>
      </c>
      <c r="AC40" s="21">
        <v>3.2000000000000001E-2</v>
      </c>
      <c r="AD40" s="21">
        <v>24.2</v>
      </c>
      <c r="AE40" s="21">
        <v>6.0000000000000002E-6</v>
      </c>
      <c r="AF40" s="21">
        <v>4.8399999999999997E-3</v>
      </c>
      <c r="AG40" s="21"/>
      <c r="AH40" s="21">
        <f t="shared" si="9"/>
        <v>4.8400037190068357E-3</v>
      </c>
      <c r="AI40" s="1">
        <f t="shared" si="10"/>
        <v>229</v>
      </c>
      <c r="AJ40" s="1" t="str">
        <f t="shared" si="11"/>
        <v>N+05.00</v>
      </c>
      <c r="AK40" s="1" t="str">
        <f t="shared" si="12"/>
        <v/>
      </c>
    </row>
    <row r="41" spans="1:37" ht="13.9" x14ac:dyDescent="0.25">
      <c r="A41" s="5"/>
      <c r="B41" s="236" t="str">
        <f t="shared" si="0"/>
        <v>N+05.00</v>
      </c>
      <c r="C41" s="236"/>
      <c r="D41" s="53">
        <f t="shared" si="1"/>
        <v>20</v>
      </c>
      <c r="E41" s="236">
        <f t="shared" si="2"/>
        <v>234</v>
      </c>
      <c r="F41" s="236"/>
      <c r="G41" s="236" t="str">
        <f t="shared" si="3"/>
        <v>SX</v>
      </c>
      <c r="H41" s="236"/>
      <c r="I41" s="279">
        <f t="shared" si="4"/>
        <v>19.32</v>
      </c>
      <c r="J41" s="279"/>
      <c r="K41" s="279"/>
      <c r="L41" s="279">
        <f t="shared" si="5"/>
        <v>4.8000000000000001E-2</v>
      </c>
      <c r="M41" s="279"/>
      <c r="N41" s="279"/>
      <c r="O41" s="241">
        <f t="shared" si="6"/>
        <v>3.8639999999999998E-3</v>
      </c>
      <c r="P41" s="241"/>
      <c r="Q41" s="241">
        <f t="shared" si="7"/>
        <v>1.0000000000000001E-5</v>
      </c>
      <c r="R41" s="241"/>
      <c r="S41" s="241">
        <f t="shared" si="8"/>
        <v>3.8640129399369252E-3</v>
      </c>
      <c r="T41" s="241"/>
      <c r="U41" s="7"/>
      <c r="W41" s="1" t="s">
        <v>836</v>
      </c>
      <c r="X41" s="1">
        <v>20</v>
      </c>
      <c r="Y41" s="1">
        <v>234</v>
      </c>
      <c r="Z41" s="1" t="s">
        <v>582</v>
      </c>
      <c r="AA41" s="1" t="s">
        <v>282</v>
      </c>
      <c r="AB41" s="1" t="s">
        <v>283</v>
      </c>
      <c r="AC41" s="21">
        <v>19.32</v>
      </c>
      <c r="AD41" s="21">
        <v>4.8000000000000001E-2</v>
      </c>
      <c r="AE41" s="21">
        <v>3.8639999999999998E-3</v>
      </c>
      <c r="AF41" s="21">
        <v>1.0000000000000001E-5</v>
      </c>
      <c r="AG41" s="21"/>
      <c r="AH41" s="21">
        <f t="shared" si="9"/>
        <v>3.8640129399369252E-3</v>
      </c>
      <c r="AI41" s="1">
        <f t="shared" si="10"/>
        <v>234</v>
      </c>
      <c r="AJ41" s="1" t="str">
        <f t="shared" si="11"/>
        <v>N+05.00</v>
      </c>
      <c r="AK41" s="1" t="str">
        <f t="shared" si="12"/>
        <v/>
      </c>
    </row>
    <row r="42" spans="1:37" ht="13.9" x14ac:dyDescent="0.25">
      <c r="A42" s="5"/>
      <c r="B42" s="236" t="str">
        <f t="shared" si="0"/>
        <v>N+05.00</v>
      </c>
      <c r="C42" s="236"/>
      <c r="D42" s="53">
        <f t="shared" si="1"/>
        <v>20</v>
      </c>
      <c r="E42" s="236">
        <f t="shared" si="2"/>
        <v>234</v>
      </c>
      <c r="F42" s="236"/>
      <c r="G42" s="236" t="str">
        <f t="shared" si="3"/>
        <v>SY</v>
      </c>
      <c r="H42" s="236"/>
      <c r="I42" s="279">
        <f t="shared" si="4"/>
        <v>4.7E-2</v>
      </c>
      <c r="J42" s="279"/>
      <c r="K42" s="279"/>
      <c r="L42" s="279">
        <f t="shared" si="5"/>
        <v>24.277000000000001</v>
      </c>
      <c r="M42" s="279"/>
      <c r="N42" s="279"/>
      <c r="O42" s="241">
        <f t="shared" si="6"/>
        <v>9.0000000000000002E-6</v>
      </c>
      <c r="P42" s="241"/>
      <c r="Q42" s="241">
        <f t="shared" si="7"/>
        <v>4.8549999999999999E-3</v>
      </c>
      <c r="R42" s="241"/>
      <c r="S42" s="241">
        <f t="shared" si="8"/>
        <v>4.8550083419083845E-3</v>
      </c>
      <c r="T42" s="241"/>
      <c r="U42" s="7"/>
      <c r="W42" s="1" t="s">
        <v>836</v>
      </c>
      <c r="X42" s="1">
        <v>20</v>
      </c>
      <c r="Y42" s="1">
        <v>234</v>
      </c>
      <c r="Z42" s="1" t="s">
        <v>583</v>
      </c>
      <c r="AA42" s="1" t="s">
        <v>282</v>
      </c>
      <c r="AB42" s="1" t="s">
        <v>283</v>
      </c>
      <c r="AC42" s="21">
        <v>4.7E-2</v>
      </c>
      <c r="AD42" s="21">
        <v>24.277000000000001</v>
      </c>
      <c r="AE42" s="21">
        <v>9.0000000000000002E-6</v>
      </c>
      <c r="AF42" s="21">
        <v>4.8549999999999999E-3</v>
      </c>
      <c r="AG42" s="21"/>
      <c r="AH42" s="21">
        <f t="shared" si="9"/>
        <v>4.8550083419083845E-3</v>
      </c>
      <c r="AI42" s="1">
        <f t="shared" si="10"/>
        <v>234</v>
      </c>
      <c r="AJ42" s="1" t="str">
        <f t="shared" si="11"/>
        <v>N+05.00</v>
      </c>
      <c r="AK42" s="1" t="str">
        <f t="shared" si="12"/>
        <v/>
      </c>
    </row>
    <row r="43" spans="1:37" ht="13.9" x14ac:dyDescent="0.25">
      <c r="A43" s="5"/>
      <c r="B43" s="236" t="str">
        <f t="shared" si="0"/>
        <v>N+05.00</v>
      </c>
      <c r="C43" s="236"/>
      <c r="D43" s="53">
        <f t="shared" si="1"/>
        <v>26</v>
      </c>
      <c r="E43" s="236">
        <f t="shared" si="2"/>
        <v>239</v>
      </c>
      <c r="F43" s="236"/>
      <c r="G43" s="236" t="str">
        <f t="shared" si="3"/>
        <v>SX</v>
      </c>
      <c r="H43" s="236"/>
      <c r="I43" s="279">
        <f t="shared" si="4"/>
        <v>18.875</v>
      </c>
      <c r="J43" s="279"/>
      <c r="K43" s="279"/>
      <c r="L43" s="279">
        <f t="shared" si="5"/>
        <v>0.17100000000000001</v>
      </c>
      <c r="M43" s="279"/>
      <c r="N43" s="279"/>
      <c r="O43" s="241">
        <f t="shared" si="6"/>
        <v>3.7750000000000001E-3</v>
      </c>
      <c r="P43" s="241"/>
      <c r="Q43" s="241">
        <f t="shared" si="7"/>
        <v>3.4E-5</v>
      </c>
      <c r="R43" s="241"/>
      <c r="S43" s="241">
        <f t="shared" si="8"/>
        <v>3.7751531094778129E-3</v>
      </c>
      <c r="T43" s="241"/>
      <c r="U43" s="7"/>
      <c r="W43" s="1" t="s">
        <v>836</v>
      </c>
      <c r="X43" s="1">
        <v>26</v>
      </c>
      <c r="Y43" s="1">
        <v>239</v>
      </c>
      <c r="Z43" s="1" t="s">
        <v>582</v>
      </c>
      <c r="AA43" s="1" t="s">
        <v>282</v>
      </c>
      <c r="AB43" s="1" t="s">
        <v>283</v>
      </c>
      <c r="AC43" s="21">
        <v>18.875</v>
      </c>
      <c r="AD43" s="21">
        <v>0.17100000000000001</v>
      </c>
      <c r="AE43" s="21">
        <v>3.7750000000000001E-3</v>
      </c>
      <c r="AF43" s="21">
        <v>3.4E-5</v>
      </c>
      <c r="AG43" s="21"/>
      <c r="AH43" s="21">
        <f t="shared" si="9"/>
        <v>3.7751531094778129E-3</v>
      </c>
      <c r="AI43" s="1">
        <f t="shared" si="10"/>
        <v>239</v>
      </c>
      <c r="AJ43" s="1" t="str">
        <f t="shared" si="11"/>
        <v>N+05.00</v>
      </c>
      <c r="AK43" s="1" t="str">
        <f t="shared" si="12"/>
        <v/>
      </c>
    </row>
    <row r="44" spans="1:37" ht="13.9" x14ac:dyDescent="0.25">
      <c r="A44" s="5"/>
      <c r="B44" s="236" t="str">
        <f t="shared" si="0"/>
        <v>N+05.00</v>
      </c>
      <c r="C44" s="236"/>
      <c r="D44" s="53">
        <f t="shared" si="1"/>
        <v>26</v>
      </c>
      <c r="E44" s="236">
        <f t="shared" si="2"/>
        <v>239</v>
      </c>
      <c r="F44" s="236"/>
      <c r="G44" s="236" t="str">
        <f t="shared" si="3"/>
        <v>SY</v>
      </c>
      <c r="H44" s="236"/>
      <c r="I44" s="279">
        <f t="shared" si="4"/>
        <v>5.8999999999999997E-2</v>
      </c>
      <c r="J44" s="279"/>
      <c r="K44" s="279"/>
      <c r="L44" s="279">
        <f t="shared" si="5"/>
        <v>24.138000000000002</v>
      </c>
      <c r="M44" s="279"/>
      <c r="N44" s="279"/>
      <c r="O44" s="241">
        <f t="shared" si="6"/>
        <v>1.2E-5</v>
      </c>
      <c r="P44" s="241"/>
      <c r="Q44" s="241">
        <f t="shared" si="7"/>
        <v>4.8279999999999998E-3</v>
      </c>
      <c r="R44" s="241"/>
      <c r="S44" s="241">
        <f t="shared" si="8"/>
        <v>4.8280149129844244E-3</v>
      </c>
      <c r="T44" s="241"/>
      <c r="U44" s="7"/>
      <c r="W44" s="1" t="s">
        <v>836</v>
      </c>
      <c r="X44" s="1">
        <v>26</v>
      </c>
      <c r="Y44" s="1">
        <v>239</v>
      </c>
      <c r="Z44" s="1" t="s">
        <v>583</v>
      </c>
      <c r="AA44" s="1" t="s">
        <v>282</v>
      </c>
      <c r="AB44" s="1" t="s">
        <v>283</v>
      </c>
      <c r="AC44" s="21">
        <v>5.8999999999999997E-2</v>
      </c>
      <c r="AD44" s="21">
        <v>24.138000000000002</v>
      </c>
      <c r="AE44" s="21">
        <v>1.2E-5</v>
      </c>
      <c r="AF44" s="21">
        <v>4.8279999999999998E-3</v>
      </c>
      <c r="AG44" s="21"/>
      <c r="AH44" s="21">
        <f t="shared" si="9"/>
        <v>4.8280149129844244E-3</v>
      </c>
      <c r="AI44" s="1">
        <f t="shared" si="10"/>
        <v>239</v>
      </c>
      <c r="AJ44" s="1" t="str">
        <f t="shared" si="11"/>
        <v>N+05.00</v>
      </c>
      <c r="AK44" s="1" t="str">
        <f t="shared" si="12"/>
        <v/>
      </c>
    </row>
    <row r="45" spans="1:37" ht="13.9" x14ac:dyDescent="0.25">
      <c r="A45" s="5"/>
      <c r="B45" s="236" t="str">
        <f t="shared" si="0"/>
        <v>N+05.00</v>
      </c>
      <c r="C45" s="236"/>
      <c r="D45" s="53">
        <f t="shared" si="1"/>
        <v>42</v>
      </c>
      <c r="E45" s="236">
        <f t="shared" si="2"/>
        <v>244</v>
      </c>
      <c r="F45" s="236"/>
      <c r="G45" s="236" t="str">
        <f t="shared" si="3"/>
        <v>SX</v>
      </c>
      <c r="H45" s="236"/>
      <c r="I45" s="279">
        <f t="shared" si="4"/>
        <v>20.196000000000002</v>
      </c>
      <c r="J45" s="279"/>
      <c r="K45" s="279"/>
      <c r="L45" s="279">
        <f t="shared" si="5"/>
        <v>0.13400000000000001</v>
      </c>
      <c r="M45" s="279"/>
      <c r="N45" s="279"/>
      <c r="O45" s="241">
        <f t="shared" si="6"/>
        <v>4.0390000000000001E-3</v>
      </c>
      <c r="P45" s="241"/>
      <c r="Q45" s="241">
        <f t="shared" si="7"/>
        <v>2.6999999999999999E-5</v>
      </c>
      <c r="R45" s="241"/>
      <c r="S45" s="241">
        <f t="shared" si="8"/>
        <v>4.0390902441020055E-3</v>
      </c>
      <c r="T45" s="241"/>
      <c r="U45" s="8"/>
      <c r="W45" s="1" t="s">
        <v>836</v>
      </c>
      <c r="X45" s="1">
        <v>42</v>
      </c>
      <c r="Y45" s="1">
        <v>244</v>
      </c>
      <c r="Z45" s="1" t="s">
        <v>582</v>
      </c>
      <c r="AA45" s="1" t="s">
        <v>282</v>
      </c>
      <c r="AB45" s="1" t="s">
        <v>283</v>
      </c>
      <c r="AC45" s="21">
        <v>20.196000000000002</v>
      </c>
      <c r="AD45" s="21">
        <v>0.13400000000000001</v>
      </c>
      <c r="AE45" s="21">
        <v>4.0390000000000001E-3</v>
      </c>
      <c r="AF45" s="21">
        <v>2.6999999999999999E-5</v>
      </c>
      <c r="AG45" s="21"/>
      <c r="AH45" s="21">
        <f t="shared" si="9"/>
        <v>4.0390902441020055E-3</v>
      </c>
      <c r="AI45" s="1">
        <f t="shared" si="10"/>
        <v>244</v>
      </c>
      <c r="AJ45" s="1" t="str">
        <f t="shared" si="11"/>
        <v>N+05.00</v>
      </c>
      <c r="AK45" s="1" t="str">
        <f t="shared" si="12"/>
        <v/>
      </c>
    </row>
    <row r="46" spans="1:37" ht="13.9" x14ac:dyDescent="0.25">
      <c r="A46" s="5"/>
      <c r="B46" s="236" t="str">
        <f t="shared" si="0"/>
        <v>N+05.00</v>
      </c>
      <c r="C46" s="236"/>
      <c r="D46" s="53">
        <f t="shared" si="1"/>
        <v>42</v>
      </c>
      <c r="E46" s="236">
        <f t="shared" si="2"/>
        <v>244</v>
      </c>
      <c r="F46" s="236"/>
      <c r="G46" s="236" t="str">
        <f t="shared" si="3"/>
        <v>SY</v>
      </c>
      <c r="H46" s="236"/>
      <c r="I46" s="279">
        <f t="shared" si="4"/>
        <v>5.8999999999999997E-2</v>
      </c>
      <c r="J46" s="279"/>
      <c r="K46" s="279"/>
      <c r="L46" s="279">
        <f t="shared" si="5"/>
        <v>23.902000000000001</v>
      </c>
      <c r="M46" s="279"/>
      <c r="N46" s="279"/>
      <c r="O46" s="241">
        <f t="shared" si="6"/>
        <v>1.2E-5</v>
      </c>
      <c r="P46" s="241"/>
      <c r="Q46" s="241">
        <f t="shared" si="7"/>
        <v>4.7800000000000004E-3</v>
      </c>
      <c r="R46" s="241"/>
      <c r="S46" s="241">
        <f t="shared" si="8"/>
        <v>4.7800150627377736E-3</v>
      </c>
      <c r="T46" s="241"/>
      <c r="U46" s="7"/>
      <c r="W46" s="1" t="s">
        <v>836</v>
      </c>
      <c r="X46" s="1">
        <v>42</v>
      </c>
      <c r="Y46" s="1">
        <v>244</v>
      </c>
      <c r="Z46" s="1" t="s">
        <v>583</v>
      </c>
      <c r="AA46" s="1" t="s">
        <v>282</v>
      </c>
      <c r="AB46" s="1" t="s">
        <v>283</v>
      </c>
      <c r="AC46" s="21">
        <v>5.8999999999999997E-2</v>
      </c>
      <c r="AD46" s="21">
        <v>23.902000000000001</v>
      </c>
      <c r="AE46" s="21">
        <v>1.2E-5</v>
      </c>
      <c r="AF46" s="21">
        <v>4.7800000000000004E-3</v>
      </c>
      <c r="AG46" s="21"/>
      <c r="AH46" s="21">
        <f t="shared" si="9"/>
        <v>4.7800150627377736E-3</v>
      </c>
      <c r="AI46" s="1">
        <f t="shared" si="10"/>
        <v>244</v>
      </c>
      <c r="AJ46" s="1" t="str">
        <f t="shared" si="11"/>
        <v>N+05.00</v>
      </c>
      <c r="AK46" s="1" t="str">
        <f t="shared" si="12"/>
        <v/>
      </c>
    </row>
    <row r="47" spans="1:37" ht="13.9" x14ac:dyDescent="0.25">
      <c r="A47" s="5"/>
      <c r="B47" s="236" t="str">
        <f t="shared" si="0"/>
        <v>N+05.00</v>
      </c>
      <c r="C47" s="236"/>
      <c r="D47" s="53">
        <f t="shared" si="1"/>
        <v>43</v>
      </c>
      <c r="E47" s="236">
        <f t="shared" si="2"/>
        <v>249</v>
      </c>
      <c r="F47" s="236"/>
      <c r="G47" s="236" t="str">
        <f t="shared" si="3"/>
        <v>SX</v>
      </c>
      <c r="H47" s="236"/>
      <c r="I47" s="279">
        <f t="shared" si="4"/>
        <v>20.175000000000001</v>
      </c>
      <c r="J47" s="279"/>
      <c r="K47" s="279"/>
      <c r="L47" s="279">
        <f t="shared" si="5"/>
        <v>5.8000000000000003E-2</v>
      </c>
      <c r="M47" s="279"/>
      <c r="N47" s="279"/>
      <c r="O47" s="241">
        <f t="shared" si="6"/>
        <v>4.0350000000000004E-3</v>
      </c>
      <c r="P47" s="241"/>
      <c r="Q47" s="241">
        <f t="shared" si="7"/>
        <v>1.2E-5</v>
      </c>
      <c r="R47" s="241"/>
      <c r="S47" s="241">
        <f t="shared" si="8"/>
        <v>4.035017843826717E-3</v>
      </c>
      <c r="T47" s="241"/>
      <c r="U47" s="7"/>
      <c r="W47" s="1" t="s">
        <v>836</v>
      </c>
      <c r="X47" s="1">
        <v>43</v>
      </c>
      <c r="Y47" s="1">
        <v>249</v>
      </c>
      <c r="Z47" s="1" t="s">
        <v>582</v>
      </c>
      <c r="AA47" s="1" t="s">
        <v>282</v>
      </c>
      <c r="AB47" s="1" t="s">
        <v>283</v>
      </c>
      <c r="AC47" s="21">
        <v>20.175000000000001</v>
      </c>
      <c r="AD47" s="21">
        <v>5.8000000000000003E-2</v>
      </c>
      <c r="AE47" s="21">
        <v>4.0350000000000004E-3</v>
      </c>
      <c r="AF47" s="21">
        <v>1.2E-5</v>
      </c>
      <c r="AG47" s="21"/>
      <c r="AH47" s="21">
        <f t="shared" si="9"/>
        <v>4.035017843826717E-3</v>
      </c>
      <c r="AI47" s="1">
        <f t="shared" si="10"/>
        <v>249</v>
      </c>
      <c r="AJ47" s="1" t="str">
        <f t="shared" si="11"/>
        <v>N+05.00</v>
      </c>
      <c r="AK47" s="1" t="str">
        <f t="shared" si="12"/>
        <v/>
      </c>
    </row>
    <row r="48" spans="1:37" ht="13.9" x14ac:dyDescent="0.25">
      <c r="A48" s="5"/>
      <c r="B48" s="236" t="str">
        <f t="shared" si="0"/>
        <v>N+05.00</v>
      </c>
      <c r="C48" s="236"/>
      <c r="D48" s="53">
        <f t="shared" si="1"/>
        <v>43</v>
      </c>
      <c r="E48" s="236">
        <f t="shared" si="2"/>
        <v>249</v>
      </c>
      <c r="F48" s="236"/>
      <c r="G48" s="236" t="str">
        <f t="shared" si="3"/>
        <v>SY</v>
      </c>
      <c r="H48" s="236"/>
      <c r="I48" s="279">
        <f t="shared" si="4"/>
        <v>4.4999999999999998E-2</v>
      </c>
      <c r="J48" s="279"/>
      <c r="K48" s="279"/>
      <c r="L48" s="279">
        <f t="shared" si="5"/>
        <v>24.113</v>
      </c>
      <c r="M48" s="279"/>
      <c r="N48" s="279"/>
      <c r="O48" s="241">
        <f t="shared" si="6"/>
        <v>9.0000000000000002E-6</v>
      </c>
      <c r="P48" s="241"/>
      <c r="Q48" s="241">
        <f t="shared" si="7"/>
        <v>4.823E-3</v>
      </c>
      <c r="R48" s="241"/>
      <c r="S48" s="241">
        <f t="shared" si="8"/>
        <v>4.8230083972558039E-3</v>
      </c>
      <c r="T48" s="241"/>
      <c r="U48" s="7"/>
      <c r="W48" s="1" t="s">
        <v>836</v>
      </c>
      <c r="X48" s="1">
        <v>43</v>
      </c>
      <c r="Y48" s="1">
        <v>249</v>
      </c>
      <c r="Z48" s="1" t="s">
        <v>583</v>
      </c>
      <c r="AA48" s="1" t="s">
        <v>282</v>
      </c>
      <c r="AB48" s="1" t="s">
        <v>283</v>
      </c>
      <c r="AC48" s="21">
        <v>4.4999999999999998E-2</v>
      </c>
      <c r="AD48" s="21">
        <v>24.113</v>
      </c>
      <c r="AE48" s="21">
        <v>9.0000000000000002E-6</v>
      </c>
      <c r="AF48" s="21">
        <v>4.823E-3</v>
      </c>
      <c r="AG48" s="21"/>
      <c r="AH48" s="21">
        <f t="shared" si="9"/>
        <v>4.8230083972558039E-3</v>
      </c>
      <c r="AI48" s="1">
        <f t="shared" si="10"/>
        <v>249</v>
      </c>
      <c r="AJ48" s="1" t="str">
        <f t="shared" si="11"/>
        <v>N+05.00</v>
      </c>
      <c r="AK48" s="1" t="str">
        <f t="shared" si="12"/>
        <v/>
      </c>
    </row>
    <row r="49" spans="1:37" ht="13.9" x14ac:dyDescent="0.25">
      <c r="A49" s="5"/>
      <c r="B49" s="236" t="str">
        <f t="shared" si="0"/>
        <v>N+05.00</v>
      </c>
      <c r="C49" s="236"/>
      <c r="D49" s="53">
        <f t="shared" si="1"/>
        <v>44</v>
      </c>
      <c r="E49" s="236">
        <f t="shared" si="2"/>
        <v>254</v>
      </c>
      <c r="F49" s="236"/>
      <c r="G49" s="236" t="str">
        <f t="shared" si="3"/>
        <v>SX</v>
      </c>
      <c r="H49" s="236"/>
      <c r="I49" s="279">
        <f t="shared" si="4"/>
        <v>20.155000000000001</v>
      </c>
      <c r="J49" s="279"/>
      <c r="K49" s="279"/>
      <c r="L49" s="279">
        <f t="shared" si="5"/>
        <v>0.23499999999999999</v>
      </c>
      <c r="M49" s="279"/>
      <c r="N49" s="279"/>
      <c r="O49" s="241">
        <f t="shared" si="6"/>
        <v>4.0309999999999999E-3</v>
      </c>
      <c r="P49" s="241"/>
      <c r="Q49" s="241">
        <f t="shared" si="7"/>
        <v>4.6999999999999997E-5</v>
      </c>
      <c r="R49" s="241"/>
      <c r="S49" s="241">
        <f t="shared" si="8"/>
        <v>4.0312739921766665E-3</v>
      </c>
      <c r="T49" s="241"/>
      <c r="U49" s="7"/>
      <c r="W49" s="1" t="s">
        <v>836</v>
      </c>
      <c r="X49" s="1">
        <v>44</v>
      </c>
      <c r="Y49" s="1">
        <v>254</v>
      </c>
      <c r="Z49" s="1" t="s">
        <v>582</v>
      </c>
      <c r="AA49" s="1" t="s">
        <v>282</v>
      </c>
      <c r="AB49" s="1" t="s">
        <v>283</v>
      </c>
      <c r="AC49" s="21">
        <v>20.155000000000001</v>
      </c>
      <c r="AD49" s="21">
        <v>0.23499999999999999</v>
      </c>
      <c r="AE49" s="21">
        <v>4.0309999999999999E-3</v>
      </c>
      <c r="AF49" s="21">
        <v>4.6999999999999997E-5</v>
      </c>
      <c r="AG49" s="21"/>
      <c r="AH49" s="21">
        <f t="shared" si="9"/>
        <v>4.0312739921766665E-3</v>
      </c>
      <c r="AI49" s="1">
        <f t="shared" si="10"/>
        <v>254</v>
      </c>
      <c r="AJ49" s="1" t="str">
        <f t="shared" si="11"/>
        <v>N+05.00</v>
      </c>
      <c r="AK49" s="1" t="str">
        <f t="shared" si="12"/>
        <v/>
      </c>
    </row>
    <row r="50" spans="1:37" ht="13.9" x14ac:dyDescent="0.25">
      <c r="A50" s="5"/>
      <c r="B50" s="236" t="str">
        <f t="shared" si="0"/>
        <v>N+05.00</v>
      </c>
      <c r="C50" s="236"/>
      <c r="D50" s="53">
        <f t="shared" si="1"/>
        <v>44</v>
      </c>
      <c r="E50" s="236">
        <f t="shared" si="2"/>
        <v>254</v>
      </c>
      <c r="F50" s="236"/>
      <c r="G50" s="236" t="str">
        <f t="shared" si="3"/>
        <v>SY</v>
      </c>
      <c r="H50" s="236"/>
      <c r="I50" s="279">
        <f t="shared" si="4"/>
        <v>3.3000000000000002E-2</v>
      </c>
      <c r="J50" s="279"/>
      <c r="K50" s="279"/>
      <c r="L50" s="279">
        <f t="shared" si="5"/>
        <v>23.988</v>
      </c>
      <c r="M50" s="279"/>
      <c r="N50" s="279"/>
      <c r="O50" s="241">
        <f t="shared" si="6"/>
        <v>6.9999999999999999E-6</v>
      </c>
      <c r="P50" s="241"/>
      <c r="Q50" s="241">
        <f t="shared" si="7"/>
        <v>4.7980000000000002E-3</v>
      </c>
      <c r="R50" s="241"/>
      <c r="S50" s="241">
        <f t="shared" si="8"/>
        <v>4.7980051062915721E-3</v>
      </c>
      <c r="T50" s="241"/>
      <c r="U50" s="7"/>
      <c r="W50" s="1" t="s">
        <v>836</v>
      </c>
      <c r="X50" s="1">
        <v>44</v>
      </c>
      <c r="Y50" s="1">
        <v>254</v>
      </c>
      <c r="Z50" s="1" t="s">
        <v>583</v>
      </c>
      <c r="AA50" s="1" t="s">
        <v>282</v>
      </c>
      <c r="AB50" s="1" t="s">
        <v>283</v>
      </c>
      <c r="AC50" s="21">
        <v>3.3000000000000002E-2</v>
      </c>
      <c r="AD50" s="21">
        <v>23.988</v>
      </c>
      <c r="AE50" s="21">
        <v>6.9999999999999999E-6</v>
      </c>
      <c r="AF50" s="21">
        <v>4.7980000000000002E-3</v>
      </c>
      <c r="AG50" s="21"/>
      <c r="AH50" s="21">
        <f t="shared" si="9"/>
        <v>4.7980051062915721E-3</v>
      </c>
      <c r="AI50" s="1">
        <f t="shared" si="10"/>
        <v>254</v>
      </c>
      <c r="AJ50" s="1" t="str">
        <f t="shared" si="11"/>
        <v>N+05.00</v>
      </c>
      <c r="AK50" s="1" t="str">
        <f t="shared" si="12"/>
        <v/>
      </c>
    </row>
    <row r="51" spans="1:37" ht="13.9" x14ac:dyDescent="0.25">
      <c r="A51" s="5"/>
      <c r="B51" s="236" t="str">
        <f t="shared" si="0"/>
        <v>N+05.00</v>
      </c>
      <c r="C51" s="236"/>
      <c r="D51" s="53">
        <f t="shared" si="1"/>
        <v>45</v>
      </c>
      <c r="E51" s="236">
        <f t="shared" si="2"/>
        <v>259</v>
      </c>
      <c r="F51" s="236"/>
      <c r="G51" s="236" t="str">
        <f t="shared" si="3"/>
        <v>SX</v>
      </c>
      <c r="H51" s="236"/>
      <c r="I51" s="279">
        <f t="shared" si="4"/>
        <v>20.202000000000002</v>
      </c>
      <c r="J51" s="279"/>
      <c r="K51" s="279"/>
      <c r="L51" s="279">
        <f t="shared" si="5"/>
        <v>9.9000000000000005E-2</v>
      </c>
      <c r="M51" s="279"/>
      <c r="N51" s="279"/>
      <c r="O51" s="241">
        <f>AE51</f>
        <v>4.0400000000000002E-3</v>
      </c>
      <c r="P51" s="241"/>
      <c r="Q51" s="241">
        <f t="shared" si="7"/>
        <v>2.0000000000000002E-5</v>
      </c>
      <c r="R51" s="241"/>
      <c r="S51" s="241">
        <f t="shared" si="8"/>
        <v>4.0400495046471899E-3</v>
      </c>
      <c r="T51" s="241"/>
      <c r="U51" s="7"/>
      <c r="W51" s="1" t="s">
        <v>836</v>
      </c>
      <c r="X51" s="1">
        <v>45</v>
      </c>
      <c r="Y51" s="1">
        <v>259</v>
      </c>
      <c r="Z51" s="1" t="s">
        <v>582</v>
      </c>
      <c r="AA51" s="1" t="s">
        <v>282</v>
      </c>
      <c r="AB51" s="1" t="s">
        <v>283</v>
      </c>
      <c r="AC51" s="21">
        <v>20.202000000000002</v>
      </c>
      <c r="AD51" s="21">
        <v>9.9000000000000005E-2</v>
      </c>
      <c r="AE51" s="21">
        <v>4.0400000000000002E-3</v>
      </c>
      <c r="AF51" s="21">
        <v>2.0000000000000002E-5</v>
      </c>
      <c r="AG51" s="21"/>
      <c r="AH51" s="21">
        <f t="shared" si="9"/>
        <v>4.0400495046471899E-3</v>
      </c>
      <c r="AI51" s="1">
        <f t="shared" si="10"/>
        <v>259</v>
      </c>
      <c r="AJ51" s="1" t="str">
        <f t="shared" si="11"/>
        <v>N+05.00</v>
      </c>
      <c r="AK51" s="1" t="str">
        <f t="shared" si="12"/>
        <v/>
      </c>
    </row>
    <row r="52" spans="1:37" ht="13.9" x14ac:dyDescent="0.25">
      <c r="A52" s="5"/>
      <c r="B52" s="236" t="str">
        <f t="shared" si="0"/>
        <v>N+05.00</v>
      </c>
      <c r="C52" s="236"/>
      <c r="D52" s="53">
        <f t="shared" si="1"/>
        <v>45</v>
      </c>
      <c r="E52" s="236">
        <f t="shared" si="2"/>
        <v>259</v>
      </c>
      <c r="F52" s="236"/>
      <c r="G52" s="236" t="str">
        <f t="shared" si="3"/>
        <v>SY</v>
      </c>
      <c r="H52" s="236"/>
      <c r="I52" s="279">
        <f t="shared" si="4"/>
        <v>3.4000000000000002E-2</v>
      </c>
      <c r="J52" s="279"/>
      <c r="K52" s="279"/>
      <c r="L52" s="279">
        <f t="shared" si="5"/>
        <v>23.991</v>
      </c>
      <c r="M52" s="279"/>
      <c r="N52" s="279"/>
      <c r="O52" s="241">
        <f t="shared" si="6"/>
        <v>6.9999999999999999E-6</v>
      </c>
      <c r="P52" s="241"/>
      <c r="Q52" s="241">
        <f t="shared" si="7"/>
        <v>4.7980000000000002E-3</v>
      </c>
      <c r="R52" s="241"/>
      <c r="S52" s="241">
        <f t="shared" si="8"/>
        <v>4.7980051062915721E-3</v>
      </c>
      <c r="T52" s="241"/>
      <c r="U52" s="7"/>
      <c r="W52" s="1" t="s">
        <v>836</v>
      </c>
      <c r="X52" s="1">
        <v>45</v>
      </c>
      <c r="Y52" s="1">
        <v>259</v>
      </c>
      <c r="Z52" s="1" t="s">
        <v>583</v>
      </c>
      <c r="AA52" s="1" t="s">
        <v>282</v>
      </c>
      <c r="AB52" s="1" t="s">
        <v>283</v>
      </c>
      <c r="AC52" s="21">
        <v>3.4000000000000002E-2</v>
      </c>
      <c r="AD52" s="21">
        <v>23.991</v>
      </c>
      <c r="AE52" s="21">
        <v>6.9999999999999999E-6</v>
      </c>
      <c r="AF52" s="21">
        <v>4.7980000000000002E-3</v>
      </c>
      <c r="AG52" s="21"/>
      <c r="AH52" s="21">
        <f t="shared" si="9"/>
        <v>4.7980051062915721E-3</v>
      </c>
      <c r="AI52" s="1">
        <f t="shared" si="10"/>
        <v>259</v>
      </c>
      <c r="AJ52" s="1" t="str">
        <f t="shared" si="11"/>
        <v>N+05.00</v>
      </c>
      <c r="AK52" s="1" t="str">
        <f t="shared" si="12"/>
        <v/>
      </c>
    </row>
    <row r="53" spans="1:37" ht="13.9" x14ac:dyDescent="0.25">
      <c r="A53" s="5"/>
      <c r="B53" s="236" t="str">
        <f t="shared" si="0"/>
        <v>N+05.00</v>
      </c>
      <c r="C53" s="236"/>
      <c r="D53" s="53">
        <f t="shared" si="1"/>
        <v>46</v>
      </c>
      <c r="E53" s="236">
        <f t="shared" si="2"/>
        <v>264</v>
      </c>
      <c r="F53" s="236"/>
      <c r="G53" s="236" t="str">
        <f t="shared" si="3"/>
        <v>SX</v>
      </c>
      <c r="H53" s="236"/>
      <c r="I53" s="279">
        <f t="shared" si="4"/>
        <v>20.192</v>
      </c>
      <c r="J53" s="279"/>
      <c r="K53" s="279"/>
      <c r="L53" s="279">
        <f t="shared" si="5"/>
        <v>0.05</v>
      </c>
      <c r="M53" s="279"/>
      <c r="N53" s="279"/>
      <c r="O53" s="241">
        <f t="shared" si="6"/>
        <v>4.0379999999999999E-3</v>
      </c>
      <c r="P53" s="241"/>
      <c r="Q53" s="241">
        <f t="shared" si="7"/>
        <v>1.0000000000000001E-5</v>
      </c>
      <c r="R53" s="241"/>
      <c r="S53" s="241">
        <f t="shared" si="8"/>
        <v>4.0380123823485232E-3</v>
      </c>
      <c r="T53" s="241"/>
      <c r="U53" s="7"/>
      <c r="W53" s="1" t="s">
        <v>836</v>
      </c>
      <c r="X53" s="1">
        <v>46</v>
      </c>
      <c r="Y53" s="1">
        <v>264</v>
      </c>
      <c r="Z53" s="1" t="s">
        <v>582</v>
      </c>
      <c r="AA53" s="1" t="s">
        <v>282</v>
      </c>
      <c r="AB53" s="1" t="s">
        <v>283</v>
      </c>
      <c r="AC53" s="21">
        <v>20.192</v>
      </c>
      <c r="AD53" s="21">
        <v>0.05</v>
      </c>
      <c r="AE53" s="21">
        <v>4.0379999999999999E-3</v>
      </c>
      <c r="AF53" s="21">
        <v>1.0000000000000001E-5</v>
      </c>
      <c r="AG53" s="21"/>
      <c r="AH53" s="21">
        <f t="shared" si="9"/>
        <v>4.0380123823485232E-3</v>
      </c>
      <c r="AI53" s="1">
        <f t="shared" si="10"/>
        <v>264</v>
      </c>
      <c r="AJ53" s="1" t="str">
        <f t="shared" si="11"/>
        <v>N+05.00</v>
      </c>
      <c r="AK53" s="1" t="str">
        <f t="shared" si="12"/>
        <v/>
      </c>
    </row>
    <row r="54" spans="1:37" ht="13.9" x14ac:dyDescent="0.25">
      <c r="A54" s="5"/>
      <c r="B54" s="236" t="str">
        <f t="shared" si="0"/>
        <v>N+05.00</v>
      </c>
      <c r="C54" s="236"/>
      <c r="D54" s="53">
        <f t="shared" si="1"/>
        <v>46</v>
      </c>
      <c r="E54" s="236">
        <f t="shared" si="2"/>
        <v>264</v>
      </c>
      <c r="F54" s="236"/>
      <c r="G54" s="236" t="str">
        <f t="shared" si="3"/>
        <v>SY</v>
      </c>
      <c r="H54" s="236"/>
      <c r="I54" s="279">
        <f t="shared" si="4"/>
        <v>2.7E-2</v>
      </c>
      <c r="J54" s="279"/>
      <c r="K54" s="279"/>
      <c r="L54" s="279">
        <f t="shared" si="5"/>
        <v>24.106999999999999</v>
      </c>
      <c r="M54" s="279"/>
      <c r="N54" s="279"/>
      <c r="O54" s="241">
        <f t="shared" si="6"/>
        <v>5.0000000000000004E-6</v>
      </c>
      <c r="P54" s="241"/>
      <c r="Q54" s="241">
        <f t="shared" si="7"/>
        <v>4.8209999999999998E-3</v>
      </c>
      <c r="R54" s="241"/>
      <c r="S54" s="241">
        <f t="shared" si="8"/>
        <v>4.821002592822368E-3</v>
      </c>
      <c r="T54" s="241"/>
      <c r="U54" s="7"/>
      <c r="W54" s="1" t="s">
        <v>836</v>
      </c>
      <c r="X54" s="1">
        <v>46</v>
      </c>
      <c r="Y54" s="1">
        <v>264</v>
      </c>
      <c r="Z54" s="1" t="s">
        <v>583</v>
      </c>
      <c r="AA54" s="1" t="s">
        <v>282</v>
      </c>
      <c r="AB54" s="1" t="s">
        <v>283</v>
      </c>
      <c r="AC54" s="21">
        <v>2.7E-2</v>
      </c>
      <c r="AD54" s="21">
        <v>24.106999999999999</v>
      </c>
      <c r="AE54" s="21">
        <v>5.0000000000000004E-6</v>
      </c>
      <c r="AF54" s="21">
        <v>4.8209999999999998E-3</v>
      </c>
      <c r="AG54" s="21"/>
      <c r="AH54" s="21">
        <f t="shared" si="9"/>
        <v>4.821002592822368E-3</v>
      </c>
      <c r="AI54" s="1">
        <f t="shared" si="10"/>
        <v>264</v>
      </c>
      <c r="AJ54" s="1" t="str">
        <f t="shared" si="11"/>
        <v>N+05.00</v>
      </c>
      <c r="AK54" s="1" t="str">
        <f t="shared" si="12"/>
        <v/>
      </c>
    </row>
    <row r="55" spans="1:37" ht="13.9" x14ac:dyDescent="0.25">
      <c r="A55" s="5"/>
      <c r="B55" s="236" t="str">
        <f t="shared" si="0"/>
        <v>N+05.00</v>
      </c>
      <c r="C55" s="236"/>
      <c r="D55" s="53">
        <f t="shared" si="1"/>
        <v>47</v>
      </c>
      <c r="E55" s="236">
        <f t="shared" si="2"/>
        <v>269</v>
      </c>
      <c r="F55" s="236"/>
      <c r="G55" s="236" t="str">
        <f t="shared" si="3"/>
        <v>SX</v>
      </c>
      <c r="H55" s="236"/>
      <c r="I55" s="279">
        <f t="shared" si="4"/>
        <v>20.187000000000001</v>
      </c>
      <c r="J55" s="279"/>
      <c r="K55" s="279"/>
      <c r="L55" s="279">
        <f t="shared" si="5"/>
        <v>0.112</v>
      </c>
      <c r="M55" s="279"/>
      <c r="N55" s="279"/>
      <c r="O55" s="241">
        <f t="shared" si="6"/>
        <v>4.0369999999999998E-3</v>
      </c>
      <c r="P55" s="241"/>
      <c r="Q55" s="241">
        <f t="shared" si="7"/>
        <v>2.1999999999999999E-5</v>
      </c>
      <c r="R55" s="241"/>
      <c r="S55" s="241">
        <f t="shared" si="8"/>
        <v>4.0370599450590275E-3</v>
      </c>
      <c r="T55" s="241"/>
      <c r="U55" s="7"/>
      <c r="W55" s="1" t="s">
        <v>836</v>
      </c>
      <c r="X55" s="1">
        <v>47</v>
      </c>
      <c r="Y55" s="1">
        <v>269</v>
      </c>
      <c r="Z55" s="1" t="s">
        <v>582</v>
      </c>
      <c r="AA55" s="1" t="s">
        <v>282</v>
      </c>
      <c r="AB55" s="1" t="s">
        <v>283</v>
      </c>
      <c r="AC55" s="21">
        <v>20.187000000000001</v>
      </c>
      <c r="AD55" s="21">
        <v>0.112</v>
      </c>
      <c r="AE55" s="21">
        <v>4.0369999999999998E-3</v>
      </c>
      <c r="AF55" s="21">
        <v>2.1999999999999999E-5</v>
      </c>
      <c r="AG55" s="21"/>
      <c r="AH55" s="21">
        <f t="shared" si="9"/>
        <v>4.0370599450590275E-3</v>
      </c>
      <c r="AI55" s="1">
        <f t="shared" si="10"/>
        <v>269</v>
      </c>
      <c r="AJ55" s="1" t="str">
        <f t="shared" si="11"/>
        <v>N+05.00</v>
      </c>
      <c r="AK55" s="1" t="str">
        <f t="shared" si="12"/>
        <v/>
      </c>
    </row>
    <row r="56" spans="1:37" ht="13.9" x14ac:dyDescent="0.25">
      <c r="A56" s="5"/>
      <c r="B56" s="236" t="str">
        <f t="shared" si="0"/>
        <v>N+05.00</v>
      </c>
      <c r="C56" s="236"/>
      <c r="D56" s="53">
        <f t="shared" si="1"/>
        <v>47</v>
      </c>
      <c r="E56" s="236">
        <f t="shared" si="2"/>
        <v>269</v>
      </c>
      <c r="F56" s="236"/>
      <c r="G56" s="236" t="str">
        <f t="shared" si="3"/>
        <v>SY</v>
      </c>
      <c r="H56" s="236"/>
      <c r="I56" s="279">
        <f t="shared" si="4"/>
        <v>2.8000000000000001E-2</v>
      </c>
      <c r="J56" s="279"/>
      <c r="K56" s="279"/>
      <c r="L56" s="279">
        <f t="shared" si="5"/>
        <v>23.908000000000001</v>
      </c>
      <c r="M56" s="279"/>
      <c r="N56" s="279"/>
      <c r="O56" s="241">
        <f t="shared" si="6"/>
        <v>6.0000000000000002E-6</v>
      </c>
      <c r="P56" s="241"/>
      <c r="Q56" s="241">
        <f t="shared" si="7"/>
        <v>4.7819999999999998E-3</v>
      </c>
      <c r="R56" s="241"/>
      <c r="S56" s="241">
        <f t="shared" si="8"/>
        <v>4.7820037641139509E-3</v>
      </c>
      <c r="T56" s="241"/>
      <c r="U56" s="7"/>
      <c r="W56" s="1" t="s">
        <v>836</v>
      </c>
      <c r="X56" s="1">
        <v>47</v>
      </c>
      <c r="Y56" s="1">
        <v>269</v>
      </c>
      <c r="Z56" s="1" t="s">
        <v>583</v>
      </c>
      <c r="AA56" s="1" t="s">
        <v>282</v>
      </c>
      <c r="AB56" s="1" t="s">
        <v>283</v>
      </c>
      <c r="AC56" s="21">
        <v>2.8000000000000001E-2</v>
      </c>
      <c r="AD56" s="21">
        <v>23.908000000000001</v>
      </c>
      <c r="AE56" s="21">
        <v>6.0000000000000002E-6</v>
      </c>
      <c r="AF56" s="21">
        <v>4.7819999999999998E-3</v>
      </c>
      <c r="AG56" s="21"/>
      <c r="AH56" s="21">
        <f t="shared" si="9"/>
        <v>4.7820037641139509E-3</v>
      </c>
      <c r="AI56" s="1">
        <f t="shared" si="10"/>
        <v>269</v>
      </c>
      <c r="AJ56" s="1" t="str">
        <f t="shared" si="11"/>
        <v>N+05.00</v>
      </c>
      <c r="AK56" s="1" t="str">
        <f t="shared" si="12"/>
        <v/>
      </c>
    </row>
    <row r="57" spans="1:37" ht="13.9" x14ac:dyDescent="0.25">
      <c r="A57" s="5"/>
      <c r="B57" s="236" t="str">
        <f t="shared" si="0"/>
        <v>N+05.00</v>
      </c>
      <c r="C57" s="236"/>
      <c r="D57" s="53">
        <f t="shared" si="1"/>
        <v>48</v>
      </c>
      <c r="E57" s="236">
        <f t="shared" si="2"/>
        <v>274</v>
      </c>
      <c r="F57" s="236"/>
      <c r="G57" s="236" t="str">
        <f t="shared" si="3"/>
        <v>SX</v>
      </c>
      <c r="H57" s="236"/>
      <c r="I57" s="279">
        <f t="shared" si="4"/>
        <v>19.350000000000001</v>
      </c>
      <c r="J57" s="279"/>
      <c r="K57" s="279"/>
      <c r="L57" s="279">
        <f t="shared" si="5"/>
        <v>0.23</v>
      </c>
      <c r="M57" s="279"/>
      <c r="N57" s="279"/>
      <c r="O57" s="241">
        <f t="shared" si="6"/>
        <v>3.8700000000000002E-3</v>
      </c>
      <c r="P57" s="241"/>
      <c r="Q57" s="241">
        <f t="shared" si="7"/>
        <v>4.6E-5</v>
      </c>
      <c r="R57" s="241"/>
      <c r="S57" s="241">
        <f t="shared" si="8"/>
        <v>3.8702733753573533E-3</v>
      </c>
      <c r="T57" s="241"/>
      <c r="U57" s="7"/>
      <c r="W57" s="1" t="s">
        <v>836</v>
      </c>
      <c r="X57" s="1">
        <v>48</v>
      </c>
      <c r="Y57" s="1">
        <v>274</v>
      </c>
      <c r="Z57" s="1" t="s">
        <v>582</v>
      </c>
      <c r="AA57" s="1" t="s">
        <v>282</v>
      </c>
      <c r="AB57" s="1" t="s">
        <v>283</v>
      </c>
      <c r="AC57" s="21">
        <v>19.350000000000001</v>
      </c>
      <c r="AD57" s="21">
        <v>0.23</v>
      </c>
      <c r="AE57" s="21">
        <v>3.8700000000000002E-3</v>
      </c>
      <c r="AF57" s="21">
        <v>4.6E-5</v>
      </c>
      <c r="AG57" s="21"/>
      <c r="AH57" s="21">
        <f t="shared" si="9"/>
        <v>3.8702733753573533E-3</v>
      </c>
      <c r="AI57" s="1">
        <f t="shared" si="10"/>
        <v>274</v>
      </c>
      <c r="AJ57" s="1" t="str">
        <f t="shared" si="11"/>
        <v>N+05.00</v>
      </c>
      <c r="AK57" s="1" t="str">
        <f t="shared" si="12"/>
        <v/>
      </c>
    </row>
    <row r="58" spans="1:37" ht="13.9" x14ac:dyDescent="0.25">
      <c r="A58" s="5"/>
      <c r="B58" s="236" t="str">
        <f t="shared" si="0"/>
        <v>N+05.00</v>
      </c>
      <c r="C58" s="236"/>
      <c r="D58" s="53">
        <f t="shared" si="1"/>
        <v>48</v>
      </c>
      <c r="E58" s="236">
        <f t="shared" si="2"/>
        <v>274</v>
      </c>
      <c r="F58" s="236"/>
      <c r="G58" s="236" t="str">
        <f t="shared" si="3"/>
        <v>SY</v>
      </c>
      <c r="H58" s="236"/>
      <c r="I58" s="279">
        <f t="shared" si="4"/>
        <v>5.8000000000000003E-2</v>
      </c>
      <c r="J58" s="279"/>
      <c r="K58" s="279"/>
      <c r="L58" s="279">
        <f t="shared" si="5"/>
        <v>24.122</v>
      </c>
      <c r="M58" s="279"/>
      <c r="N58" s="279"/>
      <c r="O58" s="241">
        <f t="shared" si="6"/>
        <v>1.2E-5</v>
      </c>
      <c r="P58" s="241"/>
      <c r="Q58" s="241">
        <f t="shared" si="7"/>
        <v>4.8240000000000002E-3</v>
      </c>
      <c r="R58" s="241"/>
      <c r="S58" s="241">
        <f t="shared" si="8"/>
        <v>4.8240149253500455E-3</v>
      </c>
      <c r="T58" s="241"/>
      <c r="U58" s="7"/>
      <c r="W58" s="1" t="s">
        <v>836</v>
      </c>
      <c r="X58" s="1">
        <v>48</v>
      </c>
      <c r="Y58" s="1">
        <v>274</v>
      </c>
      <c r="Z58" s="1" t="s">
        <v>583</v>
      </c>
      <c r="AA58" s="1" t="s">
        <v>282</v>
      </c>
      <c r="AB58" s="1" t="s">
        <v>283</v>
      </c>
      <c r="AC58" s="21">
        <v>5.8000000000000003E-2</v>
      </c>
      <c r="AD58" s="21">
        <v>24.122</v>
      </c>
      <c r="AE58" s="21">
        <v>1.2E-5</v>
      </c>
      <c r="AF58" s="21">
        <v>4.8240000000000002E-3</v>
      </c>
      <c r="AG58" s="21"/>
      <c r="AH58" s="21">
        <f t="shared" si="9"/>
        <v>4.8240149253500455E-3</v>
      </c>
      <c r="AI58" s="1">
        <f t="shared" si="10"/>
        <v>274</v>
      </c>
      <c r="AJ58" s="1" t="str">
        <f t="shared" si="11"/>
        <v>N+05.00</v>
      </c>
      <c r="AK58" s="1" t="str">
        <f t="shared" si="12"/>
        <v/>
      </c>
    </row>
    <row r="59" spans="1:37" ht="13.9" x14ac:dyDescent="0.25">
      <c r="A59" s="5"/>
      <c r="B59" s="236" t="str">
        <f t="shared" si="0"/>
        <v>N+05.00</v>
      </c>
      <c r="C59" s="236"/>
      <c r="D59" s="53">
        <f t="shared" si="1"/>
        <v>49</v>
      </c>
      <c r="E59" s="236">
        <f t="shared" si="2"/>
        <v>279</v>
      </c>
      <c r="F59" s="236"/>
      <c r="G59" s="236" t="str">
        <f t="shared" si="3"/>
        <v>SX</v>
      </c>
      <c r="H59" s="236"/>
      <c r="I59" s="279">
        <f t="shared" si="4"/>
        <v>19.591999999999999</v>
      </c>
      <c r="J59" s="279"/>
      <c r="K59" s="279"/>
      <c r="L59" s="279">
        <f t="shared" si="5"/>
        <v>4.7E-2</v>
      </c>
      <c r="M59" s="279"/>
      <c r="N59" s="279"/>
      <c r="O59" s="241">
        <f t="shared" si="6"/>
        <v>3.9179999999999996E-3</v>
      </c>
      <c r="P59" s="241"/>
      <c r="Q59" s="241">
        <f t="shared" si="7"/>
        <v>9.0000000000000002E-6</v>
      </c>
      <c r="R59" s="241"/>
      <c r="S59" s="241">
        <f t="shared" si="8"/>
        <v>3.9180103368929488E-3</v>
      </c>
      <c r="T59" s="241"/>
      <c r="U59" s="7"/>
      <c r="W59" s="1" t="s">
        <v>836</v>
      </c>
      <c r="X59" s="1">
        <v>49</v>
      </c>
      <c r="Y59" s="1">
        <v>279</v>
      </c>
      <c r="Z59" s="1" t="s">
        <v>582</v>
      </c>
      <c r="AA59" s="1" t="s">
        <v>282</v>
      </c>
      <c r="AB59" s="1" t="s">
        <v>283</v>
      </c>
      <c r="AC59" s="21">
        <v>19.591999999999999</v>
      </c>
      <c r="AD59" s="21">
        <v>4.7E-2</v>
      </c>
      <c r="AE59" s="21">
        <v>3.9179999999999996E-3</v>
      </c>
      <c r="AF59" s="21">
        <v>9.0000000000000002E-6</v>
      </c>
      <c r="AG59" s="21"/>
      <c r="AH59" s="21">
        <f t="shared" si="9"/>
        <v>3.9180103368929488E-3</v>
      </c>
      <c r="AI59" s="1">
        <f t="shared" si="10"/>
        <v>279</v>
      </c>
      <c r="AJ59" s="1" t="str">
        <f t="shared" si="11"/>
        <v>N+05.00</v>
      </c>
      <c r="AK59" s="1" t="str">
        <f t="shared" si="12"/>
        <v/>
      </c>
    </row>
    <row r="60" spans="1:37" ht="13.9" x14ac:dyDescent="0.25">
      <c r="A60" s="5"/>
      <c r="B60" s="236" t="str">
        <f t="shared" si="0"/>
        <v>N+05.00</v>
      </c>
      <c r="C60" s="236"/>
      <c r="D60" s="53">
        <f t="shared" si="1"/>
        <v>49</v>
      </c>
      <c r="E60" s="236">
        <f t="shared" si="2"/>
        <v>279</v>
      </c>
      <c r="F60" s="236"/>
      <c r="G60" s="236" t="str">
        <f t="shared" si="3"/>
        <v>SY</v>
      </c>
      <c r="H60" s="236"/>
      <c r="I60" s="279">
        <f t="shared" si="4"/>
        <v>3.1E-2</v>
      </c>
      <c r="J60" s="279"/>
      <c r="K60" s="279"/>
      <c r="L60" s="279">
        <f t="shared" si="5"/>
        <v>24.271000000000001</v>
      </c>
      <c r="M60" s="279"/>
      <c r="N60" s="279"/>
      <c r="O60" s="241">
        <f t="shared" si="6"/>
        <v>6.0000000000000002E-6</v>
      </c>
      <c r="P60" s="241"/>
      <c r="Q60" s="241">
        <f t="shared" si="7"/>
        <v>4.8539999999999998E-3</v>
      </c>
      <c r="R60" s="241"/>
      <c r="S60" s="241">
        <f t="shared" si="8"/>
        <v>4.8540037082804126E-3</v>
      </c>
      <c r="T60" s="241"/>
      <c r="U60" s="7"/>
      <c r="W60" s="1" t="s">
        <v>836</v>
      </c>
      <c r="X60" s="1">
        <v>49</v>
      </c>
      <c r="Y60" s="1">
        <v>279</v>
      </c>
      <c r="Z60" s="1" t="s">
        <v>583</v>
      </c>
      <c r="AA60" s="1" t="s">
        <v>282</v>
      </c>
      <c r="AB60" s="1" t="s">
        <v>283</v>
      </c>
      <c r="AC60" s="21">
        <v>3.1E-2</v>
      </c>
      <c r="AD60" s="21">
        <v>24.271000000000001</v>
      </c>
      <c r="AE60" s="21">
        <v>6.0000000000000002E-6</v>
      </c>
      <c r="AF60" s="21">
        <v>4.8539999999999998E-3</v>
      </c>
      <c r="AG60" s="21"/>
      <c r="AH60" s="21">
        <f t="shared" si="9"/>
        <v>4.8540037082804126E-3</v>
      </c>
      <c r="AI60" s="1">
        <f t="shared" si="10"/>
        <v>279</v>
      </c>
      <c r="AJ60" s="1" t="str">
        <f t="shared" si="11"/>
        <v>N+05.00</v>
      </c>
      <c r="AK60" s="1" t="str">
        <f t="shared" si="12"/>
        <v/>
      </c>
    </row>
    <row r="61" spans="1:37" x14ac:dyDescent="0.25">
      <c r="A61" s="5"/>
      <c r="B61" s="236"/>
      <c r="C61" s="236"/>
      <c r="D61" s="53"/>
      <c r="E61" s="236"/>
      <c r="F61" s="236"/>
      <c r="G61" s="236"/>
      <c r="H61" s="236"/>
      <c r="I61" s="279"/>
      <c r="J61" s="279"/>
      <c r="K61" s="279"/>
      <c r="L61" s="279"/>
      <c r="M61" s="279"/>
      <c r="N61" s="279"/>
      <c r="O61" s="241"/>
      <c r="P61" s="241"/>
      <c r="Q61" s="241"/>
      <c r="R61" s="241"/>
      <c r="S61" s="241"/>
      <c r="T61" s="241"/>
      <c r="U61" s="7"/>
      <c r="AC61" s="21"/>
      <c r="AD61" s="21"/>
      <c r="AE61" s="21"/>
      <c r="AF61" s="21"/>
      <c r="AG61" s="21"/>
      <c r="AH61" s="21"/>
    </row>
    <row r="62" spans="1:37" x14ac:dyDescent="0.25">
      <c r="A62" s="5"/>
      <c r="B62" s="236"/>
      <c r="C62" s="236"/>
      <c r="D62" s="53"/>
      <c r="E62" s="236"/>
      <c r="F62" s="236"/>
      <c r="G62" s="236"/>
      <c r="H62" s="236"/>
      <c r="I62" s="279"/>
      <c r="J62" s="279"/>
      <c r="K62" s="279"/>
      <c r="L62" s="279"/>
      <c r="M62" s="279"/>
      <c r="N62" s="279"/>
      <c r="O62" s="241"/>
      <c r="P62" s="241"/>
      <c r="Q62" s="241"/>
      <c r="R62" s="241"/>
      <c r="S62" s="241"/>
      <c r="T62" s="241"/>
      <c r="U62" s="7"/>
      <c r="AC62" s="21"/>
      <c r="AD62" s="21"/>
      <c r="AE62" s="21"/>
      <c r="AF62" s="21"/>
      <c r="AG62" s="21"/>
      <c r="AH62" s="21"/>
    </row>
    <row r="63" spans="1:37" x14ac:dyDescent="0.25">
      <c r="A63" s="5"/>
      <c r="B63" s="236"/>
      <c r="C63" s="236"/>
      <c r="D63" s="53"/>
      <c r="E63" s="236"/>
      <c r="F63" s="236"/>
      <c r="G63" s="236"/>
      <c r="H63" s="236"/>
      <c r="I63" s="279"/>
      <c r="J63" s="279"/>
      <c r="K63" s="279"/>
      <c r="L63" s="279"/>
      <c r="M63" s="279"/>
      <c r="N63" s="279"/>
      <c r="O63" s="241"/>
      <c r="P63" s="241"/>
      <c r="Q63" s="241"/>
      <c r="R63" s="241"/>
      <c r="S63" s="241"/>
      <c r="T63" s="241"/>
      <c r="U63" s="7"/>
      <c r="AC63" s="21"/>
      <c r="AD63" s="21"/>
      <c r="AE63" s="21"/>
      <c r="AF63" s="21"/>
      <c r="AG63" s="21"/>
      <c r="AH63" s="21"/>
    </row>
    <row r="64" spans="1:37" x14ac:dyDescent="0.25">
      <c r="A64" s="5"/>
      <c r="B64" s="236"/>
      <c r="C64" s="236"/>
      <c r="D64" s="53"/>
      <c r="E64" s="236"/>
      <c r="F64" s="236"/>
      <c r="G64" s="236"/>
      <c r="H64" s="236"/>
      <c r="I64" s="279"/>
      <c r="J64" s="279"/>
      <c r="K64" s="279"/>
      <c r="L64" s="279"/>
      <c r="M64" s="279"/>
      <c r="N64" s="279"/>
      <c r="O64" s="241"/>
      <c r="P64" s="241"/>
      <c r="Q64" s="241"/>
      <c r="R64" s="241"/>
      <c r="S64" s="241"/>
      <c r="T64" s="241"/>
      <c r="U64" s="7"/>
      <c r="AC64" s="21"/>
      <c r="AD64" s="21"/>
      <c r="AE64" s="21"/>
      <c r="AF64" s="21"/>
      <c r="AG64" s="21"/>
      <c r="AH64" s="21"/>
    </row>
    <row r="65" spans="1:34" x14ac:dyDescent="0.25">
      <c r="A65" s="9"/>
      <c r="B65" s="51"/>
      <c r="C65" s="51"/>
      <c r="D65" s="51"/>
      <c r="E65" s="51"/>
      <c r="F65" s="51"/>
      <c r="G65" s="51"/>
      <c r="H65" s="51"/>
      <c r="I65" s="84"/>
      <c r="J65" s="84"/>
      <c r="K65" s="84"/>
      <c r="L65" s="84"/>
      <c r="M65" s="84"/>
      <c r="N65" s="84"/>
      <c r="O65" s="51"/>
      <c r="P65" s="51"/>
      <c r="Q65" s="51"/>
      <c r="R65" s="51"/>
      <c r="S65" s="51"/>
      <c r="T65" s="51"/>
      <c r="U65" s="11"/>
      <c r="AD65" s="69"/>
      <c r="AE65" s="21"/>
      <c r="AH65" s="21"/>
    </row>
    <row r="66" spans="1:34" x14ac:dyDescent="0.25">
      <c r="A66" s="2"/>
      <c r="B66" s="50"/>
      <c r="C66" s="50"/>
      <c r="D66" s="50"/>
      <c r="E66" s="50"/>
      <c r="F66" s="50"/>
      <c r="G66" s="50"/>
      <c r="H66" s="50"/>
      <c r="I66" s="85"/>
      <c r="J66" s="85"/>
      <c r="K66" s="85"/>
      <c r="L66" s="85"/>
      <c r="M66" s="85"/>
      <c r="N66" s="85"/>
      <c r="O66" s="50"/>
      <c r="P66" s="50"/>
      <c r="Q66" s="50"/>
      <c r="R66" s="50"/>
      <c r="S66" s="50"/>
      <c r="T66" s="50"/>
      <c r="U66" s="4"/>
      <c r="AC66" s="69"/>
      <c r="AD66" s="69"/>
      <c r="AE66" s="69"/>
      <c r="AF66" s="69"/>
      <c r="AH66" s="21"/>
    </row>
    <row r="67" spans="1:34" x14ac:dyDescent="0.25">
      <c r="A67" s="5"/>
      <c r="B67" s="294" t="s">
        <v>188</v>
      </c>
      <c r="C67" s="294"/>
      <c r="D67" s="294" t="s">
        <v>273</v>
      </c>
      <c r="E67" s="294" t="s">
        <v>274</v>
      </c>
      <c r="F67" s="294"/>
      <c r="G67" s="294" t="s">
        <v>275</v>
      </c>
      <c r="H67" s="294"/>
      <c r="I67" s="290" t="s">
        <v>284</v>
      </c>
      <c r="J67" s="290"/>
      <c r="K67" s="290"/>
      <c r="L67" s="290" t="s">
        <v>285</v>
      </c>
      <c r="M67" s="290"/>
      <c r="N67" s="290"/>
      <c r="O67" s="254" t="s">
        <v>286</v>
      </c>
      <c r="P67" s="254"/>
      <c r="Q67" s="254" t="s">
        <v>287</v>
      </c>
      <c r="R67" s="254"/>
      <c r="S67" s="254" t="s">
        <v>288</v>
      </c>
      <c r="T67" s="254"/>
      <c r="U67" s="7"/>
      <c r="AD67" s="69"/>
      <c r="AE67" s="21"/>
      <c r="AH67" s="21"/>
    </row>
    <row r="68" spans="1:34" x14ac:dyDescent="0.25">
      <c r="A68" s="5"/>
      <c r="B68" s="294"/>
      <c r="C68" s="294"/>
      <c r="D68" s="294"/>
      <c r="E68" s="294"/>
      <c r="F68" s="294"/>
      <c r="G68" s="294"/>
      <c r="H68" s="294"/>
      <c r="I68" s="290" t="s">
        <v>101</v>
      </c>
      <c r="J68" s="290"/>
      <c r="K68" s="290"/>
      <c r="L68" s="290" t="s">
        <v>101</v>
      </c>
      <c r="M68" s="290"/>
      <c r="N68" s="290"/>
      <c r="O68" s="254"/>
      <c r="P68" s="254"/>
      <c r="Q68" s="254"/>
      <c r="R68" s="254"/>
      <c r="S68" s="254"/>
      <c r="T68" s="254"/>
      <c r="U68" s="7"/>
      <c r="AC68" s="69"/>
      <c r="AE68" s="69"/>
      <c r="AH68" s="21"/>
    </row>
    <row r="69" spans="1:34" x14ac:dyDescent="0.25">
      <c r="A69" s="5"/>
      <c r="B69" s="236">
        <f>W65</f>
        <v>0</v>
      </c>
      <c r="C69" s="236"/>
      <c r="D69" s="53">
        <f>X65</f>
        <v>0</v>
      </c>
      <c r="E69" s="236">
        <f>Y65</f>
        <v>0</v>
      </c>
      <c r="F69" s="236"/>
      <c r="G69" s="236" t="str">
        <f>MID(Z65,1,7)</f>
        <v/>
      </c>
      <c r="H69" s="236"/>
      <c r="I69" s="279">
        <f>AC65</f>
        <v>0</v>
      </c>
      <c r="J69" s="279"/>
      <c r="K69" s="279"/>
      <c r="L69" s="279">
        <f>AD65</f>
        <v>0</v>
      </c>
      <c r="M69" s="279"/>
      <c r="N69" s="279"/>
      <c r="O69" s="241">
        <f>AE65</f>
        <v>0</v>
      </c>
      <c r="P69" s="241"/>
      <c r="Q69" s="241">
        <f>AF65</f>
        <v>0</v>
      </c>
      <c r="R69" s="241"/>
      <c r="S69" s="241">
        <f t="shared" ref="S69" si="13">SQRT(O69^2+Q69^2)</f>
        <v>0</v>
      </c>
      <c r="T69" s="241"/>
      <c r="U69" s="7"/>
      <c r="AC69" s="21"/>
      <c r="AD69" s="21"/>
      <c r="AE69" s="21"/>
      <c r="AF69" s="21"/>
      <c r="AG69" s="21"/>
      <c r="AH69" s="21"/>
    </row>
    <row r="70" spans="1:34" x14ac:dyDescent="0.25">
      <c r="A70" s="5"/>
      <c r="B70" s="236">
        <f t="shared" ref="B70:B96" si="14">W66</f>
        <v>0</v>
      </c>
      <c r="C70" s="236"/>
      <c r="D70" s="53">
        <f t="shared" ref="D70:D96" si="15">X66</f>
        <v>0</v>
      </c>
      <c r="E70" s="236">
        <f t="shared" ref="E70:E76" si="16">Y66</f>
        <v>0</v>
      </c>
      <c r="F70" s="236"/>
      <c r="G70" s="236" t="str">
        <f t="shared" ref="G70:G76" si="17">MID(Z66,1,7)</f>
        <v/>
      </c>
      <c r="H70" s="236"/>
      <c r="I70" s="279">
        <f t="shared" ref="I70:I76" si="18">AC66</f>
        <v>0</v>
      </c>
      <c r="J70" s="279"/>
      <c r="K70" s="279"/>
      <c r="L70" s="279">
        <f t="shared" ref="L70:L76" si="19">AD66</f>
        <v>0</v>
      </c>
      <c r="M70" s="279"/>
      <c r="N70" s="279"/>
      <c r="O70" s="241">
        <f t="shared" ref="O70:O75" si="20">AE66</f>
        <v>0</v>
      </c>
      <c r="P70" s="241"/>
      <c r="Q70" s="241">
        <f t="shared" ref="Q70:Q76" si="21">AF66</f>
        <v>0</v>
      </c>
      <c r="R70" s="241"/>
      <c r="S70" s="241">
        <f t="shared" ref="S70:S76" si="22">SQRT(O70^2+Q70^2)</f>
        <v>0</v>
      </c>
      <c r="T70" s="241"/>
      <c r="U70" s="7"/>
      <c r="AC70" s="21"/>
      <c r="AD70" s="21"/>
      <c r="AE70" s="21"/>
      <c r="AF70" s="21"/>
      <c r="AG70" s="21"/>
      <c r="AH70" s="21"/>
    </row>
    <row r="71" spans="1:34" x14ac:dyDescent="0.25">
      <c r="A71" s="5"/>
      <c r="B71" s="236">
        <f t="shared" si="14"/>
        <v>0</v>
      </c>
      <c r="C71" s="236"/>
      <c r="D71" s="53">
        <f t="shared" si="15"/>
        <v>0</v>
      </c>
      <c r="E71" s="236">
        <f t="shared" si="16"/>
        <v>0</v>
      </c>
      <c r="F71" s="236"/>
      <c r="G71" s="236" t="str">
        <f t="shared" si="17"/>
        <v/>
      </c>
      <c r="H71" s="236"/>
      <c r="I71" s="279">
        <f t="shared" si="18"/>
        <v>0</v>
      </c>
      <c r="J71" s="279"/>
      <c r="K71" s="279"/>
      <c r="L71" s="279">
        <f t="shared" si="19"/>
        <v>0</v>
      </c>
      <c r="M71" s="279"/>
      <c r="N71" s="279"/>
      <c r="O71" s="241">
        <f t="shared" si="20"/>
        <v>0</v>
      </c>
      <c r="P71" s="241"/>
      <c r="Q71" s="241">
        <f t="shared" si="21"/>
        <v>0</v>
      </c>
      <c r="R71" s="241"/>
      <c r="S71" s="241">
        <f t="shared" si="22"/>
        <v>0</v>
      </c>
      <c r="T71" s="241"/>
      <c r="U71" s="7"/>
      <c r="AC71" s="21"/>
      <c r="AD71" s="21"/>
      <c r="AE71" s="21"/>
      <c r="AF71" s="21"/>
      <c r="AG71" s="21"/>
      <c r="AH71" s="21"/>
    </row>
    <row r="72" spans="1:34" x14ac:dyDescent="0.25">
      <c r="A72" s="5"/>
      <c r="B72" s="236">
        <f t="shared" si="14"/>
        <v>0</v>
      </c>
      <c r="C72" s="236"/>
      <c r="D72" s="53">
        <f t="shared" si="15"/>
        <v>0</v>
      </c>
      <c r="E72" s="236">
        <f t="shared" si="16"/>
        <v>0</v>
      </c>
      <c r="F72" s="236"/>
      <c r="G72" s="236" t="str">
        <f t="shared" si="17"/>
        <v/>
      </c>
      <c r="H72" s="236"/>
      <c r="I72" s="279">
        <f t="shared" si="18"/>
        <v>0</v>
      </c>
      <c r="J72" s="279"/>
      <c r="K72" s="279"/>
      <c r="L72" s="279">
        <f t="shared" si="19"/>
        <v>0</v>
      </c>
      <c r="M72" s="279"/>
      <c r="N72" s="279"/>
      <c r="O72" s="241">
        <f t="shared" si="20"/>
        <v>0</v>
      </c>
      <c r="P72" s="241"/>
      <c r="Q72" s="241">
        <f t="shared" si="21"/>
        <v>0</v>
      </c>
      <c r="R72" s="241"/>
      <c r="S72" s="241">
        <f t="shared" si="22"/>
        <v>0</v>
      </c>
      <c r="T72" s="241"/>
      <c r="U72" s="7"/>
      <c r="AC72" s="21"/>
      <c r="AD72" s="21"/>
      <c r="AE72" s="21"/>
      <c r="AF72" s="21"/>
      <c r="AG72" s="21"/>
      <c r="AH72" s="21"/>
    </row>
    <row r="73" spans="1:34" x14ac:dyDescent="0.25">
      <c r="A73" s="5"/>
      <c r="B73" s="236">
        <f t="shared" si="14"/>
        <v>0</v>
      </c>
      <c r="C73" s="236"/>
      <c r="D73" s="53">
        <f t="shared" si="15"/>
        <v>0</v>
      </c>
      <c r="E73" s="236">
        <f t="shared" si="16"/>
        <v>0</v>
      </c>
      <c r="F73" s="236"/>
      <c r="G73" s="236" t="str">
        <f t="shared" si="17"/>
        <v/>
      </c>
      <c r="H73" s="236"/>
      <c r="I73" s="279">
        <f t="shared" si="18"/>
        <v>0</v>
      </c>
      <c r="J73" s="279"/>
      <c r="K73" s="279"/>
      <c r="L73" s="279">
        <f t="shared" si="19"/>
        <v>0</v>
      </c>
      <c r="M73" s="279"/>
      <c r="N73" s="279"/>
      <c r="O73" s="241">
        <f t="shared" si="20"/>
        <v>0</v>
      </c>
      <c r="P73" s="241"/>
      <c r="Q73" s="241">
        <f t="shared" si="21"/>
        <v>0</v>
      </c>
      <c r="R73" s="241"/>
      <c r="S73" s="241">
        <f t="shared" si="22"/>
        <v>0</v>
      </c>
      <c r="T73" s="241"/>
      <c r="U73" s="7"/>
      <c r="AC73" s="21"/>
      <c r="AD73" s="21"/>
      <c r="AE73" s="21"/>
      <c r="AF73" s="21"/>
      <c r="AG73" s="21"/>
      <c r="AH73" s="21"/>
    </row>
    <row r="74" spans="1:34" x14ac:dyDescent="0.25">
      <c r="A74" s="5"/>
      <c r="B74" s="236">
        <f t="shared" si="14"/>
        <v>0</v>
      </c>
      <c r="C74" s="236"/>
      <c r="D74" s="53">
        <f t="shared" si="15"/>
        <v>0</v>
      </c>
      <c r="E74" s="236">
        <f t="shared" si="16"/>
        <v>0</v>
      </c>
      <c r="F74" s="236"/>
      <c r="G74" s="236" t="str">
        <f t="shared" si="17"/>
        <v/>
      </c>
      <c r="H74" s="236"/>
      <c r="I74" s="279">
        <f t="shared" si="18"/>
        <v>0</v>
      </c>
      <c r="J74" s="279"/>
      <c r="K74" s="279"/>
      <c r="L74" s="279">
        <f t="shared" si="19"/>
        <v>0</v>
      </c>
      <c r="M74" s="279"/>
      <c r="N74" s="279"/>
      <c r="O74" s="241">
        <f t="shared" si="20"/>
        <v>0</v>
      </c>
      <c r="P74" s="241"/>
      <c r="Q74" s="241">
        <f t="shared" si="21"/>
        <v>0</v>
      </c>
      <c r="R74" s="241"/>
      <c r="S74" s="241">
        <f t="shared" si="22"/>
        <v>0</v>
      </c>
      <c r="T74" s="241"/>
      <c r="U74" s="7"/>
      <c r="AC74" s="21"/>
      <c r="AD74" s="21"/>
      <c r="AE74" s="21"/>
      <c r="AF74" s="21"/>
      <c r="AG74" s="21"/>
      <c r="AH74" s="21"/>
    </row>
    <row r="75" spans="1:34" x14ac:dyDescent="0.25">
      <c r="A75" s="5"/>
      <c r="B75" s="236">
        <f t="shared" si="14"/>
        <v>0</v>
      </c>
      <c r="C75" s="236"/>
      <c r="D75" s="53">
        <f t="shared" si="15"/>
        <v>0</v>
      </c>
      <c r="E75" s="236">
        <f t="shared" si="16"/>
        <v>0</v>
      </c>
      <c r="F75" s="236"/>
      <c r="G75" s="236" t="str">
        <f t="shared" si="17"/>
        <v/>
      </c>
      <c r="H75" s="236"/>
      <c r="I75" s="279">
        <f t="shared" si="18"/>
        <v>0</v>
      </c>
      <c r="J75" s="279"/>
      <c r="K75" s="279"/>
      <c r="L75" s="279">
        <f t="shared" si="19"/>
        <v>0</v>
      </c>
      <c r="M75" s="279"/>
      <c r="N75" s="279"/>
      <c r="O75" s="241">
        <f t="shared" si="20"/>
        <v>0</v>
      </c>
      <c r="P75" s="241"/>
      <c r="Q75" s="241">
        <f t="shared" si="21"/>
        <v>0</v>
      </c>
      <c r="R75" s="241"/>
      <c r="S75" s="241">
        <f t="shared" si="22"/>
        <v>0</v>
      </c>
      <c r="T75" s="241"/>
      <c r="U75" s="7"/>
      <c r="AC75" s="21"/>
      <c r="AD75" s="21"/>
      <c r="AE75" s="21"/>
      <c r="AF75" s="21"/>
      <c r="AG75" s="21"/>
      <c r="AH75" s="21"/>
    </row>
    <row r="76" spans="1:34" x14ac:dyDescent="0.25">
      <c r="A76" s="5"/>
      <c r="B76" s="236">
        <f t="shared" si="14"/>
        <v>0</v>
      </c>
      <c r="C76" s="236"/>
      <c r="D76" s="53">
        <f t="shared" si="15"/>
        <v>0</v>
      </c>
      <c r="E76" s="236">
        <f t="shared" si="16"/>
        <v>0</v>
      </c>
      <c r="F76" s="236"/>
      <c r="G76" s="236" t="str">
        <f t="shared" si="17"/>
        <v/>
      </c>
      <c r="H76" s="236"/>
      <c r="I76" s="279">
        <f t="shared" si="18"/>
        <v>0</v>
      </c>
      <c r="J76" s="279"/>
      <c r="K76" s="279"/>
      <c r="L76" s="279">
        <f t="shared" si="19"/>
        <v>0</v>
      </c>
      <c r="M76" s="279"/>
      <c r="N76" s="279"/>
      <c r="O76" s="241">
        <f t="shared" ref="O76" si="23">AE72</f>
        <v>0</v>
      </c>
      <c r="P76" s="241"/>
      <c r="Q76" s="241">
        <f t="shared" si="21"/>
        <v>0</v>
      </c>
      <c r="R76" s="241"/>
      <c r="S76" s="241">
        <f t="shared" si="22"/>
        <v>0</v>
      </c>
      <c r="T76" s="241"/>
      <c r="U76" s="7"/>
      <c r="AC76" s="21"/>
      <c r="AD76" s="21"/>
      <c r="AE76" s="21"/>
      <c r="AF76" s="21"/>
      <c r="AG76" s="21"/>
      <c r="AH76" s="21"/>
    </row>
    <row r="77" spans="1:34" x14ac:dyDescent="0.25">
      <c r="A77" s="5"/>
      <c r="B77" s="236">
        <f t="shared" si="14"/>
        <v>0</v>
      </c>
      <c r="C77" s="236"/>
      <c r="D77" s="53">
        <f t="shared" si="15"/>
        <v>0</v>
      </c>
      <c r="E77" s="236">
        <f t="shared" ref="E77:E88" si="24">Y73</f>
        <v>0</v>
      </c>
      <c r="F77" s="236"/>
      <c r="G77" s="236" t="str">
        <f t="shared" ref="G77:G88" si="25">MID(Z73,1,7)</f>
        <v/>
      </c>
      <c r="H77" s="236"/>
      <c r="I77" s="279">
        <f t="shared" ref="I77:I88" si="26">AC73</f>
        <v>0</v>
      </c>
      <c r="J77" s="279"/>
      <c r="K77" s="279"/>
      <c r="L77" s="279">
        <f t="shared" ref="L77:L88" si="27">AD73</f>
        <v>0</v>
      </c>
      <c r="M77" s="279"/>
      <c r="N77" s="279"/>
      <c r="O77" s="241">
        <f t="shared" ref="O77:O88" si="28">AE73</f>
        <v>0</v>
      </c>
      <c r="P77" s="241"/>
      <c r="Q77" s="241">
        <f t="shared" ref="Q77:Q88" si="29">AF73</f>
        <v>0</v>
      </c>
      <c r="R77" s="241"/>
      <c r="S77" s="241">
        <f t="shared" ref="S77:S88" si="30">SQRT(O77^2+Q77^2)</f>
        <v>0</v>
      </c>
      <c r="T77" s="241"/>
      <c r="U77" s="7"/>
      <c r="AC77" s="21"/>
      <c r="AD77" s="21"/>
      <c r="AE77" s="21"/>
      <c r="AF77" s="21"/>
      <c r="AG77" s="21"/>
      <c r="AH77" s="21"/>
    </row>
    <row r="78" spans="1:34" x14ac:dyDescent="0.25">
      <c r="A78" s="5"/>
      <c r="B78" s="236">
        <f t="shared" si="14"/>
        <v>0</v>
      </c>
      <c r="C78" s="236"/>
      <c r="D78" s="53">
        <f t="shared" si="15"/>
        <v>0</v>
      </c>
      <c r="E78" s="236">
        <f t="shared" si="24"/>
        <v>0</v>
      </c>
      <c r="F78" s="236"/>
      <c r="G78" s="236" t="str">
        <f t="shared" si="25"/>
        <v/>
      </c>
      <c r="H78" s="236"/>
      <c r="I78" s="279">
        <f t="shared" si="26"/>
        <v>0</v>
      </c>
      <c r="J78" s="279"/>
      <c r="K78" s="279"/>
      <c r="L78" s="279">
        <f t="shared" si="27"/>
        <v>0</v>
      </c>
      <c r="M78" s="279"/>
      <c r="N78" s="279"/>
      <c r="O78" s="241">
        <f t="shared" si="28"/>
        <v>0</v>
      </c>
      <c r="P78" s="241"/>
      <c r="Q78" s="241">
        <f t="shared" si="29"/>
        <v>0</v>
      </c>
      <c r="R78" s="241"/>
      <c r="S78" s="241">
        <f t="shared" si="30"/>
        <v>0</v>
      </c>
      <c r="T78" s="241"/>
      <c r="U78" s="7"/>
      <c r="AC78" s="21"/>
      <c r="AD78" s="21"/>
      <c r="AE78" s="21"/>
      <c r="AF78" s="21"/>
      <c r="AG78" s="21"/>
      <c r="AH78" s="21"/>
    </row>
    <row r="79" spans="1:34" x14ac:dyDescent="0.25">
      <c r="A79" s="5"/>
      <c r="B79" s="236">
        <f t="shared" si="14"/>
        <v>0</v>
      </c>
      <c r="C79" s="236"/>
      <c r="D79" s="53">
        <f t="shared" si="15"/>
        <v>0</v>
      </c>
      <c r="E79" s="236">
        <f t="shared" si="24"/>
        <v>0</v>
      </c>
      <c r="F79" s="236"/>
      <c r="G79" s="236" t="str">
        <f t="shared" si="25"/>
        <v/>
      </c>
      <c r="H79" s="236"/>
      <c r="I79" s="279">
        <f t="shared" si="26"/>
        <v>0</v>
      </c>
      <c r="J79" s="279"/>
      <c r="K79" s="279"/>
      <c r="L79" s="279">
        <f t="shared" si="27"/>
        <v>0</v>
      </c>
      <c r="M79" s="279"/>
      <c r="N79" s="279"/>
      <c r="O79" s="241">
        <f t="shared" si="28"/>
        <v>0</v>
      </c>
      <c r="P79" s="241"/>
      <c r="Q79" s="241">
        <f t="shared" si="29"/>
        <v>0</v>
      </c>
      <c r="R79" s="241"/>
      <c r="S79" s="241">
        <f t="shared" si="30"/>
        <v>0</v>
      </c>
      <c r="T79" s="241"/>
      <c r="U79" s="7"/>
      <c r="AC79" s="21"/>
      <c r="AD79" s="21"/>
      <c r="AE79" s="21"/>
      <c r="AF79" s="21"/>
      <c r="AG79" s="21"/>
      <c r="AH79" s="21"/>
    </row>
    <row r="80" spans="1:34" x14ac:dyDescent="0.25">
      <c r="A80" s="5"/>
      <c r="B80" s="236">
        <f t="shared" si="14"/>
        <v>0</v>
      </c>
      <c r="C80" s="236"/>
      <c r="D80" s="53">
        <f t="shared" si="15"/>
        <v>0</v>
      </c>
      <c r="E80" s="236">
        <f t="shared" si="24"/>
        <v>0</v>
      </c>
      <c r="F80" s="236"/>
      <c r="G80" s="236" t="str">
        <f t="shared" si="25"/>
        <v/>
      </c>
      <c r="H80" s="236"/>
      <c r="I80" s="279">
        <f t="shared" si="26"/>
        <v>0</v>
      </c>
      <c r="J80" s="279"/>
      <c r="K80" s="279"/>
      <c r="L80" s="279">
        <f t="shared" si="27"/>
        <v>0</v>
      </c>
      <c r="M80" s="279"/>
      <c r="N80" s="279"/>
      <c r="O80" s="241">
        <f t="shared" si="28"/>
        <v>0</v>
      </c>
      <c r="P80" s="241"/>
      <c r="Q80" s="241">
        <f t="shared" si="29"/>
        <v>0</v>
      </c>
      <c r="R80" s="241"/>
      <c r="S80" s="241">
        <f t="shared" si="30"/>
        <v>0</v>
      </c>
      <c r="T80" s="241"/>
      <c r="U80" s="7"/>
      <c r="AC80" s="21"/>
      <c r="AD80" s="21"/>
      <c r="AE80" s="21"/>
      <c r="AF80" s="21"/>
      <c r="AG80" s="21"/>
      <c r="AH80" s="21"/>
    </row>
    <row r="81" spans="1:34" x14ac:dyDescent="0.25">
      <c r="A81" s="5"/>
      <c r="B81" s="236">
        <f t="shared" si="14"/>
        <v>0</v>
      </c>
      <c r="C81" s="236"/>
      <c r="D81" s="53">
        <f t="shared" si="15"/>
        <v>0</v>
      </c>
      <c r="E81" s="236">
        <f t="shared" si="24"/>
        <v>0</v>
      </c>
      <c r="F81" s="236"/>
      <c r="G81" s="236" t="str">
        <f t="shared" si="25"/>
        <v/>
      </c>
      <c r="H81" s="236"/>
      <c r="I81" s="279">
        <f t="shared" si="26"/>
        <v>0</v>
      </c>
      <c r="J81" s="279"/>
      <c r="K81" s="279"/>
      <c r="L81" s="279">
        <f t="shared" si="27"/>
        <v>0</v>
      </c>
      <c r="M81" s="279"/>
      <c r="N81" s="279"/>
      <c r="O81" s="241">
        <f t="shared" si="28"/>
        <v>0</v>
      </c>
      <c r="P81" s="241"/>
      <c r="Q81" s="241">
        <f t="shared" si="29"/>
        <v>0</v>
      </c>
      <c r="R81" s="241"/>
      <c r="S81" s="241">
        <f t="shared" si="30"/>
        <v>0</v>
      </c>
      <c r="T81" s="241"/>
      <c r="U81" s="7"/>
      <c r="AC81" s="21"/>
      <c r="AD81" s="21"/>
      <c r="AE81" s="21"/>
      <c r="AF81" s="21"/>
      <c r="AG81" s="21"/>
      <c r="AH81" s="21"/>
    </row>
    <row r="82" spans="1:34" x14ac:dyDescent="0.25">
      <c r="A82" s="5"/>
      <c r="B82" s="236">
        <f t="shared" si="14"/>
        <v>0</v>
      </c>
      <c r="C82" s="236"/>
      <c r="D82" s="53">
        <f t="shared" si="15"/>
        <v>0</v>
      </c>
      <c r="E82" s="236">
        <f t="shared" si="24"/>
        <v>0</v>
      </c>
      <c r="F82" s="236"/>
      <c r="G82" s="236" t="str">
        <f t="shared" si="25"/>
        <v/>
      </c>
      <c r="H82" s="236"/>
      <c r="I82" s="279">
        <f t="shared" si="26"/>
        <v>0</v>
      </c>
      <c r="J82" s="279"/>
      <c r="K82" s="279"/>
      <c r="L82" s="279">
        <f t="shared" si="27"/>
        <v>0</v>
      </c>
      <c r="M82" s="279"/>
      <c r="N82" s="279"/>
      <c r="O82" s="241">
        <f t="shared" si="28"/>
        <v>0</v>
      </c>
      <c r="P82" s="241"/>
      <c r="Q82" s="241">
        <f t="shared" si="29"/>
        <v>0</v>
      </c>
      <c r="R82" s="241"/>
      <c r="S82" s="241">
        <f t="shared" si="30"/>
        <v>0</v>
      </c>
      <c r="T82" s="241"/>
      <c r="U82" s="7"/>
      <c r="AC82" s="21"/>
      <c r="AD82" s="21"/>
      <c r="AE82" s="21"/>
      <c r="AF82" s="21"/>
      <c r="AG82" s="21"/>
      <c r="AH82" s="21"/>
    </row>
    <row r="83" spans="1:34" x14ac:dyDescent="0.25">
      <c r="A83" s="5"/>
      <c r="B83" s="236">
        <f t="shared" si="14"/>
        <v>0</v>
      </c>
      <c r="C83" s="236"/>
      <c r="D83" s="53">
        <f t="shared" si="15"/>
        <v>0</v>
      </c>
      <c r="E83" s="236">
        <f t="shared" si="24"/>
        <v>0</v>
      </c>
      <c r="F83" s="236"/>
      <c r="G83" s="236" t="str">
        <f t="shared" si="25"/>
        <v/>
      </c>
      <c r="H83" s="236"/>
      <c r="I83" s="279">
        <f t="shared" si="26"/>
        <v>0</v>
      </c>
      <c r="J83" s="279"/>
      <c r="K83" s="279"/>
      <c r="L83" s="279">
        <f t="shared" si="27"/>
        <v>0</v>
      </c>
      <c r="M83" s="279"/>
      <c r="N83" s="279"/>
      <c r="O83" s="241">
        <f t="shared" si="28"/>
        <v>0</v>
      </c>
      <c r="P83" s="241"/>
      <c r="Q83" s="241">
        <f t="shared" si="29"/>
        <v>0</v>
      </c>
      <c r="R83" s="241"/>
      <c r="S83" s="241">
        <f t="shared" si="30"/>
        <v>0</v>
      </c>
      <c r="T83" s="241"/>
      <c r="U83" s="7"/>
      <c r="AC83" s="21"/>
      <c r="AD83" s="21"/>
      <c r="AE83" s="21"/>
      <c r="AF83" s="21"/>
      <c r="AG83" s="21"/>
      <c r="AH83" s="21"/>
    </row>
    <row r="84" spans="1:34" x14ac:dyDescent="0.25">
      <c r="A84" s="5"/>
      <c r="B84" s="236">
        <f t="shared" si="14"/>
        <v>0</v>
      </c>
      <c r="C84" s="236"/>
      <c r="D84" s="53">
        <f t="shared" si="15"/>
        <v>0</v>
      </c>
      <c r="E84" s="236">
        <f t="shared" si="24"/>
        <v>0</v>
      </c>
      <c r="F84" s="236"/>
      <c r="G84" s="236" t="str">
        <f t="shared" si="25"/>
        <v/>
      </c>
      <c r="H84" s="236"/>
      <c r="I84" s="279">
        <f t="shared" si="26"/>
        <v>0</v>
      </c>
      <c r="J84" s="279"/>
      <c r="K84" s="279"/>
      <c r="L84" s="279">
        <f t="shared" si="27"/>
        <v>0</v>
      </c>
      <c r="M84" s="279"/>
      <c r="N84" s="279"/>
      <c r="O84" s="241">
        <f t="shared" si="28"/>
        <v>0</v>
      </c>
      <c r="P84" s="241"/>
      <c r="Q84" s="241">
        <f t="shared" si="29"/>
        <v>0</v>
      </c>
      <c r="R84" s="241"/>
      <c r="S84" s="241">
        <f t="shared" si="30"/>
        <v>0</v>
      </c>
      <c r="T84" s="241"/>
      <c r="U84" s="7"/>
      <c r="AC84" s="21"/>
      <c r="AD84" s="21"/>
      <c r="AE84" s="21"/>
      <c r="AF84" s="21"/>
      <c r="AG84" s="21"/>
      <c r="AH84" s="21"/>
    </row>
    <row r="85" spans="1:34" x14ac:dyDescent="0.25">
      <c r="A85" s="5"/>
      <c r="B85" s="236">
        <f t="shared" si="14"/>
        <v>0</v>
      </c>
      <c r="C85" s="236"/>
      <c r="D85" s="53">
        <f t="shared" si="15"/>
        <v>0</v>
      </c>
      <c r="E85" s="236">
        <f t="shared" si="24"/>
        <v>0</v>
      </c>
      <c r="F85" s="236"/>
      <c r="G85" s="236" t="str">
        <f t="shared" si="25"/>
        <v/>
      </c>
      <c r="H85" s="236"/>
      <c r="I85" s="279">
        <f t="shared" si="26"/>
        <v>0</v>
      </c>
      <c r="J85" s="279"/>
      <c r="K85" s="279"/>
      <c r="L85" s="279">
        <f t="shared" si="27"/>
        <v>0</v>
      </c>
      <c r="M85" s="279"/>
      <c r="N85" s="279"/>
      <c r="O85" s="241">
        <f t="shared" si="28"/>
        <v>0</v>
      </c>
      <c r="P85" s="241"/>
      <c r="Q85" s="241">
        <f t="shared" si="29"/>
        <v>0</v>
      </c>
      <c r="R85" s="241"/>
      <c r="S85" s="241">
        <f t="shared" si="30"/>
        <v>0</v>
      </c>
      <c r="T85" s="241"/>
      <c r="U85" s="7"/>
      <c r="AC85" s="21"/>
      <c r="AD85" s="21"/>
      <c r="AE85" s="21"/>
      <c r="AF85" s="21"/>
      <c r="AG85" s="21"/>
      <c r="AH85" s="21"/>
    </row>
    <row r="86" spans="1:34" x14ac:dyDescent="0.25">
      <c r="A86" s="5"/>
      <c r="B86" s="236">
        <f t="shared" si="14"/>
        <v>0</v>
      </c>
      <c r="C86" s="236"/>
      <c r="D86" s="53">
        <f t="shared" si="15"/>
        <v>0</v>
      </c>
      <c r="E86" s="236">
        <f t="shared" si="24"/>
        <v>0</v>
      </c>
      <c r="F86" s="236"/>
      <c r="G86" s="236" t="str">
        <f t="shared" si="25"/>
        <v/>
      </c>
      <c r="H86" s="236"/>
      <c r="I86" s="279">
        <f t="shared" si="26"/>
        <v>0</v>
      </c>
      <c r="J86" s="279"/>
      <c r="K86" s="279"/>
      <c r="L86" s="279">
        <f t="shared" si="27"/>
        <v>0</v>
      </c>
      <c r="M86" s="279"/>
      <c r="N86" s="279"/>
      <c r="O86" s="241">
        <f t="shared" si="28"/>
        <v>0</v>
      </c>
      <c r="P86" s="241"/>
      <c r="Q86" s="241">
        <f t="shared" si="29"/>
        <v>0</v>
      </c>
      <c r="R86" s="241"/>
      <c r="S86" s="241">
        <f t="shared" si="30"/>
        <v>0</v>
      </c>
      <c r="T86" s="241"/>
      <c r="U86" s="7"/>
      <c r="AC86" s="21"/>
      <c r="AD86" s="21"/>
      <c r="AE86" s="21"/>
      <c r="AF86" s="21"/>
      <c r="AG86" s="21"/>
      <c r="AH86" s="21"/>
    </row>
    <row r="87" spans="1:34" x14ac:dyDescent="0.25">
      <c r="A87" s="5"/>
      <c r="B87" s="236">
        <f t="shared" si="14"/>
        <v>0</v>
      </c>
      <c r="C87" s="236"/>
      <c r="D87" s="53">
        <f t="shared" si="15"/>
        <v>0</v>
      </c>
      <c r="E87" s="236">
        <f t="shared" si="24"/>
        <v>0</v>
      </c>
      <c r="F87" s="236"/>
      <c r="G87" s="236" t="str">
        <f t="shared" si="25"/>
        <v/>
      </c>
      <c r="H87" s="236"/>
      <c r="I87" s="279">
        <f t="shared" si="26"/>
        <v>0</v>
      </c>
      <c r="J87" s="279"/>
      <c r="K87" s="279"/>
      <c r="L87" s="279">
        <f t="shared" si="27"/>
        <v>0</v>
      </c>
      <c r="M87" s="279"/>
      <c r="N87" s="279"/>
      <c r="O87" s="241">
        <f t="shared" si="28"/>
        <v>0</v>
      </c>
      <c r="P87" s="241"/>
      <c r="Q87" s="241">
        <f t="shared" si="29"/>
        <v>0</v>
      </c>
      <c r="R87" s="241"/>
      <c r="S87" s="241">
        <f t="shared" si="30"/>
        <v>0</v>
      </c>
      <c r="T87" s="241"/>
      <c r="U87" s="7"/>
      <c r="AC87" s="21"/>
      <c r="AD87" s="21"/>
      <c r="AE87" s="21"/>
      <c r="AF87" s="21"/>
      <c r="AG87" s="21"/>
      <c r="AH87" s="21"/>
    </row>
    <row r="88" spans="1:34" x14ac:dyDescent="0.25">
      <c r="A88" s="5"/>
      <c r="B88" s="236">
        <f t="shared" si="14"/>
        <v>0</v>
      </c>
      <c r="C88" s="236"/>
      <c r="D88" s="53">
        <f t="shared" si="15"/>
        <v>0</v>
      </c>
      <c r="E88" s="236">
        <f t="shared" si="24"/>
        <v>0</v>
      </c>
      <c r="F88" s="236"/>
      <c r="G88" s="236" t="str">
        <f t="shared" si="25"/>
        <v/>
      </c>
      <c r="H88" s="236"/>
      <c r="I88" s="279">
        <f t="shared" si="26"/>
        <v>0</v>
      </c>
      <c r="J88" s="279"/>
      <c r="K88" s="279"/>
      <c r="L88" s="279">
        <f t="shared" si="27"/>
        <v>0</v>
      </c>
      <c r="M88" s="279"/>
      <c r="N88" s="279"/>
      <c r="O88" s="241">
        <f t="shared" si="28"/>
        <v>0</v>
      </c>
      <c r="P88" s="241"/>
      <c r="Q88" s="241">
        <f t="shared" si="29"/>
        <v>0</v>
      </c>
      <c r="R88" s="241"/>
      <c r="S88" s="241">
        <f t="shared" si="30"/>
        <v>0</v>
      </c>
      <c r="T88" s="241"/>
      <c r="U88" s="7"/>
      <c r="AC88" s="21"/>
      <c r="AD88" s="21"/>
      <c r="AE88" s="21"/>
      <c r="AF88" s="21"/>
      <c r="AG88" s="21"/>
      <c r="AH88" s="21"/>
    </row>
    <row r="89" spans="1:34" x14ac:dyDescent="0.25">
      <c r="A89" s="5"/>
      <c r="B89" s="236">
        <f t="shared" si="14"/>
        <v>0</v>
      </c>
      <c r="C89" s="236"/>
      <c r="D89" s="53">
        <f t="shared" si="15"/>
        <v>0</v>
      </c>
      <c r="E89" s="236">
        <f t="shared" ref="E89:E96" si="31">Y85</f>
        <v>0</v>
      </c>
      <c r="F89" s="236"/>
      <c r="G89" s="236" t="str">
        <f t="shared" ref="G89:G96" si="32">MID(Z85,1,7)</f>
        <v/>
      </c>
      <c r="H89" s="236"/>
      <c r="I89" s="279">
        <f t="shared" ref="I89:I96" si="33">AC85</f>
        <v>0</v>
      </c>
      <c r="J89" s="279"/>
      <c r="K89" s="279"/>
      <c r="L89" s="279">
        <f t="shared" ref="L89:L96" si="34">AD85</f>
        <v>0</v>
      </c>
      <c r="M89" s="279"/>
      <c r="N89" s="279"/>
      <c r="O89" s="241">
        <f t="shared" ref="O89:O96" si="35">AE85</f>
        <v>0</v>
      </c>
      <c r="P89" s="241"/>
      <c r="Q89" s="241">
        <f t="shared" ref="Q89:Q96" si="36">AF85</f>
        <v>0</v>
      </c>
      <c r="R89" s="241"/>
      <c r="S89" s="241">
        <f t="shared" ref="S89:S96" si="37">SQRT(O89^2+Q89^2)</f>
        <v>0</v>
      </c>
      <c r="T89" s="241"/>
      <c r="U89" s="7"/>
      <c r="AH89" s="21"/>
    </row>
    <row r="90" spans="1:34" x14ac:dyDescent="0.25">
      <c r="A90" s="5"/>
      <c r="B90" s="236">
        <f t="shared" si="14"/>
        <v>0</v>
      </c>
      <c r="C90" s="236"/>
      <c r="D90" s="53">
        <f t="shared" si="15"/>
        <v>0</v>
      </c>
      <c r="E90" s="236">
        <f t="shared" si="31"/>
        <v>0</v>
      </c>
      <c r="F90" s="236"/>
      <c r="G90" s="236" t="str">
        <f t="shared" si="32"/>
        <v/>
      </c>
      <c r="H90" s="236"/>
      <c r="I90" s="279">
        <f t="shared" si="33"/>
        <v>0</v>
      </c>
      <c r="J90" s="279"/>
      <c r="K90" s="279"/>
      <c r="L90" s="279">
        <f t="shared" si="34"/>
        <v>0</v>
      </c>
      <c r="M90" s="279"/>
      <c r="N90" s="279"/>
      <c r="O90" s="241">
        <f t="shared" si="35"/>
        <v>0</v>
      </c>
      <c r="P90" s="241"/>
      <c r="Q90" s="241">
        <f t="shared" si="36"/>
        <v>0</v>
      </c>
      <c r="R90" s="241"/>
      <c r="S90" s="241">
        <f t="shared" si="37"/>
        <v>0</v>
      </c>
      <c r="T90" s="241"/>
      <c r="U90" s="7"/>
      <c r="AE90" s="69"/>
      <c r="AF90" s="69"/>
      <c r="AH90" s="21"/>
    </row>
    <row r="91" spans="1:34" x14ac:dyDescent="0.25">
      <c r="A91" s="5"/>
      <c r="B91" s="236">
        <f t="shared" si="14"/>
        <v>0</v>
      </c>
      <c r="C91" s="236"/>
      <c r="D91" s="53">
        <f t="shared" si="15"/>
        <v>0</v>
      </c>
      <c r="E91" s="236">
        <f t="shared" si="31"/>
        <v>0</v>
      </c>
      <c r="F91" s="236"/>
      <c r="G91" s="236" t="str">
        <f t="shared" si="32"/>
        <v/>
      </c>
      <c r="H91" s="236"/>
      <c r="I91" s="279">
        <f t="shared" si="33"/>
        <v>0</v>
      </c>
      <c r="J91" s="279"/>
      <c r="K91" s="279"/>
      <c r="L91" s="279">
        <f t="shared" si="34"/>
        <v>0</v>
      </c>
      <c r="M91" s="279"/>
      <c r="N91" s="279"/>
      <c r="O91" s="241">
        <f t="shared" si="35"/>
        <v>0</v>
      </c>
      <c r="P91" s="241"/>
      <c r="Q91" s="241">
        <f t="shared" si="36"/>
        <v>0</v>
      </c>
      <c r="R91" s="241"/>
      <c r="S91" s="241">
        <f t="shared" si="37"/>
        <v>0</v>
      </c>
      <c r="T91" s="241"/>
      <c r="U91" s="7"/>
      <c r="AH91" s="21"/>
    </row>
    <row r="92" spans="1:34" x14ac:dyDescent="0.25">
      <c r="A92" s="5"/>
      <c r="B92" s="236">
        <f t="shared" si="14"/>
        <v>0</v>
      </c>
      <c r="C92" s="236"/>
      <c r="D92" s="53">
        <f t="shared" si="15"/>
        <v>0</v>
      </c>
      <c r="E92" s="236">
        <f t="shared" si="31"/>
        <v>0</v>
      </c>
      <c r="F92" s="236"/>
      <c r="G92" s="236" t="str">
        <f t="shared" si="32"/>
        <v/>
      </c>
      <c r="H92" s="236"/>
      <c r="I92" s="279">
        <f t="shared" si="33"/>
        <v>0</v>
      </c>
      <c r="J92" s="279"/>
      <c r="K92" s="279"/>
      <c r="L92" s="279">
        <f t="shared" si="34"/>
        <v>0</v>
      </c>
      <c r="M92" s="279"/>
      <c r="N92" s="279"/>
      <c r="O92" s="241">
        <f t="shared" si="35"/>
        <v>0</v>
      </c>
      <c r="P92" s="241"/>
      <c r="Q92" s="241">
        <f t="shared" si="36"/>
        <v>0</v>
      </c>
      <c r="R92" s="241"/>
      <c r="S92" s="241">
        <f t="shared" si="37"/>
        <v>0</v>
      </c>
      <c r="T92" s="241"/>
      <c r="U92" s="7"/>
      <c r="AE92" s="69"/>
      <c r="AH92" s="21"/>
    </row>
    <row r="93" spans="1:34" x14ac:dyDescent="0.25">
      <c r="A93" s="5"/>
      <c r="B93" s="236">
        <f t="shared" si="14"/>
        <v>0</v>
      </c>
      <c r="C93" s="236"/>
      <c r="D93" s="53">
        <f t="shared" si="15"/>
        <v>0</v>
      </c>
      <c r="E93" s="236">
        <f t="shared" si="31"/>
        <v>0</v>
      </c>
      <c r="F93" s="236"/>
      <c r="G93" s="236" t="str">
        <f t="shared" si="32"/>
        <v/>
      </c>
      <c r="H93" s="236"/>
      <c r="I93" s="279">
        <f t="shared" si="33"/>
        <v>0</v>
      </c>
      <c r="J93" s="279"/>
      <c r="K93" s="279"/>
      <c r="L93" s="279">
        <f t="shared" si="34"/>
        <v>0</v>
      </c>
      <c r="M93" s="279"/>
      <c r="N93" s="279"/>
      <c r="O93" s="241">
        <f t="shared" si="35"/>
        <v>0</v>
      </c>
      <c r="P93" s="241"/>
      <c r="Q93" s="241">
        <f t="shared" si="36"/>
        <v>0</v>
      </c>
      <c r="R93" s="241"/>
      <c r="S93" s="241">
        <f t="shared" si="37"/>
        <v>0</v>
      </c>
      <c r="T93" s="241"/>
      <c r="U93" s="7"/>
      <c r="AD93" s="69"/>
      <c r="AE93" s="69"/>
      <c r="AF93" s="69"/>
      <c r="AH93" s="21"/>
    </row>
    <row r="94" spans="1:34" x14ac:dyDescent="0.25">
      <c r="A94" s="5"/>
      <c r="B94" s="236">
        <f t="shared" si="14"/>
        <v>0</v>
      </c>
      <c r="C94" s="236"/>
      <c r="D94" s="53">
        <f t="shared" si="15"/>
        <v>0</v>
      </c>
      <c r="E94" s="236">
        <f t="shared" si="31"/>
        <v>0</v>
      </c>
      <c r="F94" s="236"/>
      <c r="G94" s="236" t="str">
        <f t="shared" si="32"/>
        <v/>
      </c>
      <c r="H94" s="236"/>
      <c r="I94" s="279">
        <f t="shared" si="33"/>
        <v>0</v>
      </c>
      <c r="J94" s="279"/>
      <c r="K94" s="279"/>
      <c r="L94" s="279">
        <f t="shared" si="34"/>
        <v>0</v>
      </c>
      <c r="M94" s="279"/>
      <c r="N94" s="279"/>
      <c r="O94" s="241">
        <f t="shared" si="35"/>
        <v>0</v>
      </c>
      <c r="P94" s="241"/>
      <c r="Q94" s="241">
        <f t="shared" si="36"/>
        <v>0</v>
      </c>
      <c r="R94" s="241"/>
      <c r="S94" s="241">
        <f t="shared" si="37"/>
        <v>0</v>
      </c>
      <c r="T94" s="241"/>
      <c r="U94" s="7"/>
      <c r="AE94" s="69"/>
      <c r="AH94" s="21"/>
    </row>
    <row r="95" spans="1:34" x14ac:dyDescent="0.25">
      <c r="A95" s="5"/>
      <c r="B95" s="236">
        <f t="shared" si="14"/>
        <v>0</v>
      </c>
      <c r="C95" s="236"/>
      <c r="D95" s="53">
        <f t="shared" si="15"/>
        <v>0</v>
      </c>
      <c r="E95" s="236">
        <f t="shared" si="31"/>
        <v>0</v>
      </c>
      <c r="F95" s="236"/>
      <c r="G95" s="236" t="str">
        <f t="shared" si="32"/>
        <v/>
      </c>
      <c r="H95" s="236"/>
      <c r="I95" s="279">
        <f t="shared" si="33"/>
        <v>0</v>
      </c>
      <c r="J95" s="279"/>
      <c r="K95" s="279"/>
      <c r="L95" s="279">
        <f t="shared" si="34"/>
        <v>0</v>
      </c>
      <c r="M95" s="279"/>
      <c r="N95" s="279"/>
      <c r="O95" s="241">
        <f t="shared" si="35"/>
        <v>0</v>
      </c>
      <c r="P95" s="241"/>
      <c r="Q95" s="241">
        <f t="shared" si="36"/>
        <v>0</v>
      </c>
      <c r="R95" s="241"/>
      <c r="S95" s="241">
        <f t="shared" si="37"/>
        <v>0</v>
      </c>
      <c r="T95" s="241"/>
      <c r="U95" s="7"/>
      <c r="AH95" s="21"/>
    </row>
    <row r="96" spans="1:34" x14ac:dyDescent="0.25">
      <c r="A96" s="5"/>
      <c r="B96" s="236">
        <f t="shared" si="14"/>
        <v>0</v>
      </c>
      <c r="C96" s="236"/>
      <c r="D96" s="53">
        <f t="shared" si="15"/>
        <v>0</v>
      </c>
      <c r="E96" s="236">
        <f t="shared" si="31"/>
        <v>0</v>
      </c>
      <c r="F96" s="236"/>
      <c r="G96" s="236" t="str">
        <f t="shared" si="32"/>
        <v/>
      </c>
      <c r="H96" s="236"/>
      <c r="I96" s="279">
        <f t="shared" si="33"/>
        <v>0</v>
      </c>
      <c r="J96" s="279"/>
      <c r="K96" s="279"/>
      <c r="L96" s="279">
        <f t="shared" si="34"/>
        <v>0</v>
      </c>
      <c r="M96" s="279"/>
      <c r="N96" s="279"/>
      <c r="O96" s="241">
        <f t="shared" si="35"/>
        <v>0</v>
      </c>
      <c r="P96" s="241"/>
      <c r="Q96" s="241">
        <f t="shared" si="36"/>
        <v>0</v>
      </c>
      <c r="R96" s="241"/>
      <c r="S96" s="241">
        <f t="shared" si="37"/>
        <v>0</v>
      </c>
      <c r="T96" s="241"/>
      <c r="U96" s="7"/>
      <c r="AD96" s="69"/>
      <c r="AE96" s="69"/>
      <c r="AF96" s="69"/>
      <c r="AH96" s="21"/>
    </row>
    <row r="97" spans="1:34" x14ac:dyDescent="0.25">
      <c r="A97" s="5"/>
      <c r="B97" s="236"/>
      <c r="C97" s="236"/>
      <c r="D97" s="53"/>
      <c r="E97" s="236"/>
      <c r="F97" s="236"/>
      <c r="G97" s="236"/>
      <c r="H97" s="236"/>
      <c r="I97" s="279"/>
      <c r="J97" s="279"/>
      <c r="K97" s="279"/>
      <c r="L97" s="279"/>
      <c r="M97" s="279"/>
      <c r="N97" s="279"/>
      <c r="O97" s="241"/>
      <c r="P97" s="241"/>
      <c r="Q97" s="241"/>
      <c r="R97" s="241"/>
      <c r="S97" s="241"/>
      <c r="T97" s="241"/>
      <c r="U97" s="7"/>
      <c r="AH97" s="21"/>
    </row>
    <row r="98" spans="1:34" x14ac:dyDescent="0.25">
      <c r="A98" s="5"/>
      <c r="B98" s="236"/>
      <c r="C98" s="236"/>
      <c r="D98" s="53"/>
      <c r="E98" s="236"/>
      <c r="F98" s="236"/>
      <c r="G98" s="236"/>
      <c r="H98" s="236"/>
      <c r="I98" s="279"/>
      <c r="J98" s="279"/>
      <c r="K98" s="279"/>
      <c r="L98" s="279"/>
      <c r="M98" s="279"/>
      <c r="N98" s="279"/>
      <c r="O98" s="241"/>
      <c r="P98" s="241"/>
      <c r="Q98" s="241"/>
      <c r="R98" s="241"/>
      <c r="S98" s="241"/>
      <c r="T98" s="241"/>
      <c r="U98" s="7"/>
      <c r="AC98" s="69"/>
      <c r="AE98" s="69"/>
      <c r="AH98" s="21"/>
    </row>
    <row r="99" spans="1:34" x14ac:dyDescent="0.25">
      <c r="A99" s="5"/>
      <c r="B99" s="236"/>
      <c r="C99" s="236"/>
      <c r="D99" s="53"/>
      <c r="E99" s="236"/>
      <c r="F99" s="236"/>
      <c r="G99" s="236"/>
      <c r="H99" s="236"/>
      <c r="I99" s="279"/>
      <c r="J99" s="279"/>
      <c r="K99" s="279"/>
      <c r="L99" s="279"/>
      <c r="M99" s="279"/>
      <c r="N99" s="279"/>
      <c r="O99" s="241"/>
      <c r="P99" s="241"/>
      <c r="Q99" s="241"/>
      <c r="R99" s="241"/>
      <c r="S99" s="241"/>
      <c r="T99" s="241"/>
      <c r="U99" s="7"/>
      <c r="AD99" s="69"/>
      <c r="AE99" s="69"/>
      <c r="AF99" s="69"/>
      <c r="AH99" s="21"/>
    </row>
    <row r="100" spans="1:34" x14ac:dyDescent="0.25">
      <c r="A100" s="5"/>
      <c r="B100" s="236"/>
      <c r="C100" s="236"/>
      <c r="D100" s="53"/>
      <c r="E100" s="236"/>
      <c r="F100" s="236"/>
      <c r="G100" s="236"/>
      <c r="H100" s="236"/>
      <c r="I100" s="279"/>
      <c r="J100" s="279"/>
      <c r="K100" s="279"/>
      <c r="L100" s="279"/>
      <c r="M100" s="279"/>
      <c r="N100" s="279"/>
      <c r="O100" s="241"/>
      <c r="P100" s="241"/>
      <c r="Q100" s="241"/>
      <c r="R100" s="241"/>
      <c r="S100" s="241"/>
      <c r="T100" s="241"/>
      <c r="U100" s="7"/>
      <c r="AC100" s="69"/>
      <c r="AE100" s="69"/>
      <c r="AH100" s="21"/>
    </row>
    <row r="101" spans="1:34" x14ac:dyDescent="0.25">
      <c r="A101" s="5"/>
      <c r="B101" s="236"/>
      <c r="C101" s="236"/>
      <c r="D101" s="53"/>
      <c r="E101" s="236"/>
      <c r="F101" s="236"/>
      <c r="G101" s="236"/>
      <c r="H101" s="236"/>
      <c r="I101" s="279"/>
      <c r="J101" s="279"/>
      <c r="K101" s="279"/>
      <c r="L101" s="279"/>
      <c r="M101" s="279"/>
      <c r="N101" s="279"/>
      <c r="O101" s="241"/>
      <c r="P101" s="241"/>
      <c r="Q101" s="241"/>
      <c r="R101" s="241"/>
      <c r="S101" s="241"/>
      <c r="T101" s="241"/>
      <c r="U101" s="7"/>
      <c r="AE101" s="69"/>
      <c r="AH101" s="21"/>
    </row>
    <row r="102" spans="1:34" x14ac:dyDescent="0.25">
      <c r="A102" s="5"/>
      <c r="B102" s="236"/>
      <c r="C102" s="236"/>
      <c r="D102" s="53"/>
      <c r="E102" s="236"/>
      <c r="F102" s="236"/>
      <c r="G102" s="236"/>
      <c r="H102" s="236"/>
      <c r="I102" s="279"/>
      <c r="J102" s="279"/>
      <c r="K102" s="279"/>
      <c r="L102" s="279"/>
      <c r="M102" s="279"/>
      <c r="N102" s="279"/>
      <c r="O102" s="241"/>
      <c r="P102" s="241"/>
      <c r="Q102" s="241"/>
      <c r="R102" s="241"/>
      <c r="S102" s="241"/>
      <c r="T102" s="241"/>
      <c r="U102" s="7"/>
      <c r="AC102" s="69"/>
      <c r="AE102" s="69"/>
      <c r="AF102" s="69"/>
      <c r="AH102" s="21"/>
    </row>
    <row r="103" spans="1:34" x14ac:dyDescent="0.25">
      <c r="A103" s="5"/>
      <c r="B103" s="236"/>
      <c r="C103" s="236"/>
      <c r="D103" s="53"/>
      <c r="E103" s="236"/>
      <c r="F103" s="236"/>
      <c r="G103" s="236"/>
      <c r="H103" s="236"/>
      <c r="I103" s="279"/>
      <c r="J103" s="279"/>
      <c r="K103" s="279"/>
      <c r="L103" s="279"/>
      <c r="M103" s="279"/>
      <c r="N103" s="279"/>
      <c r="O103" s="241"/>
      <c r="P103" s="241"/>
      <c r="Q103" s="241"/>
      <c r="R103" s="241"/>
      <c r="S103" s="241"/>
      <c r="T103" s="241"/>
      <c r="U103" s="7"/>
      <c r="AH103" s="21"/>
    </row>
    <row r="104" spans="1:34" x14ac:dyDescent="0.25">
      <c r="A104" s="5"/>
      <c r="B104" s="236"/>
      <c r="C104" s="236"/>
      <c r="D104" s="53"/>
      <c r="E104" s="236"/>
      <c r="F104" s="236"/>
      <c r="G104" s="236"/>
      <c r="H104" s="236"/>
      <c r="I104" s="279"/>
      <c r="J104" s="279"/>
      <c r="K104" s="279"/>
      <c r="L104" s="279"/>
      <c r="M104" s="279"/>
      <c r="N104" s="279"/>
      <c r="O104" s="241"/>
      <c r="P104" s="241"/>
      <c r="Q104" s="241"/>
      <c r="R104" s="241"/>
      <c r="S104" s="241"/>
      <c r="T104" s="241"/>
      <c r="U104" s="7"/>
      <c r="AC104" s="69"/>
      <c r="AE104" s="69"/>
      <c r="AH104" s="21"/>
    </row>
    <row r="105" spans="1:34" x14ac:dyDescent="0.25">
      <c r="A105" s="5"/>
      <c r="B105" s="236"/>
      <c r="C105" s="236"/>
      <c r="D105" s="53"/>
      <c r="E105" s="236"/>
      <c r="F105" s="236"/>
      <c r="G105" s="236"/>
      <c r="H105" s="236"/>
      <c r="I105" s="279"/>
      <c r="J105" s="279"/>
      <c r="K105" s="279"/>
      <c r="L105" s="279"/>
      <c r="M105" s="279"/>
      <c r="N105" s="279"/>
      <c r="O105" s="241"/>
      <c r="P105" s="241"/>
      <c r="Q105" s="241"/>
      <c r="R105" s="241"/>
      <c r="S105" s="241"/>
      <c r="T105" s="241"/>
      <c r="U105" s="7"/>
      <c r="AD105" s="69"/>
      <c r="AE105" s="69"/>
      <c r="AF105" s="69"/>
      <c r="AH105" s="21"/>
    </row>
    <row r="106" spans="1:34" x14ac:dyDescent="0.25">
      <c r="A106" s="5"/>
      <c r="B106" s="236"/>
      <c r="C106" s="236"/>
      <c r="D106" s="53"/>
      <c r="E106" s="236"/>
      <c r="F106" s="236"/>
      <c r="G106" s="236"/>
      <c r="H106" s="236"/>
      <c r="I106" s="279"/>
      <c r="J106" s="279"/>
      <c r="K106" s="279"/>
      <c r="L106" s="279"/>
      <c r="M106" s="279"/>
      <c r="N106" s="279"/>
      <c r="O106" s="241"/>
      <c r="P106" s="241"/>
      <c r="Q106" s="241"/>
      <c r="R106" s="241"/>
      <c r="S106" s="241"/>
      <c r="T106" s="241"/>
      <c r="U106" s="7"/>
      <c r="AC106" s="69"/>
      <c r="AE106" s="69"/>
      <c r="AH106" s="21"/>
    </row>
    <row r="107" spans="1:34" x14ac:dyDescent="0.25">
      <c r="A107" s="5"/>
      <c r="B107" s="236"/>
      <c r="C107" s="236"/>
      <c r="D107" s="53"/>
      <c r="E107" s="236"/>
      <c r="F107" s="236"/>
      <c r="G107" s="236"/>
      <c r="H107" s="236"/>
      <c r="I107" s="279"/>
      <c r="J107" s="279"/>
      <c r="K107" s="279"/>
      <c r="L107" s="279"/>
      <c r="M107" s="279"/>
      <c r="N107" s="279"/>
      <c r="O107" s="241"/>
      <c r="P107" s="241"/>
      <c r="Q107" s="241"/>
      <c r="R107" s="241"/>
      <c r="S107" s="241"/>
      <c r="T107" s="241"/>
      <c r="U107" s="7"/>
      <c r="AH107" s="21"/>
    </row>
    <row r="108" spans="1:34" x14ac:dyDescent="0.25">
      <c r="A108" s="5"/>
      <c r="B108" s="236"/>
      <c r="C108" s="236"/>
      <c r="D108" s="53"/>
      <c r="E108" s="236"/>
      <c r="F108" s="236"/>
      <c r="G108" s="236"/>
      <c r="H108" s="236"/>
      <c r="I108" s="279"/>
      <c r="J108" s="279"/>
      <c r="K108" s="279"/>
      <c r="L108" s="279"/>
      <c r="M108" s="279"/>
      <c r="N108" s="279"/>
      <c r="O108" s="241"/>
      <c r="P108" s="241"/>
      <c r="Q108" s="241"/>
      <c r="R108" s="241"/>
      <c r="S108" s="241"/>
      <c r="T108" s="241"/>
      <c r="U108" s="7"/>
      <c r="AC108" s="69"/>
      <c r="AE108" s="69"/>
      <c r="AF108" s="69"/>
      <c r="AH108" s="21"/>
    </row>
    <row r="109" spans="1:34" x14ac:dyDescent="0.25">
      <c r="A109" s="5"/>
      <c r="B109" s="236"/>
      <c r="C109" s="236"/>
      <c r="D109" s="53"/>
      <c r="E109" s="236"/>
      <c r="F109" s="236"/>
      <c r="G109" s="236"/>
      <c r="H109" s="236"/>
      <c r="I109" s="279"/>
      <c r="J109" s="279"/>
      <c r="K109" s="279"/>
      <c r="L109" s="279"/>
      <c r="M109" s="279"/>
      <c r="N109" s="279"/>
      <c r="O109" s="241"/>
      <c r="P109" s="241"/>
      <c r="Q109" s="241"/>
      <c r="R109" s="241"/>
      <c r="S109" s="241"/>
      <c r="T109" s="241"/>
      <c r="U109" s="7"/>
      <c r="AH109" s="21"/>
    </row>
    <row r="110" spans="1:34" x14ac:dyDescent="0.25">
      <c r="A110" s="5"/>
      <c r="B110" s="236"/>
      <c r="C110" s="236"/>
      <c r="D110" s="53"/>
      <c r="E110" s="236"/>
      <c r="F110" s="236"/>
      <c r="G110" s="236"/>
      <c r="H110" s="236"/>
      <c r="I110" s="279"/>
      <c r="J110" s="279"/>
      <c r="K110" s="279"/>
      <c r="L110" s="279"/>
      <c r="M110" s="279"/>
      <c r="N110" s="279"/>
      <c r="O110" s="241"/>
      <c r="P110" s="241"/>
      <c r="Q110" s="241"/>
      <c r="R110" s="241"/>
      <c r="S110" s="241"/>
      <c r="T110" s="241"/>
      <c r="U110" s="7"/>
      <c r="AE110" s="69"/>
      <c r="AH110" s="21"/>
    </row>
    <row r="111" spans="1:34" x14ac:dyDescent="0.25">
      <c r="A111" s="5"/>
      <c r="B111" s="236"/>
      <c r="C111" s="236"/>
      <c r="D111" s="53"/>
      <c r="E111" s="236"/>
      <c r="F111" s="236"/>
      <c r="G111" s="236"/>
      <c r="H111" s="236"/>
      <c r="I111" s="279"/>
      <c r="J111" s="279"/>
      <c r="K111" s="279"/>
      <c r="L111" s="279"/>
      <c r="M111" s="279"/>
      <c r="N111" s="279"/>
      <c r="O111" s="241"/>
      <c r="P111" s="241"/>
      <c r="Q111" s="241"/>
      <c r="R111" s="241"/>
      <c r="S111" s="241"/>
      <c r="T111" s="241"/>
      <c r="U111" s="7"/>
      <c r="AD111" s="69"/>
      <c r="AE111" s="69"/>
      <c r="AF111" s="69"/>
      <c r="AH111" s="21"/>
    </row>
    <row r="112" spans="1:34" x14ac:dyDescent="0.25">
      <c r="A112" s="5"/>
      <c r="B112" s="236"/>
      <c r="C112" s="236"/>
      <c r="D112" s="53"/>
      <c r="E112" s="236"/>
      <c r="F112" s="236"/>
      <c r="G112" s="236"/>
      <c r="H112" s="236"/>
      <c r="I112" s="279"/>
      <c r="J112" s="279"/>
      <c r="K112" s="279"/>
      <c r="L112" s="279"/>
      <c r="M112" s="279"/>
      <c r="N112" s="279"/>
      <c r="O112" s="241"/>
      <c r="P112" s="241"/>
      <c r="Q112" s="241"/>
      <c r="R112" s="241"/>
      <c r="S112" s="241"/>
      <c r="T112" s="241"/>
      <c r="U112" s="7"/>
      <c r="AE112" s="69"/>
      <c r="AH112" s="21"/>
    </row>
    <row r="113" spans="1:34" x14ac:dyDescent="0.25">
      <c r="A113" s="5"/>
      <c r="B113" s="236"/>
      <c r="C113" s="236"/>
      <c r="D113" s="53"/>
      <c r="E113" s="236"/>
      <c r="F113" s="236"/>
      <c r="G113" s="236"/>
      <c r="H113" s="236"/>
      <c r="I113" s="279"/>
      <c r="J113" s="279"/>
      <c r="K113" s="279"/>
      <c r="L113" s="279"/>
      <c r="M113" s="279"/>
      <c r="N113" s="279"/>
      <c r="O113" s="241"/>
      <c r="P113" s="241"/>
      <c r="Q113" s="241"/>
      <c r="R113" s="241"/>
      <c r="S113" s="241"/>
      <c r="T113" s="241"/>
      <c r="U113" s="7"/>
      <c r="AH113" s="21"/>
    </row>
    <row r="114" spans="1:34" x14ac:dyDescent="0.25">
      <c r="A114" s="5"/>
      <c r="B114" s="236"/>
      <c r="C114" s="236"/>
      <c r="D114" s="53"/>
      <c r="E114" s="236"/>
      <c r="F114" s="236"/>
      <c r="G114" s="236"/>
      <c r="H114" s="236"/>
      <c r="I114" s="279"/>
      <c r="J114" s="279"/>
      <c r="K114" s="279"/>
      <c r="L114" s="279"/>
      <c r="M114" s="279"/>
      <c r="N114" s="279"/>
      <c r="O114" s="241"/>
      <c r="P114" s="241"/>
      <c r="Q114" s="241"/>
      <c r="R114" s="241"/>
      <c r="S114" s="241"/>
      <c r="T114" s="241"/>
      <c r="U114" s="7"/>
      <c r="AD114" s="69"/>
      <c r="AE114" s="69"/>
      <c r="AF114" s="69"/>
      <c r="AH114" s="21"/>
    </row>
    <row r="115" spans="1:34" x14ac:dyDescent="0.25">
      <c r="A115" s="5"/>
      <c r="B115" s="236"/>
      <c r="C115" s="236"/>
      <c r="D115" s="53"/>
      <c r="E115" s="236"/>
      <c r="F115" s="236"/>
      <c r="G115" s="236"/>
      <c r="H115" s="236"/>
      <c r="I115" s="279"/>
      <c r="J115" s="279"/>
      <c r="K115" s="279"/>
      <c r="L115" s="279"/>
      <c r="M115" s="279"/>
      <c r="N115" s="279"/>
      <c r="O115" s="241"/>
      <c r="P115" s="241"/>
      <c r="Q115" s="241"/>
      <c r="R115" s="241"/>
      <c r="S115" s="241"/>
      <c r="T115" s="241"/>
      <c r="U115" s="7"/>
      <c r="AH115" s="21"/>
    </row>
    <row r="116" spans="1:34" x14ac:dyDescent="0.25">
      <c r="A116" s="5"/>
      <c r="B116" s="236"/>
      <c r="C116" s="236"/>
      <c r="D116" s="53"/>
      <c r="E116" s="236"/>
      <c r="F116" s="236"/>
      <c r="G116" s="236"/>
      <c r="H116" s="236"/>
      <c r="I116" s="279"/>
      <c r="J116" s="279"/>
      <c r="K116" s="279"/>
      <c r="L116" s="279"/>
      <c r="M116" s="279"/>
      <c r="N116" s="279"/>
      <c r="O116" s="241"/>
      <c r="P116" s="241"/>
      <c r="Q116" s="241"/>
      <c r="R116" s="241"/>
      <c r="S116" s="241"/>
      <c r="T116" s="241"/>
      <c r="U116" s="7"/>
      <c r="AE116" s="69"/>
      <c r="AH116" s="21"/>
    </row>
    <row r="117" spans="1:34" x14ac:dyDescent="0.25">
      <c r="A117" s="5"/>
      <c r="B117" s="236"/>
      <c r="C117" s="236"/>
      <c r="D117" s="53"/>
      <c r="E117" s="236"/>
      <c r="F117" s="236"/>
      <c r="G117" s="236"/>
      <c r="H117" s="236"/>
      <c r="I117" s="279"/>
      <c r="J117" s="279"/>
      <c r="K117" s="279"/>
      <c r="L117" s="279"/>
      <c r="M117" s="279"/>
      <c r="N117" s="279"/>
      <c r="O117" s="241"/>
      <c r="P117" s="241"/>
      <c r="Q117" s="241"/>
      <c r="R117" s="241"/>
      <c r="S117" s="241"/>
      <c r="T117" s="241"/>
      <c r="U117" s="7"/>
      <c r="AD117" s="69"/>
      <c r="AE117" s="69"/>
      <c r="AF117" s="69"/>
      <c r="AH117" s="21"/>
    </row>
    <row r="118" spans="1:34" x14ac:dyDescent="0.25">
      <c r="A118" s="5"/>
      <c r="B118" s="236"/>
      <c r="C118" s="236"/>
      <c r="D118" s="53"/>
      <c r="E118" s="236"/>
      <c r="F118" s="236"/>
      <c r="G118" s="236"/>
      <c r="H118" s="236"/>
      <c r="I118" s="279"/>
      <c r="J118" s="279"/>
      <c r="K118" s="279"/>
      <c r="L118" s="279"/>
      <c r="M118" s="279"/>
      <c r="N118" s="279"/>
      <c r="O118" s="241"/>
      <c r="P118" s="241"/>
      <c r="Q118" s="241"/>
      <c r="R118" s="241"/>
      <c r="S118" s="241"/>
      <c r="T118" s="241"/>
      <c r="U118" s="7"/>
      <c r="AE118" s="69"/>
      <c r="AH118" s="21"/>
    </row>
    <row r="119" spans="1:34" x14ac:dyDescent="0.25">
      <c r="A119" s="5"/>
      <c r="B119" s="236"/>
      <c r="C119" s="236"/>
      <c r="D119" s="53"/>
      <c r="E119" s="236"/>
      <c r="F119" s="236"/>
      <c r="G119" s="236"/>
      <c r="H119" s="236"/>
      <c r="I119" s="279"/>
      <c r="J119" s="279"/>
      <c r="K119" s="279"/>
      <c r="L119" s="279"/>
      <c r="M119" s="279"/>
      <c r="N119" s="279"/>
      <c r="O119" s="241"/>
      <c r="P119" s="241"/>
      <c r="Q119" s="241"/>
      <c r="R119" s="241"/>
      <c r="S119" s="241"/>
      <c r="T119" s="241"/>
      <c r="U119" s="7"/>
      <c r="AH119" s="21"/>
    </row>
    <row r="120" spans="1:34" x14ac:dyDescent="0.25">
      <c r="A120" s="5"/>
      <c r="B120" s="236"/>
      <c r="C120" s="236"/>
      <c r="D120" s="53"/>
      <c r="E120" s="236"/>
      <c r="F120" s="236"/>
      <c r="G120" s="236"/>
      <c r="H120" s="236"/>
      <c r="I120" s="279"/>
      <c r="J120" s="279"/>
      <c r="K120" s="279"/>
      <c r="L120" s="279"/>
      <c r="M120" s="279"/>
      <c r="N120" s="279"/>
      <c r="O120" s="241"/>
      <c r="P120" s="241"/>
      <c r="Q120" s="241"/>
      <c r="R120" s="241"/>
      <c r="S120" s="241"/>
      <c r="T120" s="241"/>
      <c r="U120" s="7"/>
      <c r="AE120" s="69"/>
      <c r="AF120" s="69"/>
      <c r="AH120" s="21"/>
    </row>
    <row r="121" spans="1:34" x14ac:dyDescent="0.25">
      <c r="A121" s="5"/>
      <c r="B121" s="236"/>
      <c r="C121" s="236"/>
      <c r="D121" s="53"/>
      <c r="E121" s="236"/>
      <c r="F121" s="236"/>
      <c r="G121" s="236"/>
      <c r="H121" s="236"/>
      <c r="I121" s="279"/>
      <c r="J121" s="279"/>
      <c r="K121" s="279"/>
      <c r="L121" s="279"/>
      <c r="M121" s="279"/>
      <c r="N121" s="279"/>
      <c r="O121" s="241"/>
      <c r="P121" s="241"/>
      <c r="Q121" s="241"/>
      <c r="R121" s="241"/>
      <c r="S121" s="241"/>
      <c r="T121" s="241"/>
      <c r="U121" s="7"/>
      <c r="AH121" s="21"/>
    </row>
    <row r="122" spans="1:34" x14ac:dyDescent="0.25">
      <c r="A122" s="5"/>
      <c r="B122" s="236"/>
      <c r="C122" s="236"/>
      <c r="D122" s="53"/>
      <c r="E122" s="236"/>
      <c r="F122" s="236"/>
      <c r="G122" s="236"/>
      <c r="H122" s="236"/>
      <c r="I122" s="279"/>
      <c r="J122" s="279"/>
      <c r="K122" s="279"/>
      <c r="L122" s="279"/>
      <c r="M122" s="279"/>
      <c r="N122" s="279"/>
      <c r="O122" s="241"/>
      <c r="P122" s="241"/>
      <c r="Q122" s="241"/>
      <c r="R122" s="241"/>
      <c r="S122" s="241"/>
      <c r="T122" s="241"/>
      <c r="U122" s="7"/>
      <c r="AE122" s="69"/>
      <c r="AH122" s="21"/>
    </row>
    <row r="123" spans="1:34" x14ac:dyDescent="0.25">
      <c r="A123" s="5"/>
      <c r="B123" s="236"/>
      <c r="C123" s="236"/>
      <c r="D123" s="53"/>
      <c r="E123" s="236"/>
      <c r="F123" s="236"/>
      <c r="G123" s="236"/>
      <c r="H123" s="236"/>
      <c r="I123" s="279"/>
      <c r="J123" s="279"/>
      <c r="K123" s="279"/>
      <c r="L123" s="279"/>
      <c r="M123" s="279"/>
      <c r="N123" s="279"/>
      <c r="O123" s="241"/>
      <c r="P123" s="241"/>
      <c r="Q123" s="241"/>
      <c r="R123" s="241"/>
      <c r="S123" s="241"/>
      <c r="T123" s="241"/>
      <c r="U123" s="7"/>
      <c r="AE123" s="69"/>
      <c r="AF123" s="69"/>
      <c r="AH123" s="21"/>
    </row>
    <row r="124" spans="1:34" x14ac:dyDescent="0.25">
      <c r="A124" s="5"/>
      <c r="B124" s="236"/>
      <c r="C124" s="236"/>
      <c r="D124" s="53"/>
      <c r="E124" s="236"/>
      <c r="F124" s="236"/>
      <c r="G124" s="236"/>
      <c r="H124" s="236"/>
      <c r="I124" s="279"/>
      <c r="J124" s="279"/>
      <c r="K124" s="279"/>
      <c r="L124" s="279"/>
      <c r="M124" s="279"/>
      <c r="N124" s="279"/>
      <c r="O124" s="241"/>
      <c r="P124" s="241"/>
      <c r="Q124" s="241"/>
      <c r="R124" s="241"/>
      <c r="S124" s="241"/>
      <c r="T124" s="241"/>
      <c r="U124" s="7"/>
      <c r="AH124" s="21"/>
    </row>
    <row r="125" spans="1:34" x14ac:dyDescent="0.25">
      <c r="A125" s="5"/>
      <c r="B125" s="236"/>
      <c r="C125" s="236"/>
      <c r="D125" s="53"/>
      <c r="E125" s="236"/>
      <c r="F125" s="236"/>
      <c r="G125" s="236"/>
      <c r="H125" s="236"/>
      <c r="I125" s="279"/>
      <c r="J125" s="279"/>
      <c r="K125" s="279"/>
      <c r="L125" s="279"/>
      <c r="M125" s="279"/>
      <c r="N125" s="279"/>
      <c r="O125" s="241"/>
      <c r="P125" s="241"/>
      <c r="Q125" s="241"/>
      <c r="R125" s="241"/>
      <c r="S125" s="241"/>
      <c r="T125" s="241"/>
      <c r="U125" s="7"/>
      <c r="AE125" s="69"/>
      <c r="AH125" s="21"/>
    </row>
    <row r="126" spans="1:34" x14ac:dyDescent="0.25">
      <c r="A126" s="5"/>
      <c r="B126" s="236"/>
      <c r="C126" s="236"/>
      <c r="D126" s="53"/>
      <c r="E126" s="236"/>
      <c r="F126" s="236"/>
      <c r="G126" s="236"/>
      <c r="H126" s="236"/>
      <c r="I126" s="279"/>
      <c r="J126" s="279"/>
      <c r="K126" s="279"/>
      <c r="L126" s="279"/>
      <c r="M126" s="279"/>
      <c r="N126" s="279"/>
      <c r="O126" s="241"/>
      <c r="P126" s="241"/>
      <c r="Q126" s="241"/>
      <c r="R126" s="241"/>
      <c r="S126" s="241"/>
      <c r="T126" s="241"/>
      <c r="U126" s="7"/>
      <c r="AE126" s="69"/>
      <c r="AF126" s="69"/>
      <c r="AH126" s="21"/>
    </row>
    <row r="127" spans="1:34" x14ac:dyDescent="0.25">
      <c r="A127" s="9"/>
      <c r="B127" s="10"/>
      <c r="C127" s="10"/>
      <c r="D127" s="10"/>
      <c r="E127" s="10"/>
      <c r="F127" s="10"/>
      <c r="G127" s="10"/>
      <c r="H127" s="10"/>
      <c r="I127" s="10"/>
      <c r="J127" s="10"/>
      <c r="K127" s="10"/>
      <c r="L127" s="10"/>
      <c r="M127" s="10"/>
      <c r="N127" s="10"/>
      <c r="O127" s="10"/>
      <c r="P127" s="10"/>
      <c r="Q127" s="10"/>
      <c r="R127" s="10"/>
      <c r="S127" s="10"/>
      <c r="T127" s="10"/>
      <c r="U127" s="11"/>
      <c r="AE127" s="69"/>
      <c r="AH127" s="21"/>
    </row>
    <row r="128" spans="1:34" x14ac:dyDescent="0.25">
      <c r="A128" s="2"/>
      <c r="B128" s="50"/>
      <c r="C128" s="50"/>
      <c r="D128" s="50"/>
      <c r="E128" s="50"/>
      <c r="F128" s="50"/>
      <c r="G128" s="50"/>
      <c r="H128" s="50"/>
      <c r="I128" s="85"/>
      <c r="J128" s="85"/>
      <c r="K128" s="85"/>
      <c r="L128" s="85"/>
      <c r="M128" s="85"/>
      <c r="N128" s="85"/>
      <c r="O128" s="50"/>
      <c r="P128" s="50"/>
      <c r="Q128" s="50"/>
      <c r="R128" s="50"/>
      <c r="S128" s="50"/>
      <c r="T128" s="50"/>
      <c r="U128" s="4"/>
      <c r="AH128" s="21"/>
    </row>
    <row r="129" spans="1:34" x14ac:dyDescent="0.25">
      <c r="A129" s="5"/>
      <c r="B129" s="294" t="s">
        <v>188</v>
      </c>
      <c r="C129" s="294"/>
      <c r="D129" s="294" t="s">
        <v>273</v>
      </c>
      <c r="E129" s="294" t="s">
        <v>274</v>
      </c>
      <c r="F129" s="294"/>
      <c r="G129" s="294" t="s">
        <v>275</v>
      </c>
      <c r="H129" s="294"/>
      <c r="I129" s="290" t="s">
        <v>284</v>
      </c>
      <c r="J129" s="290"/>
      <c r="K129" s="290"/>
      <c r="L129" s="290" t="s">
        <v>285</v>
      </c>
      <c r="M129" s="290"/>
      <c r="N129" s="290"/>
      <c r="O129" s="254" t="s">
        <v>286</v>
      </c>
      <c r="P129" s="254"/>
      <c r="Q129" s="254" t="s">
        <v>287</v>
      </c>
      <c r="R129" s="254"/>
      <c r="S129" s="254" t="s">
        <v>288</v>
      </c>
      <c r="T129" s="254"/>
      <c r="U129" s="7"/>
      <c r="AD129" s="69"/>
      <c r="AE129" s="69"/>
      <c r="AF129" s="69"/>
      <c r="AH129" s="21"/>
    </row>
    <row r="130" spans="1:34" x14ac:dyDescent="0.25">
      <c r="A130" s="5"/>
      <c r="B130" s="294"/>
      <c r="C130" s="294"/>
      <c r="D130" s="294"/>
      <c r="E130" s="294"/>
      <c r="F130" s="294"/>
      <c r="G130" s="294"/>
      <c r="H130" s="294"/>
      <c r="I130" s="290" t="s">
        <v>101</v>
      </c>
      <c r="J130" s="290"/>
      <c r="K130" s="290"/>
      <c r="L130" s="290" t="s">
        <v>101</v>
      </c>
      <c r="M130" s="290"/>
      <c r="N130" s="290"/>
      <c r="O130" s="254"/>
      <c r="P130" s="254"/>
      <c r="Q130" s="254"/>
      <c r="R130" s="254"/>
      <c r="S130" s="254"/>
      <c r="T130" s="254"/>
      <c r="U130" s="7"/>
      <c r="AH130" s="21"/>
    </row>
    <row r="131" spans="1:34" x14ac:dyDescent="0.25">
      <c r="A131" s="5"/>
      <c r="B131" s="236">
        <f>W123</f>
        <v>0</v>
      </c>
      <c r="C131" s="236"/>
      <c r="D131" s="53">
        <f>X123</f>
        <v>0</v>
      </c>
      <c r="E131" s="236">
        <f>Y123</f>
        <v>0</v>
      </c>
      <c r="F131" s="236"/>
      <c r="G131" s="236" t="str">
        <f>MID(Z123,1,7)</f>
        <v/>
      </c>
      <c r="H131" s="236"/>
      <c r="I131" s="279">
        <f>AC123</f>
        <v>0</v>
      </c>
      <c r="J131" s="279"/>
      <c r="K131" s="279"/>
      <c r="L131" s="279">
        <f>AD123</f>
        <v>0</v>
      </c>
      <c r="M131" s="279"/>
      <c r="N131" s="279"/>
      <c r="O131" s="241">
        <f>AE123</f>
        <v>0</v>
      </c>
      <c r="P131" s="241"/>
      <c r="Q131" s="241">
        <f>AF123</f>
        <v>0</v>
      </c>
      <c r="R131" s="241"/>
      <c r="S131" s="241">
        <f t="shared" ref="S131:S150" si="38">SQRT(O131^2+Q131^2)</f>
        <v>0</v>
      </c>
      <c r="T131" s="241"/>
      <c r="U131" s="7"/>
      <c r="AE131" s="69"/>
      <c r="AH131" s="21"/>
    </row>
    <row r="132" spans="1:34" x14ac:dyDescent="0.25">
      <c r="A132" s="5"/>
      <c r="B132" s="236">
        <f t="shared" ref="B132:B150" si="39">W124</f>
        <v>0</v>
      </c>
      <c r="C132" s="236"/>
      <c r="D132" s="53">
        <f t="shared" ref="D132:D150" si="40">X124</f>
        <v>0</v>
      </c>
      <c r="E132" s="236">
        <f t="shared" ref="E132:E150" si="41">Y124</f>
        <v>0</v>
      </c>
      <c r="F132" s="236"/>
      <c r="G132" s="236" t="str">
        <f t="shared" ref="G132:G150" si="42">MID(Z124,1,7)</f>
        <v/>
      </c>
      <c r="H132" s="236"/>
      <c r="I132" s="279">
        <f t="shared" ref="I132:I150" si="43">AC124</f>
        <v>0</v>
      </c>
      <c r="J132" s="279"/>
      <c r="K132" s="279"/>
      <c r="L132" s="279">
        <f t="shared" ref="L132:L150" si="44">AD124</f>
        <v>0</v>
      </c>
      <c r="M132" s="279"/>
      <c r="N132" s="279"/>
      <c r="O132" s="241">
        <f t="shared" ref="O132:O150" si="45">AE124</f>
        <v>0</v>
      </c>
      <c r="P132" s="241"/>
      <c r="Q132" s="241">
        <f t="shared" ref="Q132:Q150" si="46">AF124</f>
        <v>0</v>
      </c>
      <c r="R132" s="241"/>
      <c r="S132" s="241">
        <f t="shared" si="38"/>
        <v>0</v>
      </c>
      <c r="T132" s="241"/>
      <c r="U132" s="7"/>
      <c r="AE132" s="69"/>
      <c r="AF132" s="69"/>
      <c r="AH132" s="21"/>
    </row>
    <row r="133" spans="1:34" x14ac:dyDescent="0.25">
      <c r="A133" s="5"/>
      <c r="B133" s="236">
        <f t="shared" si="39"/>
        <v>0</v>
      </c>
      <c r="C133" s="236"/>
      <c r="D133" s="53">
        <f t="shared" si="40"/>
        <v>0</v>
      </c>
      <c r="E133" s="236">
        <f t="shared" si="41"/>
        <v>0</v>
      </c>
      <c r="F133" s="236"/>
      <c r="G133" s="236" t="str">
        <f t="shared" si="42"/>
        <v/>
      </c>
      <c r="H133" s="236"/>
      <c r="I133" s="279">
        <f t="shared" si="43"/>
        <v>0</v>
      </c>
      <c r="J133" s="279"/>
      <c r="K133" s="279"/>
      <c r="L133" s="279">
        <f t="shared" si="44"/>
        <v>0</v>
      </c>
      <c r="M133" s="279"/>
      <c r="N133" s="279"/>
      <c r="O133" s="241">
        <f t="shared" si="45"/>
        <v>0</v>
      </c>
      <c r="P133" s="241"/>
      <c r="Q133" s="241">
        <f t="shared" si="46"/>
        <v>0</v>
      </c>
      <c r="R133" s="241"/>
      <c r="S133" s="241">
        <f t="shared" si="38"/>
        <v>0</v>
      </c>
      <c r="T133" s="241"/>
      <c r="U133" s="7"/>
      <c r="AH133" s="21"/>
    </row>
    <row r="134" spans="1:34" x14ac:dyDescent="0.25">
      <c r="A134" s="5"/>
      <c r="B134" s="236">
        <f t="shared" si="39"/>
        <v>0</v>
      </c>
      <c r="C134" s="236"/>
      <c r="D134" s="53">
        <f t="shared" si="40"/>
        <v>0</v>
      </c>
      <c r="E134" s="236">
        <f t="shared" si="41"/>
        <v>0</v>
      </c>
      <c r="F134" s="236"/>
      <c r="G134" s="236" t="str">
        <f t="shared" si="42"/>
        <v/>
      </c>
      <c r="H134" s="236"/>
      <c r="I134" s="279">
        <f t="shared" si="43"/>
        <v>0</v>
      </c>
      <c r="J134" s="279"/>
      <c r="K134" s="279"/>
      <c r="L134" s="279">
        <f t="shared" si="44"/>
        <v>0</v>
      </c>
      <c r="M134" s="279"/>
      <c r="N134" s="279"/>
      <c r="O134" s="241">
        <f t="shared" si="45"/>
        <v>0</v>
      </c>
      <c r="P134" s="241"/>
      <c r="Q134" s="241">
        <f t="shared" si="46"/>
        <v>0</v>
      </c>
      <c r="R134" s="241"/>
      <c r="S134" s="241">
        <f t="shared" si="38"/>
        <v>0</v>
      </c>
      <c r="T134" s="241"/>
      <c r="U134" s="7"/>
      <c r="AH134" s="21"/>
    </row>
    <row r="135" spans="1:34" x14ac:dyDescent="0.25">
      <c r="A135" s="5"/>
      <c r="B135" s="236">
        <f t="shared" si="39"/>
        <v>0</v>
      </c>
      <c r="C135" s="236"/>
      <c r="D135" s="53">
        <f t="shared" si="40"/>
        <v>0</v>
      </c>
      <c r="E135" s="236">
        <f t="shared" si="41"/>
        <v>0</v>
      </c>
      <c r="F135" s="236"/>
      <c r="G135" s="236" t="str">
        <f t="shared" si="42"/>
        <v/>
      </c>
      <c r="H135" s="236"/>
      <c r="I135" s="279">
        <f t="shared" si="43"/>
        <v>0</v>
      </c>
      <c r="J135" s="279"/>
      <c r="K135" s="279"/>
      <c r="L135" s="279">
        <f t="shared" si="44"/>
        <v>0</v>
      </c>
      <c r="M135" s="279"/>
      <c r="N135" s="279"/>
      <c r="O135" s="241">
        <f t="shared" si="45"/>
        <v>0</v>
      </c>
      <c r="P135" s="241"/>
      <c r="Q135" s="241">
        <f t="shared" si="46"/>
        <v>0</v>
      </c>
      <c r="R135" s="241"/>
      <c r="S135" s="241">
        <f t="shared" si="38"/>
        <v>0</v>
      </c>
      <c r="T135" s="241"/>
      <c r="U135" s="7"/>
      <c r="AE135" s="69"/>
      <c r="AF135" s="69"/>
      <c r="AH135" s="21"/>
    </row>
    <row r="136" spans="1:34" x14ac:dyDescent="0.25">
      <c r="A136" s="5"/>
      <c r="B136" s="236">
        <f t="shared" si="39"/>
        <v>0</v>
      </c>
      <c r="C136" s="236"/>
      <c r="D136" s="53">
        <f t="shared" si="40"/>
        <v>0</v>
      </c>
      <c r="E136" s="236">
        <f t="shared" si="41"/>
        <v>0</v>
      </c>
      <c r="F136" s="236"/>
      <c r="G136" s="236" t="str">
        <f t="shared" si="42"/>
        <v/>
      </c>
      <c r="H136" s="236"/>
      <c r="I136" s="279">
        <f t="shared" si="43"/>
        <v>0</v>
      </c>
      <c r="J136" s="279"/>
      <c r="K136" s="279"/>
      <c r="L136" s="279">
        <f t="shared" si="44"/>
        <v>0</v>
      </c>
      <c r="M136" s="279"/>
      <c r="N136" s="279"/>
      <c r="O136" s="241">
        <f t="shared" si="45"/>
        <v>0</v>
      </c>
      <c r="P136" s="241"/>
      <c r="Q136" s="241">
        <f t="shared" si="46"/>
        <v>0</v>
      </c>
      <c r="R136" s="241"/>
      <c r="S136" s="241">
        <f t="shared" si="38"/>
        <v>0</v>
      </c>
      <c r="T136" s="241"/>
      <c r="U136" s="7"/>
      <c r="AH136" s="21"/>
    </row>
    <row r="137" spans="1:34" x14ac:dyDescent="0.25">
      <c r="A137" s="5"/>
      <c r="B137" s="236">
        <f t="shared" si="39"/>
        <v>0</v>
      </c>
      <c r="C137" s="236"/>
      <c r="D137" s="53">
        <f t="shared" si="40"/>
        <v>0</v>
      </c>
      <c r="E137" s="236">
        <f t="shared" si="41"/>
        <v>0</v>
      </c>
      <c r="F137" s="236"/>
      <c r="G137" s="236" t="str">
        <f t="shared" si="42"/>
        <v/>
      </c>
      <c r="H137" s="236"/>
      <c r="I137" s="279">
        <f t="shared" si="43"/>
        <v>0</v>
      </c>
      <c r="J137" s="279"/>
      <c r="K137" s="279"/>
      <c r="L137" s="279">
        <f t="shared" si="44"/>
        <v>0</v>
      </c>
      <c r="M137" s="279"/>
      <c r="N137" s="279"/>
      <c r="O137" s="241">
        <f t="shared" si="45"/>
        <v>0</v>
      </c>
      <c r="P137" s="241"/>
      <c r="Q137" s="241">
        <f t="shared" si="46"/>
        <v>0</v>
      </c>
      <c r="R137" s="241"/>
      <c r="S137" s="241">
        <f t="shared" si="38"/>
        <v>0</v>
      </c>
      <c r="T137" s="241"/>
      <c r="U137" s="7"/>
      <c r="AH137" s="21"/>
    </row>
    <row r="138" spans="1:34" x14ac:dyDescent="0.25">
      <c r="A138" s="5"/>
      <c r="B138" s="236">
        <f t="shared" si="39"/>
        <v>0</v>
      </c>
      <c r="C138" s="236"/>
      <c r="D138" s="53">
        <f t="shared" si="40"/>
        <v>0</v>
      </c>
      <c r="E138" s="236">
        <f t="shared" si="41"/>
        <v>0</v>
      </c>
      <c r="F138" s="236"/>
      <c r="G138" s="236" t="str">
        <f t="shared" si="42"/>
        <v/>
      </c>
      <c r="H138" s="236"/>
      <c r="I138" s="279">
        <f t="shared" si="43"/>
        <v>0</v>
      </c>
      <c r="J138" s="279"/>
      <c r="K138" s="279"/>
      <c r="L138" s="279">
        <f t="shared" si="44"/>
        <v>0</v>
      </c>
      <c r="M138" s="279"/>
      <c r="N138" s="279"/>
      <c r="O138" s="241">
        <f t="shared" si="45"/>
        <v>0</v>
      </c>
      <c r="P138" s="241"/>
      <c r="Q138" s="241">
        <f t="shared" si="46"/>
        <v>0</v>
      </c>
      <c r="R138" s="241"/>
      <c r="S138" s="241">
        <f t="shared" si="38"/>
        <v>0</v>
      </c>
      <c r="T138" s="241"/>
      <c r="U138" s="7"/>
      <c r="AE138" s="69"/>
      <c r="AF138" s="69"/>
      <c r="AH138" s="21"/>
    </row>
    <row r="139" spans="1:34" x14ac:dyDescent="0.25">
      <c r="A139" s="5"/>
      <c r="B139" s="236">
        <f t="shared" si="39"/>
        <v>0</v>
      </c>
      <c r="C139" s="236"/>
      <c r="D139" s="53">
        <f t="shared" si="40"/>
        <v>0</v>
      </c>
      <c r="E139" s="236">
        <f t="shared" si="41"/>
        <v>0</v>
      </c>
      <c r="F139" s="236"/>
      <c r="G139" s="236" t="str">
        <f t="shared" si="42"/>
        <v/>
      </c>
      <c r="H139" s="236"/>
      <c r="I139" s="279">
        <f t="shared" si="43"/>
        <v>0</v>
      </c>
      <c r="J139" s="279"/>
      <c r="K139" s="279"/>
      <c r="L139" s="279">
        <f t="shared" si="44"/>
        <v>0</v>
      </c>
      <c r="M139" s="279"/>
      <c r="N139" s="279"/>
      <c r="O139" s="241">
        <f t="shared" si="45"/>
        <v>0</v>
      </c>
      <c r="P139" s="241"/>
      <c r="Q139" s="241">
        <f t="shared" si="46"/>
        <v>0</v>
      </c>
      <c r="R139" s="241"/>
      <c r="S139" s="241">
        <f t="shared" si="38"/>
        <v>0</v>
      </c>
      <c r="T139" s="241"/>
      <c r="U139" s="7"/>
      <c r="AE139" s="69"/>
      <c r="AH139" s="21"/>
    </row>
    <row r="140" spans="1:34" x14ac:dyDescent="0.25">
      <c r="A140" s="5"/>
      <c r="B140" s="236">
        <f t="shared" si="39"/>
        <v>0</v>
      </c>
      <c r="C140" s="236"/>
      <c r="D140" s="53">
        <f t="shared" si="40"/>
        <v>0</v>
      </c>
      <c r="E140" s="236">
        <f t="shared" si="41"/>
        <v>0</v>
      </c>
      <c r="F140" s="236"/>
      <c r="G140" s="236" t="str">
        <f t="shared" si="42"/>
        <v/>
      </c>
      <c r="H140" s="236"/>
      <c r="I140" s="279">
        <f t="shared" si="43"/>
        <v>0</v>
      </c>
      <c r="J140" s="279"/>
      <c r="K140" s="279"/>
      <c r="L140" s="279">
        <f t="shared" si="44"/>
        <v>0</v>
      </c>
      <c r="M140" s="279"/>
      <c r="N140" s="279"/>
      <c r="O140" s="241">
        <f t="shared" si="45"/>
        <v>0</v>
      </c>
      <c r="P140" s="241"/>
      <c r="Q140" s="241">
        <f t="shared" si="46"/>
        <v>0</v>
      </c>
      <c r="R140" s="241"/>
      <c r="S140" s="241">
        <f t="shared" si="38"/>
        <v>0</v>
      </c>
      <c r="T140" s="241"/>
      <c r="U140" s="7"/>
      <c r="AH140" s="21"/>
    </row>
    <row r="141" spans="1:34" x14ac:dyDescent="0.25">
      <c r="A141" s="5"/>
      <c r="B141" s="236">
        <f t="shared" si="39"/>
        <v>0</v>
      </c>
      <c r="C141" s="236"/>
      <c r="D141" s="53">
        <f t="shared" si="40"/>
        <v>0</v>
      </c>
      <c r="E141" s="236">
        <f t="shared" si="41"/>
        <v>0</v>
      </c>
      <c r="F141" s="236"/>
      <c r="G141" s="236" t="str">
        <f t="shared" si="42"/>
        <v/>
      </c>
      <c r="H141" s="236"/>
      <c r="I141" s="279">
        <f t="shared" si="43"/>
        <v>0</v>
      </c>
      <c r="J141" s="279"/>
      <c r="K141" s="279"/>
      <c r="L141" s="279">
        <f t="shared" si="44"/>
        <v>0</v>
      </c>
      <c r="M141" s="279"/>
      <c r="N141" s="279"/>
      <c r="O141" s="241">
        <f t="shared" si="45"/>
        <v>0</v>
      </c>
      <c r="P141" s="241"/>
      <c r="Q141" s="241">
        <f t="shared" si="46"/>
        <v>0</v>
      </c>
      <c r="R141" s="241"/>
      <c r="S141" s="241">
        <f t="shared" si="38"/>
        <v>0</v>
      </c>
      <c r="T141" s="241"/>
      <c r="U141" s="7"/>
      <c r="AE141" s="69"/>
      <c r="AF141" s="69"/>
      <c r="AH141" s="21"/>
    </row>
    <row r="142" spans="1:34" x14ac:dyDescent="0.25">
      <c r="A142" s="5"/>
      <c r="B142" s="236">
        <f t="shared" si="39"/>
        <v>0</v>
      </c>
      <c r="C142" s="236"/>
      <c r="D142" s="53">
        <f t="shared" si="40"/>
        <v>0</v>
      </c>
      <c r="E142" s="236">
        <f t="shared" si="41"/>
        <v>0</v>
      </c>
      <c r="F142" s="236"/>
      <c r="G142" s="236" t="str">
        <f t="shared" si="42"/>
        <v/>
      </c>
      <c r="H142" s="236"/>
      <c r="I142" s="279">
        <f t="shared" si="43"/>
        <v>0</v>
      </c>
      <c r="J142" s="279"/>
      <c r="K142" s="279"/>
      <c r="L142" s="279">
        <f t="shared" si="44"/>
        <v>0</v>
      </c>
      <c r="M142" s="279"/>
      <c r="N142" s="279"/>
      <c r="O142" s="241">
        <f t="shared" si="45"/>
        <v>0</v>
      </c>
      <c r="P142" s="241"/>
      <c r="Q142" s="241">
        <f t="shared" si="46"/>
        <v>0</v>
      </c>
      <c r="R142" s="241"/>
      <c r="S142" s="241">
        <f t="shared" si="38"/>
        <v>0</v>
      </c>
      <c r="T142" s="241"/>
      <c r="U142" s="7"/>
      <c r="AE142" s="69"/>
      <c r="AH142" s="21"/>
    </row>
    <row r="143" spans="1:34" x14ac:dyDescent="0.25">
      <c r="A143" s="5"/>
      <c r="B143" s="236">
        <f t="shared" si="39"/>
        <v>0</v>
      </c>
      <c r="C143" s="236"/>
      <c r="D143" s="53">
        <f t="shared" si="40"/>
        <v>0</v>
      </c>
      <c r="E143" s="236">
        <f t="shared" si="41"/>
        <v>0</v>
      </c>
      <c r="F143" s="236"/>
      <c r="G143" s="236" t="str">
        <f t="shared" si="42"/>
        <v/>
      </c>
      <c r="H143" s="236"/>
      <c r="I143" s="279">
        <f t="shared" si="43"/>
        <v>0</v>
      </c>
      <c r="J143" s="279"/>
      <c r="K143" s="279"/>
      <c r="L143" s="279">
        <f t="shared" si="44"/>
        <v>0</v>
      </c>
      <c r="M143" s="279"/>
      <c r="N143" s="279"/>
      <c r="O143" s="241">
        <f t="shared" si="45"/>
        <v>0</v>
      </c>
      <c r="P143" s="241"/>
      <c r="Q143" s="241">
        <f t="shared" si="46"/>
        <v>0</v>
      </c>
      <c r="R143" s="241"/>
      <c r="S143" s="241">
        <f t="shared" si="38"/>
        <v>0</v>
      </c>
      <c r="T143" s="241"/>
      <c r="U143" s="7"/>
      <c r="AH143" s="21"/>
    </row>
    <row r="144" spans="1:34" x14ac:dyDescent="0.25">
      <c r="A144" s="5"/>
      <c r="B144" s="236">
        <f t="shared" si="39"/>
        <v>0</v>
      </c>
      <c r="C144" s="236"/>
      <c r="D144" s="53">
        <f t="shared" si="40"/>
        <v>0</v>
      </c>
      <c r="E144" s="236">
        <f t="shared" si="41"/>
        <v>0</v>
      </c>
      <c r="F144" s="236"/>
      <c r="G144" s="236" t="str">
        <f t="shared" si="42"/>
        <v/>
      </c>
      <c r="H144" s="236"/>
      <c r="I144" s="279">
        <f t="shared" si="43"/>
        <v>0</v>
      </c>
      <c r="J144" s="279"/>
      <c r="K144" s="279"/>
      <c r="L144" s="279">
        <f t="shared" si="44"/>
        <v>0</v>
      </c>
      <c r="M144" s="279"/>
      <c r="N144" s="279"/>
      <c r="O144" s="241">
        <f t="shared" si="45"/>
        <v>0</v>
      </c>
      <c r="P144" s="241"/>
      <c r="Q144" s="241">
        <f t="shared" si="46"/>
        <v>0</v>
      </c>
      <c r="R144" s="241"/>
      <c r="S144" s="241">
        <f t="shared" si="38"/>
        <v>0</v>
      </c>
      <c r="T144" s="241"/>
      <c r="U144" s="7"/>
      <c r="AC144" s="69"/>
      <c r="AD144" s="69"/>
      <c r="AE144" s="69"/>
      <c r="AF144" s="69"/>
      <c r="AH144" s="21"/>
    </row>
    <row r="145" spans="1:34" x14ac:dyDescent="0.25">
      <c r="A145" s="5"/>
      <c r="B145" s="236">
        <f t="shared" si="39"/>
        <v>0</v>
      </c>
      <c r="C145" s="236"/>
      <c r="D145" s="53">
        <f t="shared" si="40"/>
        <v>0</v>
      </c>
      <c r="E145" s="236">
        <f t="shared" si="41"/>
        <v>0</v>
      </c>
      <c r="F145" s="236"/>
      <c r="G145" s="236" t="str">
        <f t="shared" si="42"/>
        <v/>
      </c>
      <c r="H145" s="236"/>
      <c r="I145" s="279">
        <f t="shared" si="43"/>
        <v>0</v>
      </c>
      <c r="J145" s="279"/>
      <c r="K145" s="279"/>
      <c r="L145" s="279">
        <f t="shared" si="44"/>
        <v>0</v>
      </c>
      <c r="M145" s="279"/>
      <c r="N145" s="279"/>
      <c r="O145" s="241">
        <f t="shared" si="45"/>
        <v>0</v>
      </c>
      <c r="P145" s="241"/>
      <c r="Q145" s="241">
        <f t="shared" si="46"/>
        <v>0</v>
      </c>
      <c r="R145" s="241"/>
      <c r="S145" s="241">
        <f t="shared" si="38"/>
        <v>0</v>
      </c>
      <c r="T145" s="241"/>
      <c r="U145" s="7"/>
      <c r="AH145" s="21"/>
    </row>
    <row r="146" spans="1:34" x14ac:dyDescent="0.25">
      <c r="A146" s="5"/>
      <c r="B146" s="236">
        <f t="shared" si="39"/>
        <v>0</v>
      </c>
      <c r="C146" s="236"/>
      <c r="D146" s="53">
        <f t="shared" si="40"/>
        <v>0</v>
      </c>
      <c r="E146" s="236">
        <f t="shared" si="41"/>
        <v>0</v>
      </c>
      <c r="F146" s="236"/>
      <c r="G146" s="236" t="str">
        <f t="shared" si="42"/>
        <v/>
      </c>
      <c r="H146" s="236"/>
      <c r="I146" s="279">
        <f t="shared" si="43"/>
        <v>0</v>
      </c>
      <c r="J146" s="279"/>
      <c r="K146" s="279"/>
      <c r="L146" s="279">
        <f t="shared" si="44"/>
        <v>0</v>
      </c>
      <c r="M146" s="279"/>
      <c r="N146" s="279"/>
      <c r="O146" s="241">
        <f t="shared" si="45"/>
        <v>0</v>
      </c>
      <c r="P146" s="241"/>
      <c r="Q146" s="241">
        <f t="shared" si="46"/>
        <v>0</v>
      </c>
      <c r="R146" s="241"/>
      <c r="S146" s="241">
        <f t="shared" si="38"/>
        <v>0</v>
      </c>
      <c r="T146" s="241"/>
      <c r="U146" s="7"/>
      <c r="AH146" s="21"/>
    </row>
    <row r="147" spans="1:34" x14ac:dyDescent="0.25">
      <c r="A147" s="5"/>
      <c r="B147" s="236">
        <f t="shared" si="39"/>
        <v>0</v>
      </c>
      <c r="C147" s="236"/>
      <c r="D147" s="53">
        <f t="shared" si="40"/>
        <v>0</v>
      </c>
      <c r="E147" s="236">
        <f t="shared" si="41"/>
        <v>0</v>
      </c>
      <c r="F147" s="236"/>
      <c r="G147" s="236" t="str">
        <f t="shared" si="42"/>
        <v/>
      </c>
      <c r="H147" s="236"/>
      <c r="I147" s="279">
        <f t="shared" si="43"/>
        <v>0</v>
      </c>
      <c r="J147" s="279"/>
      <c r="K147" s="279"/>
      <c r="L147" s="279">
        <f t="shared" si="44"/>
        <v>0</v>
      </c>
      <c r="M147" s="279"/>
      <c r="N147" s="279"/>
      <c r="O147" s="241">
        <f t="shared" si="45"/>
        <v>0</v>
      </c>
      <c r="P147" s="241"/>
      <c r="Q147" s="241">
        <f t="shared" si="46"/>
        <v>0</v>
      </c>
      <c r="R147" s="241"/>
      <c r="S147" s="241">
        <f t="shared" si="38"/>
        <v>0</v>
      </c>
      <c r="T147" s="241"/>
      <c r="U147" s="7"/>
      <c r="AC147" s="69"/>
      <c r="AE147" s="69"/>
      <c r="AF147" s="69"/>
      <c r="AH147" s="21"/>
    </row>
    <row r="148" spans="1:34" x14ac:dyDescent="0.25">
      <c r="A148" s="5"/>
      <c r="B148" s="236">
        <f t="shared" si="39"/>
        <v>0</v>
      </c>
      <c r="C148" s="236"/>
      <c r="D148" s="53">
        <f t="shared" si="40"/>
        <v>0</v>
      </c>
      <c r="E148" s="236">
        <f t="shared" si="41"/>
        <v>0</v>
      </c>
      <c r="F148" s="236"/>
      <c r="G148" s="236" t="str">
        <f t="shared" si="42"/>
        <v/>
      </c>
      <c r="H148" s="236"/>
      <c r="I148" s="279">
        <f t="shared" si="43"/>
        <v>0</v>
      </c>
      <c r="J148" s="279"/>
      <c r="K148" s="279"/>
      <c r="L148" s="279">
        <f t="shared" si="44"/>
        <v>0</v>
      </c>
      <c r="M148" s="279"/>
      <c r="N148" s="279"/>
      <c r="O148" s="241">
        <f t="shared" si="45"/>
        <v>0</v>
      </c>
      <c r="P148" s="241"/>
      <c r="Q148" s="241">
        <f t="shared" si="46"/>
        <v>0</v>
      </c>
      <c r="R148" s="241"/>
      <c r="S148" s="241">
        <f t="shared" si="38"/>
        <v>0</v>
      </c>
      <c r="T148" s="241"/>
      <c r="U148" s="7"/>
      <c r="AH148" s="21"/>
    </row>
    <row r="149" spans="1:34" x14ac:dyDescent="0.25">
      <c r="A149" s="5"/>
      <c r="B149" s="236">
        <f t="shared" si="39"/>
        <v>0</v>
      </c>
      <c r="C149" s="236"/>
      <c r="D149" s="53">
        <f t="shared" si="40"/>
        <v>0</v>
      </c>
      <c r="E149" s="236">
        <f t="shared" si="41"/>
        <v>0</v>
      </c>
      <c r="F149" s="236"/>
      <c r="G149" s="236" t="str">
        <f t="shared" si="42"/>
        <v/>
      </c>
      <c r="H149" s="236"/>
      <c r="I149" s="279">
        <f t="shared" si="43"/>
        <v>0</v>
      </c>
      <c r="J149" s="279"/>
      <c r="K149" s="279"/>
      <c r="L149" s="279">
        <f t="shared" si="44"/>
        <v>0</v>
      </c>
      <c r="M149" s="279"/>
      <c r="N149" s="279"/>
      <c r="O149" s="241">
        <f t="shared" si="45"/>
        <v>0</v>
      </c>
      <c r="P149" s="241"/>
      <c r="Q149" s="241">
        <f t="shared" si="46"/>
        <v>0</v>
      </c>
      <c r="R149" s="241"/>
      <c r="S149" s="241">
        <f t="shared" si="38"/>
        <v>0</v>
      </c>
      <c r="T149" s="241"/>
      <c r="U149" s="7"/>
      <c r="AH149" s="21"/>
    </row>
    <row r="150" spans="1:34" x14ac:dyDescent="0.25">
      <c r="A150" s="5"/>
      <c r="B150" s="236">
        <f t="shared" si="39"/>
        <v>0</v>
      </c>
      <c r="C150" s="236"/>
      <c r="D150" s="53">
        <f t="shared" si="40"/>
        <v>0</v>
      </c>
      <c r="E150" s="236">
        <f t="shared" si="41"/>
        <v>0</v>
      </c>
      <c r="F150" s="236"/>
      <c r="G150" s="236" t="str">
        <f t="shared" si="42"/>
        <v/>
      </c>
      <c r="H150" s="236"/>
      <c r="I150" s="279">
        <f t="shared" si="43"/>
        <v>0</v>
      </c>
      <c r="J150" s="279"/>
      <c r="K150" s="279"/>
      <c r="L150" s="279">
        <f t="shared" si="44"/>
        <v>0</v>
      </c>
      <c r="M150" s="279"/>
      <c r="N150" s="279"/>
      <c r="O150" s="241">
        <f t="shared" si="45"/>
        <v>0</v>
      </c>
      <c r="P150" s="241"/>
      <c r="Q150" s="241">
        <f t="shared" si="46"/>
        <v>0</v>
      </c>
      <c r="R150" s="241"/>
      <c r="S150" s="241">
        <f t="shared" si="38"/>
        <v>0</v>
      </c>
      <c r="T150" s="241"/>
      <c r="U150" s="7"/>
      <c r="AC150" s="69"/>
      <c r="AE150" s="69"/>
      <c r="AF150" s="69"/>
      <c r="AH150" s="21"/>
    </row>
    <row r="151" spans="1:34" x14ac:dyDescent="0.25">
      <c r="A151" s="5"/>
      <c r="B151" s="236"/>
      <c r="C151" s="236"/>
      <c r="D151" s="53"/>
      <c r="E151" s="236"/>
      <c r="F151" s="236"/>
      <c r="G151" s="236"/>
      <c r="H151" s="236"/>
      <c r="I151" s="279"/>
      <c r="J151" s="279"/>
      <c r="K151" s="279"/>
      <c r="L151" s="279"/>
      <c r="M151" s="279"/>
      <c r="N151" s="279"/>
      <c r="O151" s="241"/>
      <c r="P151" s="241"/>
      <c r="Q151" s="241"/>
      <c r="R151" s="241"/>
      <c r="S151" s="241"/>
      <c r="T151" s="241"/>
      <c r="U151" s="7"/>
      <c r="AE151" s="69"/>
      <c r="AH151" s="21"/>
    </row>
    <row r="152" spans="1:34" x14ac:dyDescent="0.25">
      <c r="A152" s="5"/>
      <c r="B152" s="236"/>
      <c r="C152" s="236"/>
      <c r="D152" s="53"/>
      <c r="E152" s="236"/>
      <c r="F152" s="236"/>
      <c r="G152" s="236"/>
      <c r="H152" s="236"/>
      <c r="I152" s="279"/>
      <c r="J152" s="279"/>
      <c r="K152" s="279"/>
      <c r="L152" s="279"/>
      <c r="M152" s="279"/>
      <c r="N152" s="279"/>
      <c r="O152" s="241"/>
      <c r="P152" s="241"/>
      <c r="Q152" s="241"/>
      <c r="R152" s="241"/>
      <c r="S152" s="241"/>
      <c r="T152" s="241"/>
      <c r="U152" s="7"/>
      <c r="AH152" s="21"/>
    </row>
    <row r="153" spans="1:34" x14ac:dyDescent="0.25">
      <c r="A153" s="5"/>
      <c r="B153" s="236"/>
      <c r="C153" s="236"/>
      <c r="D153" s="53"/>
      <c r="E153" s="236"/>
      <c r="F153" s="236"/>
      <c r="G153" s="236"/>
      <c r="H153" s="236"/>
      <c r="I153" s="279"/>
      <c r="J153" s="279"/>
      <c r="K153" s="279"/>
      <c r="L153" s="279"/>
      <c r="M153" s="279"/>
      <c r="N153" s="279"/>
      <c r="O153" s="241"/>
      <c r="P153" s="241"/>
      <c r="Q153" s="241"/>
      <c r="R153" s="241"/>
      <c r="S153" s="241"/>
      <c r="T153" s="241"/>
      <c r="U153" s="7"/>
      <c r="AC153" s="69"/>
      <c r="AD153" s="69"/>
      <c r="AE153" s="69"/>
      <c r="AF153" s="69"/>
      <c r="AH153" s="21"/>
    </row>
    <row r="154" spans="1:34" x14ac:dyDescent="0.25">
      <c r="A154" s="5"/>
      <c r="B154" s="236"/>
      <c r="C154" s="236"/>
      <c r="D154" s="53"/>
      <c r="E154" s="236"/>
      <c r="F154" s="236"/>
      <c r="G154" s="236"/>
      <c r="H154" s="236"/>
      <c r="I154" s="279"/>
      <c r="J154" s="279"/>
      <c r="K154" s="279"/>
      <c r="L154" s="279"/>
      <c r="M154" s="279"/>
      <c r="N154" s="279"/>
      <c r="O154" s="241"/>
      <c r="P154" s="241"/>
      <c r="Q154" s="241"/>
      <c r="R154" s="241"/>
      <c r="S154" s="241"/>
      <c r="T154" s="241"/>
      <c r="U154" s="7"/>
      <c r="AH154" s="21"/>
    </row>
    <row r="155" spans="1:34" x14ac:dyDescent="0.25">
      <c r="A155" s="5"/>
      <c r="B155" s="236"/>
      <c r="C155" s="236"/>
      <c r="D155" s="53"/>
      <c r="E155" s="236"/>
      <c r="F155" s="236"/>
      <c r="G155" s="236"/>
      <c r="H155" s="236"/>
      <c r="I155" s="279"/>
      <c r="J155" s="279"/>
      <c r="K155" s="279"/>
      <c r="L155" s="279"/>
      <c r="M155" s="279"/>
      <c r="N155" s="279"/>
      <c r="O155" s="241"/>
      <c r="P155" s="241"/>
      <c r="Q155" s="241"/>
      <c r="R155" s="241"/>
      <c r="S155" s="241"/>
      <c r="T155" s="241"/>
      <c r="U155" s="7"/>
      <c r="AH155" s="21"/>
    </row>
    <row r="156" spans="1:34" x14ac:dyDescent="0.25">
      <c r="A156" s="5"/>
      <c r="B156" s="236"/>
      <c r="C156" s="236"/>
      <c r="D156" s="53"/>
      <c r="E156" s="236"/>
      <c r="F156" s="236"/>
      <c r="G156" s="236"/>
      <c r="H156" s="236"/>
      <c r="I156" s="279"/>
      <c r="J156" s="279"/>
      <c r="K156" s="279"/>
      <c r="L156" s="279"/>
      <c r="M156" s="279"/>
      <c r="N156" s="279"/>
      <c r="O156" s="241"/>
      <c r="P156" s="241"/>
      <c r="Q156" s="241"/>
      <c r="R156" s="241"/>
      <c r="S156" s="241"/>
      <c r="T156" s="241"/>
      <c r="U156" s="7"/>
      <c r="AC156" s="69"/>
      <c r="AE156" s="69"/>
      <c r="AF156" s="69"/>
      <c r="AH156" s="21"/>
    </row>
    <row r="157" spans="1:34" x14ac:dyDescent="0.25">
      <c r="A157" s="5"/>
      <c r="B157" s="236"/>
      <c r="C157" s="236"/>
      <c r="D157" s="53"/>
      <c r="E157" s="236"/>
      <c r="F157" s="236"/>
      <c r="G157" s="236"/>
      <c r="H157" s="236"/>
      <c r="I157" s="279"/>
      <c r="J157" s="279"/>
      <c r="K157" s="279"/>
      <c r="L157" s="279"/>
      <c r="M157" s="279"/>
      <c r="N157" s="279"/>
      <c r="O157" s="241"/>
      <c r="P157" s="241"/>
      <c r="Q157" s="241"/>
      <c r="R157" s="241"/>
      <c r="S157" s="241"/>
      <c r="T157" s="241"/>
      <c r="U157" s="7"/>
      <c r="AH157" s="21"/>
    </row>
    <row r="158" spans="1:34" x14ac:dyDescent="0.25">
      <c r="A158" s="5"/>
      <c r="B158" s="236"/>
      <c r="C158" s="236"/>
      <c r="D158" s="53"/>
      <c r="E158" s="236"/>
      <c r="F158" s="236"/>
      <c r="G158" s="236"/>
      <c r="H158" s="236"/>
      <c r="I158" s="279"/>
      <c r="J158" s="279"/>
      <c r="K158" s="279"/>
      <c r="L158" s="279"/>
      <c r="M158" s="279"/>
      <c r="N158" s="279"/>
      <c r="O158" s="241"/>
      <c r="P158" s="241"/>
      <c r="Q158" s="241"/>
      <c r="R158" s="241"/>
      <c r="S158" s="241"/>
      <c r="T158" s="241"/>
      <c r="U158" s="7"/>
      <c r="AH158" s="21"/>
    </row>
    <row r="159" spans="1:34" x14ac:dyDescent="0.25">
      <c r="A159" s="5"/>
      <c r="B159" s="236"/>
      <c r="C159" s="236"/>
      <c r="D159" s="53"/>
      <c r="E159" s="236"/>
      <c r="F159" s="236"/>
      <c r="G159" s="236"/>
      <c r="H159" s="236"/>
      <c r="I159" s="279"/>
      <c r="J159" s="279"/>
      <c r="K159" s="279"/>
      <c r="L159" s="279"/>
      <c r="M159" s="279"/>
      <c r="N159" s="279"/>
      <c r="O159" s="241"/>
      <c r="P159" s="241"/>
      <c r="Q159" s="241"/>
      <c r="R159" s="241"/>
      <c r="S159" s="241"/>
      <c r="T159" s="241"/>
      <c r="U159" s="7"/>
      <c r="AC159" s="69"/>
      <c r="AE159" s="69"/>
      <c r="AF159" s="69"/>
      <c r="AH159" s="21"/>
    </row>
    <row r="160" spans="1:34" x14ac:dyDescent="0.25">
      <c r="A160" s="5"/>
      <c r="B160" s="236"/>
      <c r="C160" s="236"/>
      <c r="D160" s="53"/>
      <c r="E160" s="236"/>
      <c r="F160" s="236"/>
      <c r="G160" s="236"/>
      <c r="H160" s="236"/>
      <c r="I160" s="279"/>
      <c r="J160" s="279"/>
      <c r="K160" s="279"/>
      <c r="L160" s="279"/>
      <c r="M160" s="279"/>
      <c r="N160" s="279"/>
      <c r="O160" s="241"/>
      <c r="P160" s="241"/>
      <c r="Q160" s="241"/>
      <c r="R160" s="241"/>
      <c r="S160" s="241"/>
      <c r="T160" s="241"/>
      <c r="U160" s="7"/>
      <c r="AH160" s="21"/>
    </row>
    <row r="161" spans="1:34" x14ac:dyDescent="0.25">
      <c r="A161" s="5"/>
      <c r="B161" s="236"/>
      <c r="C161" s="236"/>
      <c r="D161" s="53"/>
      <c r="E161" s="236"/>
      <c r="F161" s="236"/>
      <c r="G161" s="236"/>
      <c r="H161" s="236"/>
      <c r="I161" s="279"/>
      <c r="J161" s="279"/>
      <c r="K161" s="279"/>
      <c r="L161" s="279"/>
      <c r="M161" s="279"/>
      <c r="N161" s="279"/>
      <c r="O161" s="241"/>
      <c r="P161" s="241"/>
      <c r="Q161" s="241"/>
      <c r="R161" s="241"/>
      <c r="S161" s="241"/>
      <c r="T161" s="241"/>
      <c r="U161" s="7"/>
      <c r="AE161" s="69"/>
      <c r="AH161" s="21"/>
    </row>
    <row r="162" spans="1:34" x14ac:dyDescent="0.25">
      <c r="A162" s="5"/>
      <c r="B162" s="236"/>
      <c r="C162" s="236"/>
      <c r="D162" s="53"/>
      <c r="E162" s="236"/>
      <c r="F162" s="236"/>
      <c r="G162" s="236"/>
      <c r="H162" s="236"/>
      <c r="I162" s="279"/>
      <c r="J162" s="279"/>
      <c r="K162" s="279"/>
      <c r="L162" s="279"/>
      <c r="M162" s="279"/>
      <c r="N162" s="279"/>
      <c r="O162" s="241"/>
      <c r="P162" s="241"/>
      <c r="Q162" s="241"/>
      <c r="R162" s="241"/>
      <c r="S162" s="241"/>
      <c r="T162" s="241"/>
      <c r="U162" s="7"/>
      <c r="AC162" s="69"/>
      <c r="AD162" s="69"/>
      <c r="AE162" s="69"/>
      <c r="AF162" s="69"/>
      <c r="AH162" s="21"/>
    </row>
    <row r="163" spans="1:34" x14ac:dyDescent="0.25">
      <c r="A163" s="5"/>
      <c r="B163" s="236"/>
      <c r="C163" s="236"/>
      <c r="D163" s="53"/>
      <c r="E163" s="236"/>
      <c r="F163" s="236"/>
      <c r="G163" s="236"/>
      <c r="H163" s="236"/>
      <c r="I163" s="279"/>
      <c r="J163" s="279"/>
      <c r="K163" s="279"/>
      <c r="L163" s="279"/>
      <c r="M163" s="279"/>
      <c r="N163" s="279"/>
      <c r="O163" s="241"/>
      <c r="P163" s="241"/>
      <c r="Q163" s="241"/>
      <c r="R163" s="241"/>
      <c r="S163" s="241"/>
      <c r="T163" s="241"/>
      <c r="U163" s="7"/>
      <c r="AH163" s="21"/>
    </row>
    <row r="164" spans="1:34" x14ac:dyDescent="0.25">
      <c r="A164" s="5"/>
      <c r="B164" s="236"/>
      <c r="C164" s="236"/>
      <c r="D164" s="53"/>
      <c r="E164" s="236"/>
      <c r="F164" s="236"/>
      <c r="G164" s="236"/>
      <c r="H164" s="236"/>
      <c r="I164" s="279"/>
      <c r="J164" s="279"/>
      <c r="K164" s="279"/>
      <c r="L164" s="279"/>
      <c r="M164" s="279"/>
      <c r="N164" s="279"/>
      <c r="O164" s="241"/>
      <c r="P164" s="241"/>
      <c r="Q164" s="241"/>
      <c r="R164" s="241"/>
      <c r="S164" s="241"/>
      <c r="T164" s="241"/>
      <c r="U164" s="7"/>
      <c r="AE164" s="69"/>
      <c r="AH164" s="21"/>
    </row>
    <row r="165" spans="1:34" x14ac:dyDescent="0.25">
      <c r="A165" s="5"/>
      <c r="B165" s="236"/>
      <c r="C165" s="236"/>
      <c r="D165" s="53"/>
      <c r="E165" s="236"/>
      <c r="F165" s="236"/>
      <c r="G165" s="236"/>
      <c r="H165" s="236"/>
      <c r="I165" s="279"/>
      <c r="J165" s="279"/>
      <c r="K165" s="279"/>
      <c r="L165" s="279"/>
      <c r="M165" s="279"/>
      <c r="N165" s="279"/>
      <c r="O165" s="241"/>
      <c r="P165" s="241"/>
      <c r="Q165" s="241"/>
      <c r="R165" s="241"/>
      <c r="S165" s="241"/>
      <c r="T165" s="241"/>
      <c r="U165" s="7"/>
      <c r="AC165" s="69"/>
      <c r="AE165" s="69"/>
      <c r="AF165" s="69"/>
      <c r="AH165" s="21"/>
    </row>
    <row r="166" spans="1:34" x14ac:dyDescent="0.25">
      <c r="A166" s="5"/>
      <c r="B166" s="236"/>
      <c r="C166" s="236"/>
      <c r="D166" s="53"/>
      <c r="E166" s="236"/>
      <c r="F166" s="236"/>
      <c r="G166" s="236"/>
      <c r="H166" s="236"/>
      <c r="I166" s="279"/>
      <c r="J166" s="279"/>
      <c r="K166" s="279"/>
      <c r="L166" s="279"/>
      <c r="M166" s="279"/>
      <c r="N166" s="279"/>
      <c r="O166" s="241"/>
      <c r="P166" s="241"/>
      <c r="Q166" s="241"/>
      <c r="R166" s="241"/>
      <c r="S166" s="241"/>
      <c r="T166" s="241"/>
      <c r="U166" s="7"/>
      <c r="AH166" s="21"/>
    </row>
    <row r="167" spans="1:34" x14ac:dyDescent="0.25">
      <c r="A167" s="5"/>
      <c r="B167" s="236"/>
      <c r="C167" s="236"/>
      <c r="D167" s="53"/>
      <c r="E167" s="236"/>
      <c r="F167" s="236"/>
      <c r="G167" s="236"/>
      <c r="H167" s="236"/>
      <c r="I167" s="279"/>
      <c r="J167" s="279"/>
      <c r="K167" s="279"/>
      <c r="L167" s="279"/>
      <c r="M167" s="279"/>
      <c r="N167" s="279"/>
      <c r="O167" s="241"/>
      <c r="P167" s="241"/>
      <c r="Q167" s="241"/>
      <c r="R167" s="241"/>
      <c r="S167" s="241"/>
      <c r="T167" s="241"/>
      <c r="U167" s="7"/>
      <c r="AE167" s="69"/>
      <c r="AH167" s="21"/>
    </row>
    <row r="168" spans="1:34" x14ac:dyDescent="0.25">
      <c r="A168" s="5"/>
      <c r="B168" s="236"/>
      <c r="C168" s="236"/>
      <c r="D168" s="53"/>
      <c r="E168" s="236"/>
      <c r="F168" s="236"/>
      <c r="G168" s="236"/>
      <c r="H168" s="236"/>
      <c r="I168" s="279"/>
      <c r="J168" s="279"/>
      <c r="K168" s="279"/>
      <c r="L168" s="279"/>
      <c r="M168" s="279"/>
      <c r="N168" s="279"/>
      <c r="O168" s="241"/>
      <c r="P168" s="241"/>
      <c r="Q168" s="241"/>
      <c r="R168" s="241"/>
      <c r="S168" s="241"/>
      <c r="T168" s="241"/>
      <c r="U168" s="7"/>
      <c r="AC168" s="69"/>
      <c r="AE168" s="69"/>
      <c r="AF168" s="69"/>
      <c r="AH168" s="21"/>
    </row>
    <row r="169" spans="1:34" x14ac:dyDescent="0.25">
      <c r="A169" s="5"/>
      <c r="B169" s="236"/>
      <c r="C169" s="236"/>
      <c r="D169" s="53"/>
      <c r="E169" s="236"/>
      <c r="F169" s="236"/>
      <c r="G169" s="236"/>
      <c r="H169" s="236"/>
      <c r="I169" s="279"/>
      <c r="J169" s="279"/>
      <c r="K169" s="279"/>
      <c r="L169" s="279"/>
      <c r="M169" s="279"/>
      <c r="N169" s="279"/>
      <c r="O169" s="241"/>
      <c r="P169" s="241"/>
      <c r="Q169" s="241"/>
      <c r="R169" s="241"/>
      <c r="S169" s="241"/>
      <c r="T169" s="241"/>
      <c r="U169" s="7"/>
      <c r="AH169" s="21"/>
    </row>
    <row r="170" spans="1:34" x14ac:dyDescent="0.25">
      <c r="A170" s="5"/>
      <c r="B170" s="236"/>
      <c r="C170" s="236"/>
      <c r="D170" s="53"/>
      <c r="E170" s="236"/>
      <c r="F170" s="236"/>
      <c r="G170" s="236"/>
      <c r="H170" s="236"/>
      <c r="I170" s="279"/>
      <c r="J170" s="279"/>
      <c r="K170" s="279"/>
      <c r="L170" s="279"/>
      <c r="M170" s="279"/>
      <c r="N170" s="279"/>
      <c r="O170" s="241"/>
      <c r="P170" s="241"/>
      <c r="Q170" s="241"/>
      <c r="R170" s="241"/>
      <c r="S170" s="241"/>
      <c r="T170" s="241"/>
      <c r="U170" s="7"/>
      <c r="AE170" s="69"/>
      <c r="AH170" s="21"/>
    </row>
    <row r="171" spans="1:34" x14ac:dyDescent="0.25">
      <c r="A171" s="5"/>
      <c r="B171" s="236"/>
      <c r="C171" s="236"/>
      <c r="D171" s="53"/>
      <c r="E171" s="236"/>
      <c r="F171" s="236"/>
      <c r="G171" s="236"/>
      <c r="H171" s="236"/>
      <c r="I171" s="279"/>
      <c r="J171" s="279"/>
      <c r="K171" s="279"/>
      <c r="L171" s="279"/>
      <c r="M171" s="279"/>
      <c r="N171" s="279"/>
      <c r="O171" s="241"/>
      <c r="P171" s="241"/>
      <c r="Q171" s="241"/>
      <c r="R171" s="241"/>
      <c r="S171" s="241"/>
      <c r="T171" s="241"/>
      <c r="U171" s="7"/>
      <c r="AD171" s="69"/>
      <c r="AE171" s="69"/>
      <c r="AF171" s="69"/>
      <c r="AH171" s="21"/>
    </row>
    <row r="172" spans="1:34" x14ac:dyDescent="0.25">
      <c r="A172" s="5"/>
      <c r="B172" s="236"/>
      <c r="C172" s="236"/>
      <c r="D172" s="53"/>
      <c r="E172" s="236"/>
      <c r="F172" s="236"/>
      <c r="G172" s="236"/>
      <c r="H172" s="236"/>
      <c r="I172" s="279"/>
      <c r="J172" s="279"/>
      <c r="K172" s="279"/>
      <c r="L172" s="279"/>
      <c r="M172" s="279"/>
      <c r="N172" s="279"/>
      <c r="O172" s="241"/>
      <c r="P172" s="241"/>
      <c r="Q172" s="241"/>
      <c r="R172" s="241"/>
      <c r="S172" s="241"/>
      <c r="T172" s="241"/>
      <c r="U172" s="7"/>
      <c r="AH172" s="21"/>
    </row>
    <row r="173" spans="1:34" x14ac:dyDescent="0.25">
      <c r="A173" s="5"/>
      <c r="B173" s="236"/>
      <c r="C173" s="236"/>
      <c r="D173" s="53"/>
      <c r="E173" s="236"/>
      <c r="F173" s="236"/>
      <c r="G173" s="236"/>
      <c r="H173" s="236"/>
      <c r="I173" s="279"/>
      <c r="J173" s="279"/>
      <c r="K173" s="279"/>
      <c r="L173" s="279"/>
      <c r="M173" s="279"/>
      <c r="N173" s="279"/>
      <c r="O173" s="241"/>
      <c r="P173" s="241"/>
      <c r="Q173" s="241"/>
      <c r="R173" s="241"/>
      <c r="S173" s="241"/>
      <c r="T173" s="241"/>
      <c r="U173" s="7"/>
      <c r="AE173" s="69"/>
      <c r="AH173" s="21"/>
    </row>
    <row r="174" spans="1:34" x14ac:dyDescent="0.25">
      <c r="A174" s="5"/>
      <c r="B174" s="236"/>
      <c r="C174" s="236"/>
      <c r="D174" s="53"/>
      <c r="E174" s="236"/>
      <c r="F174" s="236"/>
      <c r="G174" s="236"/>
      <c r="H174" s="236"/>
      <c r="I174" s="279"/>
      <c r="J174" s="279"/>
      <c r="K174" s="279"/>
      <c r="L174" s="279"/>
      <c r="M174" s="279"/>
      <c r="N174" s="279"/>
      <c r="O174" s="241"/>
      <c r="P174" s="241"/>
      <c r="Q174" s="241"/>
      <c r="R174" s="241"/>
      <c r="S174" s="241"/>
      <c r="T174" s="241"/>
      <c r="U174" s="7"/>
      <c r="AE174" s="69"/>
      <c r="AF174" s="69"/>
      <c r="AH174" s="21"/>
    </row>
    <row r="175" spans="1:34" x14ac:dyDescent="0.25">
      <c r="A175" s="5"/>
      <c r="B175" s="236"/>
      <c r="C175" s="236"/>
      <c r="D175" s="53"/>
      <c r="E175" s="236"/>
      <c r="F175" s="236"/>
      <c r="G175" s="236"/>
      <c r="H175" s="236"/>
      <c r="I175" s="279"/>
      <c r="J175" s="279"/>
      <c r="K175" s="279"/>
      <c r="L175" s="279"/>
      <c r="M175" s="279"/>
      <c r="N175" s="279"/>
      <c r="O175" s="241"/>
      <c r="P175" s="241"/>
      <c r="Q175" s="241"/>
      <c r="R175" s="241"/>
      <c r="S175" s="241"/>
      <c r="T175" s="241"/>
      <c r="U175" s="7"/>
      <c r="AH175" s="21"/>
    </row>
    <row r="176" spans="1:34" x14ac:dyDescent="0.25">
      <c r="A176" s="5"/>
      <c r="B176" s="236"/>
      <c r="C176" s="236"/>
      <c r="D176" s="53"/>
      <c r="E176" s="236"/>
      <c r="F176" s="236"/>
      <c r="G176" s="236"/>
      <c r="H176" s="236"/>
      <c r="I176" s="279"/>
      <c r="J176" s="279"/>
      <c r="K176" s="279"/>
      <c r="L176" s="279"/>
      <c r="M176" s="279"/>
      <c r="N176" s="279"/>
      <c r="O176" s="241"/>
      <c r="P176" s="241"/>
      <c r="Q176" s="241"/>
      <c r="R176" s="241"/>
      <c r="S176" s="241"/>
      <c r="T176" s="241"/>
      <c r="U176" s="7"/>
      <c r="AE176" s="69"/>
      <c r="AH176" s="21"/>
    </row>
    <row r="177" spans="1:34" x14ac:dyDescent="0.25">
      <c r="A177" s="5"/>
      <c r="B177" s="236"/>
      <c r="C177" s="236"/>
      <c r="D177" s="53"/>
      <c r="E177" s="236"/>
      <c r="F177" s="236"/>
      <c r="G177" s="236"/>
      <c r="H177" s="236"/>
      <c r="I177" s="279"/>
      <c r="J177" s="279"/>
      <c r="K177" s="279"/>
      <c r="L177" s="279"/>
      <c r="M177" s="279"/>
      <c r="N177" s="279"/>
      <c r="O177" s="241"/>
      <c r="P177" s="241"/>
      <c r="Q177" s="241"/>
      <c r="R177" s="241"/>
      <c r="S177" s="241"/>
      <c r="T177" s="241"/>
      <c r="U177" s="7"/>
      <c r="AE177" s="69"/>
      <c r="AF177" s="69"/>
      <c r="AH177" s="21"/>
    </row>
    <row r="178" spans="1:34" x14ac:dyDescent="0.25">
      <c r="A178" s="5"/>
      <c r="B178" s="236"/>
      <c r="C178" s="236"/>
      <c r="D178" s="53"/>
      <c r="E178" s="236"/>
      <c r="F178" s="236"/>
      <c r="G178" s="236"/>
      <c r="H178" s="236"/>
      <c r="I178" s="279"/>
      <c r="J178" s="279"/>
      <c r="K178" s="279"/>
      <c r="L178" s="279"/>
      <c r="M178" s="279"/>
      <c r="N178" s="279"/>
      <c r="O178" s="241"/>
      <c r="P178" s="241"/>
      <c r="Q178" s="241"/>
      <c r="R178" s="241"/>
      <c r="S178" s="241"/>
      <c r="T178" s="241"/>
      <c r="U178" s="7"/>
      <c r="AH178" s="21"/>
    </row>
    <row r="179" spans="1:34" x14ac:dyDescent="0.25">
      <c r="A179" s="5"/>
      <c r="B179" s="236"/>
      <c r="C179" s="236"/>
      <c r="D179" s="53"/>
      <c r="E179" s="236"/>
      <c r="F179" s="236"/>
      <c r="G179" s="236"/>
      <c r="H179" s="236"/>
      <c r="I179" s="279"/>
      <c r="J179" s="279"/>
      <c r="K179" s="279"/>
      <c r="L179" s="279"/>
      <c r="M179" s="279"/>
      <c r="N179" s="279"/>
      <c r="O179" s="241"/>
      <c r="P179" s="241"/>
      <c r="Q179" s="241"/>
      <c r="R179" s="241"/>
      <c r="S179" s="241"/>
      <c r="T179" s="241"/>
      <c r="U179" s="7"/>
      <c r="AH179" s="21"/>
    </row>
    <row r="180" spans="1:34" x14ac:dyDescent="0.25">
      <c r="A180" s="5"/>
      <c r="B180" s="236"/>
      <c r="C180" s="236"/>
      <c r="D180" s="53"/>
      <c r="E180" s="236"/>
      <c r="F180" s="236"/>
      <c r="G180" s="236"/>
      <c r="H180" s="236"/>
      <c r="I180" s="279"/>
      <c r="J180" s="279"/>
      <c r="K180" s="279"/>
      <c r="L180" s="279"/>
      <c r="M180" s="279"/>
      <c r="N180" s="279"/>
      <c r="O180" s="241"/>
      <c r="P180" s="241"/>
      <c r="Q180" s="241"/>
      <c r="R180" s="241"/>
      <c r="S180" s="241"/>
      <c r="T180" s="241"/>
      <c r="U180" s="7"/>
      <c r="AD180" s="69"/>
      <c r="AE180" s="69"/>
      <c r="AF180" s="69"/>
      <c r="AH180" s="21"/>
    </row>
    <row r="181" spans="1:34" x14ac:dyDescent="0.25">
      <c r="A181" s="5"/>
      <c r="B181" s="236"/>
      <c r="C181" s="236"/>
      <c r="D181" s="53"/>
      <c r="E181" s="236"/>
      <c r="F181" s="236"/>
      <c r="G181" s="236"/>
      <c r="H181" s="236"/>
      <c r="I181" s="279"/>
      <c r="J181" s="279"/>
      <c r="K181" s="279"/>
      <c r="L181" s="279"/>
      <c r="M181" s="279"/>
      <c r="N181" s="279"/>
      <c r="O181" s="241"/>
      <c r="P181" s="241"/>
      <c r="Q181" s="241"/>
      <c r="R181" s="241"/>
      <c r="S181" s="241"/>
      <c r="T181" s="241"/>
      <c r="U181" s="7"/>
      <c r="AH181" s="21"/>
    </row>
    <row r="182" spans="1:34" x14ac:dyDescent="0.25">
      <c r="A182" s="5"/>
      <c r="B182" s="236"/>
      <c r="C182" s="236"/>
      <c r="D182" s="53"/>
      <c r="E182" s="236"/>
      <c r="F182" s="236"/>
      <c r="G182" s="236"/>
      <c r="H182" s="236"/>
      <c r="I182" s="279"/>
      <c r="J182" s="279"/>
      <c r="K182" s="279"/>
      <c r="L182" s="279"/>
      <c r="M182" s="279"/>
      <c r="N182" s="279"/>
      <c r="O182" s="241"/>
      <c r="P182" s="241"/>
      <c r="Q182" s="241"/>
      <c r="R182" s="241"/>
      <c r="S182" s="241"/>
      <c r="T182" s="241"/>
      <c r="U182" s="7"/>
      <c r="AH182" s="21"/>
    </row>
    <row r="183" spans="1:34" x14ac:dyDescent="0.25">
      <c r="A183" s="5"/>
      <c r="B183" s="236"/>
      <c r="C183" s="236"/>
      <c r="D183" s="53"/>
      <c r="E183" s="236"/>
      <c r="F183" s="236"/>
      <c r="G183" s="236"/>
      <c r="H183" s="236"/>
      <c r="I183" s="279"/>
      <c r="J183" s="279"/>
      <c r="K183" s="279"/>
      <c r="L183" s="279"/>
      <c r="M183" s="279"/>
      <c r="N183" s="279"/>
      <c r="O183" s="241"/>
      <c r="P183" s="241"/>
      <c r="Q183" s="241"/>
      <c r="R183" s="241"/>
      <c r="S183" s="241"/>
      <c r="T183" s="241"/>
      <c r="U183" s="7"/>
      <c r="AE183" s="69"/>
      <c r="AF183" s="69"/>
      <c r="AH183" s="21"/>
    </row>
    <row r="184" spans="1:34" x14ac:dyDescent="0.25">
      <c r="A184" s="5"/>
      <c r="B184" s="236"/>
      <c r="C184" s="236"/>
      <c r="D184" s="53"/>
      <c r="E184" s="236"/>
      <c r="F184" s="236"/>
      <c r="G184" s="236"/>
      <c r="H184" s="236"/>
      <c r="I184" s="279"/>
      <c r="J184" s="279"/>
      <c r="K184" s="279"/>
      <c r="L184" s="279"/>
      <c r="M184" s="279"/>
      <c r="N184" s="279"/>
      <c r="O184" s="241"/>
      <c r="P184" s="241"/>
      <c r="Q184" s="241"/>
      <c r="R184" s="241"/>
      <c r="S184" s="241"/>
      <c r="T184" s="241"/>
      <c r="U184" s="7"/>
      <c r="AH184" s="21"/>
    </row>
    <row r="185" spans="1:34" x14ac:dyDescent="0.25">
      <c r="A185" s="5"/>
      <c r="B185" s="236"/>
      <c r="C185" s="236"/>
      <c r="D185" s="53"/>
      <c r="E185" s="236"/>
      <c r="F185" s="236"/>
      <c r="G185" s="236"/>
      <c r="H185" s="236"/>
      <c r="I185" s="279"/>
      <c r="J185" s="279"/>
      <c r="K185" s="279"/>
      <c r="L185" s="279"/>
      <c r="M185" s="279"/>
      <c r="N185" s="279"/>
      <c r="O185" s="241"/>
      <c r="P185" s="241"/>
      <c r="Q185" s="241"/>
      <c r="R185" s="241"/>
      <c r="S185" s="241"/>
      <c r="T185" s="241"/>
      <c r="U185" s="7"/>
      <c r="AH185" s="21"/>
    </row>
    <row r="186" spans="1:34" x14ac:dyDescent="0.25">
      <c r="A186" s="5"/>
      <c r="B186" s="236"/>
      <c r="C186" s="236"/>
      <c r="D186" s="53"/>
      <c r="E186" s="236"/>
      <c r="F186" s="236"/>
      <c r="G186" s="236"/>
      <c r="H186" s="236"/>
      <c r="I186" s="279"/>
      <c r="J186" s="279"/>
      <c r="K186" s="279"/>
      <c r="L186" s="279"/>
      <c r="M186" s="279"/>
      <c r="N186" s="279"/>
      <c r="O186" s="241"/>
      <c r="P186" s="241"/>
      <c r="Q186" s="241"/>
      <c r="R186" s="241"/>
      <c r="S186" s="241"/>
      <c r="T186" s="241"/>
      <c r="U186" s="7"/>
      <c r="AE186" s="69"/>
      <c r="AF186" s="69"/>
      <c r="AH186" s="21"/>
    </row>
    <row r="187" spans="1:34" x14ac:dyDescent="0.25">
      <c r="A187" s="5"/>
      <c r="B187" s="236"/>
      <c r="C187" s="236"/>
      <c r="D187" s="53"/>
      <c r="E187" s="236"/>
      <c r="F187" s="236"/>
      <c r="G187" s="236"/>
      <c r="H187" s="236"/>
      <c r="I187" s="279"/>
      <c r="J187" s="279"/>
      <c r="K187" s="279"/>
      <c r="L187" s="279"/>
      <c r="M187" s="279"/>
      <c r="N187" s="279"/>
      <c r="O187" s="241"/>
      <c r="P187" s="241"/>
      <c r="Q187" s="241"/>
      <c r="R187" s="241"/>
      <c r="S187" s="241"/>
      <c r="T187" s="241"/>
      <c r="U187" s="7"/>
      <c r="AH187" s="21"/>
    </row>
    <row r="188" spans="1:34" x14ac:dyDescent="0.25">
      <c r="A188" s="5"/>
      <c r="B188" s="236"/>
      <c r="C188" s="236"/>
      <c r="D188" s="53"/>
      <c r="E188" s="236"/>
      <c r="F188" s="236"/>
      <c r="G188" s="236"/>
      <c r="H188" s="236"/>
      <c r="I188" s="279"/>
      <c r="J188" s="279"/>
      <c r="K188" s="279"/>
      <c r="L188" s="279"/>
      <c r="M188" s="279"/>
      <c r="N188" s="279"/>
      <c r="O188" s="241"/>
      <c r="P188" s="241"/>
      <c r="Q188" s="241"/>
      <c r="R188" s="241"/>
      <c r="S188" s="241"/>
      <c r="T188" s="241"/>
      <c r="U188" s="7"/>
      <c r="AH188" s="21"/>
    </row>
    <row r="189" spans="1:34" x14ac:dyDescent="0.25">
      <c r="A189" s="9"/>
      <c r="B189" s="10"/>
      <c r="C189" s="10"/>
      <c r="D189" s="10"/>
      <c r="E189" s="10"/>
      <c r="F189" s="10"/>
      <c r="G189" s="10"/>
      <c r="H189" s="10"/>
      <c r="I189" s="10"/>
      <c r="J189" s="10"/>
      <c r="K189" s="10"/>
      <c r="L189" s="10"/>
      <c r="M189" s="10"/>
      <c r="N189" s="10"/>
      <c r="O189" s="10"/>
      <c r="P189" s="10"/>
      <c r="Q189" s="10"/>
      <c r="R189" s="10"/>
      <c r="S189" s="10"/>
      <c r="T189" s="10"/>
      <c r="U189" s="11"/>
      <c r="AE189" s="69"/>
      <c r="AF189" s="69"/>
      <c r="AH189" s="21"/>
    </row>
    <row r="190" spans="1:34" x14ac:dyDescent="0.25">
      <c r="A190" s="2"/>
      <c r="B190" s="50"/>
      <c r="C190" s="50"/>
      <c r="D190" s="50"/>
      <c r="E190" s="50"/>
      <c r="F190" s="50"/>
      <c r="G190" s="50"/>
      <c r="H190" s="50"/>
      <c r="I190" s="85"/>
      <c r="J190" s="85"/>
      <c r="K190" s="85"/>
      <c r="L190" s="85"/>
      <c r="M190" s="85"/>
      <c r="N190" s="85"/>
      <c r="O190" s="50"/>
      <c r="P190" s="50"/>
      <c r="Q190" s="50"/>
      <c r="R190" s="50"/>
      <c r="S190" s="50"/>
      <c r="T190" s="50"/>
      <c r="U190" s="4"/>
      <c r="AH190" s="21"/>
    </row>
    <row r="191" spans="1:34" x14ac:dyDescent="0.25">
      <c r="A191" s="5"/>
      <c r="B191" s="294"/>
      <c r="C191" s="294"/>
      <c r="D191" s="294"/>
      <c r="E191" s="294"/>
      <c r="F191" s="294"/>
      <c r="G191" s="294"/>
      <c r="H191" s="294"/>
      <c r="I191" s="290"/>
      <c r="J191" s="290"/>
      <c r="K191" s="290"/>
      <c r="L191" s="290"/>
      <c r="M191" s="290"/>
      <c r="N191" s="290"/>
      <c r="O191" s="254"/>
      <c r="P191" s="254"/>
      <c r="Q191" s="254"/>
      <c r="R191" s="254"/>
      <c r="S191" s="254"/>
      <c r="T191" s="254"/>
      <c r="U191" s="7"/>
      <c r="AH191" s="21"/>
    </row>
    <row r="192" spans="1:34" x14ac:dyDescent="0.25">
      <c r="A192" s="5"/>
      <c r="B192" s="294"/>
      <c r="C192" s="294"/>
      <c r="D192" s="294"/>
      <c r="E192" s="294"/>
      <c r="F192" s="294"/>
      <c r="G192" s="294"/>
      <c r="H192" s="294"/>
      <c r="I192" s="290"/>
      <c r="J192" s="290"/>
      <c r="K192" s="290"/>
      <c r="L192" s="290"/>
      <c r="M192" s="290"/>
      <c r="N192" s="290"/>
      <c r="O192" s="254"/>
      <c r="P192" s="254"/>
      <c r="Q192" s="254"/>
      <c r="R192" s="254"/>
      <c r="S192" s="254"/>
      <c r="T192" s="254"/>
      <c r="U192" s="7"/>
      <c r="AE192" s="69"/>
      <c r="AF192" s="69"/>
      <c r="AH192" s="21"/>
    </row>
    <row r="193" spans="1:34" x14ac:dyDescent="0.25">
      <c r="A193" s="5"/>
      <c r="B193" s="236"/>
      <c r="C193" s="236"/>
      <c r="D193" s="53"/>
      <c r="E193" s="236"/>
      <c r="F193" s="236"/>
      <c r="G193" s="236"/>
      <c r="H193" s="236"/>
      <c r="I193" s="279"/>
      <c r="J193" s="279"/>
      <c r="K193" s="279"/>
      <c r="L193" s="279"/>
      <c r="M193" s="279"/>
      <c r="N193" s="279"/>
      <c r="O193" s="241"/>
      <c r="P193" s="241"/>
      <c r="Q193" s="241"/>
      <c r="R193" s="241"/>
      <c r="S193" s="241"/>
      <c r="T193" s="241"/>
      <c r="U193" s="7"/>
      <c r="AH193" s="21"/>
    </row>
    <row r="194" spans="1:34" x14ac:dyDescent="0.25">
      <c r="A194" s="5"/>
      <c r="B194" s="236"/>
      <c r="C194" s="236"/>
      <c r="D194" s="53"/>
      <c r="E194" s="236"/>
      <c r="F194" s="236"/>
      <c r="G194" s="236"/>
      <c r="H194" s="236"/>
      <c r="I194" s="279"/>
      <c r="J194" s="279"/>
      <c r="K194" s="279"/>
      <c r="L194" s="279"/>
      <c r="M194" s="279"/>
      <c r="N194" s="279"/>
      <c r="O194" s="241"/>
      <c r="P194" s="241"/>
      <c r="Q194" s="241"/>
      <c r="R194" s="241"/>
      <c r="S194" s="241"/>
      <c r="T194" s="241"/>
      <c r="U194" s="7"/>
      <c r="AH194" s="21"/>
    </row>
    <row r="195" spans="1:34" x14ac:dyDescent="0.25">
      <c r="A195" s="5"/>
      <c r="B195" s="236"/>
      <c r="C195" s="236"/>
      <c r="D195" s="53"/>
      <c r="E195" s="236"/>
      <c r="F195" s="236"/>
      <c r="G195" s="236"/>
      <c r="H195" s="236"/>
      <c r="I195" s="279"/>
      <c r="J195" s="279"/>
      <c r="K195" s="279"/>
      <c r="L195" s="279"/>
      <c r="M195" s="279"/>
      <c r="N195" s="279"/>
      <c r="O195" s="241"/>
      <c r="P195" s="241"/>
      <c r="Q195" s="241"/>
      <c r="R195" s="241"/>
      <c r="S195" s="241"/>
      <c r="T195" s="241"/>
      <c r="U195" s="7"/>
      <c r="AD195" s="69"/>
      <c r="AE195" s="69"/>
      <c r="AF195" s="69"/>
      <c r="AH195" s="21"/>
    </row>
    <row r="196" spans="1:34" x14ac:dyDescent="0.25">
      <c r="A196" s="5"/>
      <c r="B196" s="236"/>
      <c r="C196" s="236"/>
      <c r="D196" s="53"/>
      <c r="E196" s="236"/>
      <c r="F196" s="236"/>
      <c r="G196" s="236"/>
      <c r="H196" s="236"/>
      <c r="I196" s="279"/>
      <c r="J196" s="279"/>
      <c r="K196" s="279"/>
      <c r="L196" s="279"/>
      <c r="M196" s="279"/>
      <c r="N196" s="279"/>
      <c r="O196" s="241"/>
      <c r="P196" s="241"/>
      <c r="Q196" s="241"/>
      <c r="R196" s="241"/>
      <c r="S196" s="241"/>
      <c r="T196" s="241"/>
      <c r="U196" s="7"/>
      <c r="AH196" s="21"/>
    </row>
    <row r="197" spans="1:34" x14ac:dyDescent="0.25">
      <c r="A197" s="5"/>
      <c r="B197" s="236"/>
      <c r="C197" s="236"/>
      <c r="D197" s="53"/>
      <c r="E197" s="236"/>
      <c r="F197" s="236"/>
      <c r="G197" s="236"/>
      <c r="H197" s="236"/>
      <c r="I197" s="279"/>
      <c r="J197" s="279"/>
      <c r="K197" s="279"/>
      <c r="L197" s="279"/>
      <c r="M197" s="279"/>
      <c r="N197" s="279"/>
      <c r="O197" s="241"/>
      <c r="P197" s="241"/>
      <c r="Q197" s="241"/>
      <c r="R197" s="241"/>
      <c r="S197" s="241"/>
      <c r="T197" s="241"/>
      <c r="U197" s="7"/>
      <c r="AH197" s="21"/>
    </row>
    <row r="198" spans="1:34" x14ac:dyDescent="0.25">
      <c r="A198" s="5"/>
      <c r="B198" s="236"/>
      <c r="C198" s="236"/>
      <c r="D198" s="53"/>
      <c r="E198" s="236"/>
      <c r="F198" s="236"/>
      <c r="G198" s="236"/>
      <c r="H198" s="236"/>
      <c r="I198" s="279"/>
      <c r="J198" s="279"/>
      <c r="K198" s="279"/>
      <c r="L198" s="279"/>
      <c r="M198" s="279"/>
      <c r="N198" s="279"/>
      <c r="O198" s="241"/>
      <c r="P198" s="241"/>
      <c r="Q198" s="241"/>
      <c r="R198" s="241"/>
      <c r="S198" s="241"/>
      <c r="T198" s="241"/>
      <c r="U198" s="7"/>
      <c r="AE198" s="69"/>
      <c r="AF198" s="69"/>
      <c r="AH198" s="21"/>
    </row>
    <row r="199" spans="1:34" x14ac:dyDescent="0.25">
      <c r="A199" s="5"/>
      <c r="B199" s="236"/>
      <c r="C199" s="236"/>
      <c r="D199" s="53"/>
      <c r="E199" s="236"/>
      <c r="F199" s="236"/>
      <c r="G199" s="236"/>
      <c r="H199" s="236"/>
      <c r="I199" s="279"/>
      <c r="J199" s="279"/>
      <c r="K199" s="279"/>
      <c r="L199" s="279"/>
      <c r="M199" s="279"/>
      <c r="N199" s="279"/>
      <c r="O199" s="241"/>
      <c r="P199" s="241"/>
      <c r="Q199" s="241"/>
      <c r="R199" s="241"/>
      <c r="S199" s="241"/>
      <c r="T199" s="241"/>
      <c r="U199" s="7"/>
      <c r="AH199" s="21"/>
    </row>
    <row r="200" spans="1:34" x14ac:dyDescent="0.25">
      <c r="A200" s="5"/>
      <c r="B200" s="236"/>
      <c r="C200" s="236"/>
      <c r="D200" s="53"/>
      <c r="E200" s="236"/>
      <c r="F200" s="236"/>
      <c r="G200" s="236"/>
      <c r="H200" s="236"/>
      <c r="I200" s="279"/>
      <c r="J200" s="279"/>
      <c r="K200" s="279"/>
      <c r="L200" s="279"/>
      <c r="M200" s="279"/>
      <c r="N200" s="279"/>
      <c r="O200" s="241"/>
      <c r="P200" s="241"/>
      <c r="Q200" s="241"/>
      <c r="R200" s="241"/>
      <c r="S200" s="241"/>
      <c r="T200" s="241"/>
      <c r="U200" s="7"/>
      <c r="AH200" s="21"/>
    </row>
    <row r="201" spans="1:34" x14ac:dyDescent="0.25">
      <c r="A201" s="5"/>
      <c r="B201" s="236"/>
      <c r="C201" s="236"/>
      <c r="D201" s="53"/>
      <c r="E201" s="236"/>
      <c r="F201" s="236"/>
      <c r="G201" s="236"/>
      <c r="H201" s="236"/>
      <c r="I201" s="279"/>
      <c r="J201" s="279"/>
      <c r="K201" s="279"/>
      <c r="L201" s="279"/>
      <c r="M201" s="279"/>
      <c r="N201" s="279"/>
      <c r="O201" s="241"/>
      <c r="P201" s="241"/>
      <c r="Q201" s="241"/>
      <c r="R201" s="241"/>
      <c r="S201" s="241"/>
      <c r="T201" s="241"/>
      <c r="U201" s="7"/>
      <c r="AE201" s="69"/>
      <c r="AF201" s="69"/>
      <c r="AH201" s="21"/>
    </row>
    <row r="202" spans="1:34" x14ac:dyDescent="0.25">
      <c r="A202" s="5"/>
      <c r="B202" s="236"/>
      <c r="C202" s="236"/>
      <c r="D202" s="53"/>
      <c r="E202" s="236"/>
      <c r="F202" s="236"/>
      <c r="G202" s="236"/>
      <c r="H202" s="236"/>
      <c r="I202" s="279"/>
      <c r="J202" s="279"/>
      <c r="K202" s="279"/>
      <c r="L202" s="279"/>
      <c r="M202" s="279"/>
      <c r="N202" s="279"/>
      <c r="O202" s="241"/>
      <c r="P202" s="241"/>
      <c r="Q202" s="241"/>
      <c r="R202" s="241"/>
      <c r="S202" s="241"/>
      <c r="T202" s="241"/>
      <c r="U202" s="7"/>
      <c r="AH202" s="21"/>
    </row>
    <row r="203" spans="1:34" x14ac:dyDescent="0.25">
      <c r="A203" s="5"/>
      <c r="B203" s="236"/>
      <c r="C203" s="236"/>
      <c r="D203" s="53"/>
      <c r="E203" s="236"/>
      <c r="F203" s="236"/>
      <c r="G203" s="236"/>
      <c r="H203" s="236"/>
      <c r="I203" s="279"/>
      <c r="J203" s="279"/>
      <c r="K203" s="279"/>
      <c r="L203" s="279"/>
      <c r="M203" s="279"/>
      <c r="N203" s="279"/>
      <c r="O203" s="241"/>
      <c r="P203" s="241"/>
      <c r="Q203" s="241"/>
      <c r="R203" s="241"/>
      <c r="S203" s="241"/>
      <c r="T203" s="241"/>
      <c r="U203" s="7"/>
      <c r="AH203" s="21"/>
    </row>
    <row r="204" spans="1:34" x14ac:dyDescent="0.25">
      <c r="A204" s="5"/>
      <c r="B204" s="236"/>
      <c r="C204" s="236"/>
      <c r="D204" s="53"/>
      <c r="E204" s="236"/>
      <c r="F204" s="236"/>
      <c r="G204" s="236"/>
      <c r="H204" s="236"/>
      <c r="I204" s="279"/>
      <c r="J204" s="279"/>
      <c r="K204" s="279"/>
      <c r="L204" s="279"/>
      <c r="M204" s="279"/>
      <c r="N204" s="279"/>
      <c r="O204" s="241"/>
      <c r="P204" s="241"/>
      <c r="Q204" s="241"/>
      <c r="R204" s="241"/>
      <c r="S204" s="241"/>
      <c r="T204" s="241"/>
      <c r="U204" s="7"/>
      <c r="AE204" s="69"/>
      <c r="AF204" s="69"/>
      <c r="AH204" s="21"/>
    </row>
    <row r="205" spans="1:34" x14ac:dyDescent="0.25">
      <c r="A205" s="5"/>
      <c r="B205" s="236"/>
      <c r="C205" s="236"/>
      <c r="D205" s="53"/>
      <c r="E205" s="236"/>
      <c r="F205" s="236"/>
      <c r="G205" s="236"/>
      <c r="H205" s="236"/>
      <c r="I205" s="279"/>
      <c r="J205" s="279"/>
      <c r="K205" s="279"/>
      <c r="L205" s="279"/>
      <c r="M205" s="279"/>
      <c r="N205" s="279"/>
      <c r="O205" s="241"/>
      <c r="P205" s="241"/>
      <c r="Q205" s="241"/>
      <c r="R205" s="241"/>
      <c r="S205" s="241"/>
      <c r="T205" s="241"/>
      <c r="U205" s="7"/>
      <c r="AH205" s="21"/>
    </row>
    <row r="206" spans="1:34" x14ac:dyDescent="0.25">
      <c r="A206" s="5"/>
      <c r="B206" s="236"/>
      <c r="C206" s="236"/>
      <c r="D206" s="53"/>
      <c r="E206" s="236"/>
      <c r="F206" s="236"/>
      <c r="G206" s="236"/>
      <c r="H206" s="236"/>
      <c r="I206" s="279"/>
      <c r="J206" s="279"/>
      <c r="K206" s="279"/>
      <c r="L206" s="279"/>
      <c r="M206" s="279"/>
      <c r="N206" s="279"/>
      <c r="O206" s="241"/>
      <c r="P206" s="241"/>
      <c r="Q206" s="241"/>
      <c r="R206" s="241"/>
      <c r="S206" s="241"/>
      <c r="T206" s="241"/>
      <c r="U206" s="7"/>
      <c r="AH206" s="21"/>
    </row>
    <row r="207" spans="1:34" x14ac:dyDescent="0.25">
      <c r="A207" s="5"/>
      <c r="B207" s="236"/>
      <c r="C207" s="236"/>
      <c r="D207" s="53"/>
      <c r="E207" s="236"/>
      <c r="F207" s="236"/>
      <c r="G207" s="236"/>
      <c r="H207" s="236"/>
      <c r="I207" s="279"/>
      <c r="J207" s="279"/>
      <c r="K207" s="279"/>
      <c r="L207" s="279"/>
      <c r="M207" s="279"/>
      <c r="N207" s="279"/>
      <c r="O207" s="241"/>
      <c r="P207" s="241"/>
      <c r="Q207" s="241"/>
      <c r="R207" s="241"/>
      <c r="S207" s="241"/>
      <c r="T207" s="241"/>
      <c r="U207" s="7"/>
      <c r="AC207" s="69"/>
      <c r="AD207" s="69"/>
      <c r="AE207" s="69"/>
      <c r="AF207" s="69"/>
      <c r="AH207" s="21"/>
    </row>
    <row r="208" spans="1:34" x14ac:dyDescent="0.25">
      <c r="A208" s="5"/>
      <c r="B208" s="236"/>
      <c r="C208" s="236"/>
      <c r="D208" s="53"/>
      <c r="E208" s="236"/>
      <c r="F208" s="236"/>
      <c r="G208" s="236"/>
      <c r="H208" s="236"/>
      <c r="I208" s="279"/>
      <c r="J208" s="279"/>
      <c r="K208" s="279"/>
      <c r="L208" s="279"/>
      <c r="M208" s="279"/>
      <c r="N208" s="279"/>
      <c r="O208" s="241"/>
      <c r="P208" s="241"/>
      <c r="Q208" s="241"/>
      <c r="R208" s="241"/>
      <c r="S208" s="241"/>
      <c r="T208" s="241"/>
      <c r="U208" s="7"/>
      <c r="AH208" s="21"/>
    </row>
    <row r="209" spans="1:34" x14ac:dyDescent="0.25">
      <c r="A209" s="5"/>
      <c r="B209" s="236"/>
      <c r="C209" s="236"/>
      <c r="D209" s="53"/>
      <c r="E209" s="236"/>
      <c r="F209" s="236"/>
      <c r="G209" s="236"/>
      <c r="H209" s="236"/>
      <c r="I209" s="279"/>
      <c r="J209" s="279"/>
      <c r="K209" s="279"/>
      <c r="L209" s="279"/>
      <c r="M209" s="279"/>
      <c r="N209" s="279"/>
      <c r="O209" s="241"/>
      <c r="P209" s="241"/>
      <c r="Q209" s="241"/>
      <c r="R209" s="241"/>
      <c r="S209" s="241"/>
      <c r="T209" s="241"/>
      <c r="U209" s="7"/>
      <c r="AH209" s="21"/>
    </row>
    <row r="210" spans="1:34" x14ac:dyDescent="0.25">
      <c r="A210" s="5"/>
      <c r="B210" s="236"/>
      <c r="C210" s="236"/>
      <c r="D210" s="53"/>
      <c r="E210" s="236"/>
      <c r="F210" s="236"/>
      <c r="G210" s="236"/>
      <c r="H210" s="236"/>
      <c r="I210" s="279"/>
      <c r="J210" s="279"/>
      <c r="K210" s="279"/>
      <c r="L210" s="279"/>
      <c r="M210" s="279"/>
      <c r="N210" s="279"/>
      <c r="O210" s="241"/>
      <c r="P210" s="241"/>
      <c r="Q210" s="241"/>
      <c r="R210" s="241"/>
      <c r="S210" s="241"/>
      <c r="T210" s="241"/>
      <c r="U210" s="7"/>
      <c r="AH210" s="21"/>
    </row>
    <row r="211" spans="1:34" x14ac:dyDescent="0.25">
      <c r="A211" s="5"/>
      <c r="B211" s="236"/>
      <c r="C211" s="236"/>
      <c r="D211" s="53"/>
      <c r="E211" s="236"/>
      <c r="F211" s="236"/>
      <c r="G211" s="236"/>
      <c r="H211" s="236"/>
      <c r="I211" s="279"/>
      <c r="J211" s="279"/>
      <c r="K211" s="279"/>
      <c r="L211" s="279"/>
      <c r="M211" s="279"/>
      <c r="N211" s="279"/>
      <c r="O211" s="241"/>
      <c r="P211" s="241"/>
      <c r="Q211" s="241"/>
      <c r="R211" s="241"/>
      <c r="S211" s="241"/>
      <c r="T211" s="241"/>
      <c r="U211" s="7"/>
      <c r="AH211" s="21"/>
    </row>
    <row r="212" spans="1:34" x14ac:dyDescent="0.25">
      <c r="A212" s="5"/>
      <c r="B212" s="236"/>
      <c r="C212" s="236"/>
      <c r="D212" s="53"/>
      <c r="E212" s="236"/>
      <c r="F212" s="236"/>
      <c r="G212" s="236"/>
      <c r="H212" s="236"/>
      <c r="I212" s="279"/>
      <c r="J212" s="279"/>
      <c r="K212" s="279"/>
      <c r="L212" s="279"/>
      <c r="M212" s="279"/>
      <c r="N212" s="279"/>
      <c r="O212" s="241"/>
      <c r="P212" s="241"/>
      <c r="Q212" s="241"/>
      <c r="R212" s="241"/>
      <c r="S212" s="241"/>
      <c r="T212" s="241"/>
      <c r="U212" s="7"/>
      <c r="AH212" s="21"/>
    </row>
    <row r="213" spans="1:34" x14ac:dyDescent="0.25">
      <c r="A213" s="5"/>
      <c r="B213" s="236"/>
      <c r="C213" s="236"/>
      <c r="D213" s="53"/>
      <c r="E213" s="236"/>
      <c r="F213" s="236"/>
      <c r="G213" s="236"/>
      <c r="H213" s="236"/>
      <c r="I213" s="279"/>
      <c r="J213" s="279"/>
      <c r="K213" s="279"/>
      <c r="L213" s="279"/>
      <c r="M213" s="279"/>
      <c r="N213" s="279"/>
      <c r="O213" s="241"/>
      <c r="P213" s="241"/>
      <c r="Q213" s="241"/>
      <c r="R213" s="241"/>
      <c r="S213" s="241"/>
      <c r="T213" s="241"/>
      <c r="U213" s="7"/>
      <c r="AH213" s="21"/>
    </row>
    <row r="214" spans="1:34" x14ac:dyDescent="0.25">
      <c r="A214" s="5"/>
      <c r="B214" s="236"/>
      <c r="C214" s="236"/>
      <c r="D214" s="53"/>
      <c r="E214" s="236"/>
      <c r="F214" s="236"/>
      <c r="G214" s="236"/>
      <c r="H214" s="236"/>
      <c r="I214" s="279"/>
      <c r="J214" s="279"/>
      <c r="K214" s="279"/>
      <c r="L214" s="279"/>
      <c r="M214" s="279"/>
      <c r="N214" s="279"/>
      <c r="O214" s="241"/>
      <c r="P214" s="241"/>
      <c r="Q214" s="241"/>
      <c r="R214" s="241"/>
      <c r="S214" s="241"/>
      <c r="T214" s="241"/>
      <c r="U214" s="7"/>
      <c r="AH214" s="21"/>
    </row>
    <row r="215" spans="1:34" x14ac:dyDescent="0.25">
      <c r="A215" s="5"/>
      <c r="B215" s="236"/>
      <c r="C215" s="236"/>
      <c r="D215" s="53"/>
      <c r="E215" s="236"/>
      <c r="F215" s="236"/>
      <c r="G215" s="236"/>
      <c r="H215" s="236"/>
      <c r="I215" s="279"/>
      <c r="J215" s="279"/>
      <c r="K215" s="279"/>
      <c r="L215" s="279"/>
      <c r="M215" s="279"/>
      <c r="N215" s="279"/>
      <c r="O215" s="241"/>
      <c r="P215" s="241"/>
      <c r="Q215" s="241"/>
      <c r="R215" s="241"/>
      <c r="S215" s="241"/>
      <c r="T215" s="241"/>
      <c r="U215" s="7"/>
      <c r="AH215" s="21"/>
    </row>
    <row r="216" spans="1:34" x14ac:dyDescent="0.25">
      <c r="A216" s="5"/>
      <c r="B216" s="236"/>
      <c r="C216" s="236"/>
      <c r="D216" s="53"/>
      <c r="E216" s="236"/>
      <c r="F216" s="236"/>
      <c r="G216" s="236"/>
      <c r="H216" s="236"/>
      <c r="I216" s="279"/>
      <c r="J216" s="279"/>
      <c r="K216" s="279"/>
      <c r="L216" s="279"/>
      <c r="M216" s="279"/>
      <c r="N216" s="279"/>
      <c r="O216" s="241"/>
      <c r="P216" s="241"/>
      <c r="Q216" s="241"/>
      <c r="R216" s="241"/>
      <c r="S216" s="241"/>
      <c r="T216" s="241"/>
      <c r="U216" s="7"/>
      <c r="AH216" s="21"/>
    </row>
    <row r="217" spans="1:34" x14ac:dyDescent="0.25">
      <c r="A217" s="5"/>
      <c r="B217" s="236"/>
      <c r="C217" s="236"/>
      <c r="D217" s="53"/>
      <c r="E217" s="236"/>
      <c r="F217" s="236"/>
      <c r="G217" s="236"/>
      <c r="H217" s="236"/>
      <c r="I217" s="279"/>
      <c r="J217" s="279"/>
      <c r="K217" s="279"/>
      <c r="L217" s="279"/>
      <c r="M217" s="279"/>
      <c r="N217" s="279"/>
      <c r="O217" s="241"/>
      <c r="P217" s="241"/>
      <c r="Q217" s="241"/>
      <c r="R217" s="241"/>
      <c r="S217" s="241"/>
      <c r="T217" s="241"/>
      <c r="U217" s="7"/>
      <c r="AH217" s="21"/>
    </row>
    <row r="218" spans="1:34" x14ac:dyDescent="0.25">
      <c r="A218" s="5"/>
      <c r="B218" s="236"/>
      <c r="C218" s="236"/>
      <c r="D218" s="53"/>
      <c r="E218" s="236"/>
      <c r="F218" s="236"/>
      <c r="G218" s="236"/>
      <c r="H218" s="236"/>
      <c r="I218" s="279"/>
      <c r="J218" s="279"/>
      <c r="K218" s="279"/>
      <c r="L218" s="279"/>
      <c r="M218" s="279"/>
      <c r="N218" s="279"/>
      <c r="O218" s="241"/>
      <c r="P218" s="241"/>
      <c r="Q218" s="241"/>
      <c r="R218" s="241"/>
      <c r="S218" s="241"/>
      <c r="T218" s="241"/>
      <c r="U218" s="7"/>
      <c r="AH218" s="21"/>
    </row>
    <row r="219" spans="1:34" x14ac:dyDescent="0.25">
      <c r="A219" s="5"/>
      <c r="B219" s="236"/>
      <c r="C219" s="236"/>
      <c r="D219" s="53"/>
      <c r="E219" s="236"/>
      <c r="F219" s="236"/>
      <c r="G219" s="236"/>
      <c r="H219" s="236"/>
      <c r="I219" s="279"/>
      <c r="J219" s="279"/>
      <c r="K219" s="279"/>
      <c r="L219" s="279"/>
      <c r="M219" s="279"/>
      <c r="N219" s="279"/>
      <c r="O219" s="241"/>
      <c r="P219" s="241"/>
      <c r="Q219" s="241"/>
      <c r="R219" s="241"/>
      <c r="S219" s="241"/>
      <c r="T219" s="241"/>
      <c r="U219" s="7"/>
      <c r="AH219" s="21"/>
    </row>
    <row r="220" spans="1:34" x14ac:dyDescent="0.25">
      <c r="A220" s="5"/>
      <c r="B220" s="236"/>
      <c r="C220" s="236"/>
      <c r="D220" s="53"/>
      <c r="E220" s="236"/>
      <c r="F220" s="236"/>
      <c r="G220" s="236"/>
      <c r="H220" s="236"/>
      <c r="I220" s="279"/>
      <c r="J220" s="279"/>
      <c r="K220" s="279"/>
      <c r="L220" s="279"/>
      <c r="M220" s="279"/>
      <c r="N220" s="279"/>
      <c r="O220" s="241"/>
      <c r="P220" s="241"/>
      <c r="Q220" s="241"/>
      <c r="R220" s="241"/>
      <c r="S220" s="241"/>
      <c r="T220" s="241"/>
      <c r="U220" s="7"/>
      <c r="AH220" s="21"/>
    </row>
    <row r="221" spans="1:34" x14ac:dyDescent="0.25">
      <c r="A221" s="5"/>
      <c r="B221" s="236"/>
      <c r="C221" s="236"/>
      <c r="D221" s="53"/>
      <c r="E221" s="236"/>
      <c r="F221" s="236"/>
      <c r="G221" s="236"/>
      <c r="H221" s="236"/>
      <c r="I221" s="279"/>
      <c r="J221" s="279"/>
      <c r="K221" s="279"/>
      <c r="L221" s="279"/>
      <c r="M221" s="279"/>
      <c r="N221" s="279"/>
      <c r="O221" s="241"/>
      <c r="P221" s="241"/>
      <c r="Q221" s="241"/>
      <c r="R221" s="241"/>
      <c r="S221" s="241"/>
      <c r="T221" s="241"/>
      <c r="U221" s="7"/>
      <c r="AH221" s="21"/>
    </row>
    <row r="222" spans="1:34" x14ac:dyDescent="0.25">
      <c r="A222" s="5"/>
      <c r="B222" s="236"/>
      <c r="C222" s="236"/>
      <c r="D222" s="53"/>
      <c r="E222" s="236"/>
      <c r="F222" s="236"/>
      <c r="G222" s="236"/>
      <c r="H222" s="236"/>
      <c r="I222" s="279"/>
      <c r="J222" s="279"/>
      <c r="K222" s="279"/>
      <c r="L222" s="279"/>
      <c r="M222" s="279"/>
      <c r="N222" s="279"/>
      <c r="O222" s="241"/>
      <c r="P222" s="241"/>
      <c r="Q222" s="241"/>
      <c r="R222" s="241"/>
      <c r="S222" s="241"/>
      <c r="T222" s="241"/>
      <c r="U222" s="7"/>
      <c r="AH222" s="21"/>
    </row>
    <row r="223" spans="1:34" x14ac:dyDescent="0.25">
      <c r="A223" s="5"/>
      <c r="B223" s="236"/>
      <c r="C223" s="236"/>
      <c r="D223" s="53"/>
      <c r="E223" s="236"/>
      <c r="F223" s="236"/>
      <c r="G223" s="236"/>
      <c r="H223" s="236"/>
      <c r="I223" s="279"/>
      <c r="J223" s="279"/>
      <c r="K223" s="279"/>
      <c r="L223" s="279"/>
      <c r="M223" s="279"/>
      <c r="N223" s="279"/>
      <c r="O223" s="241"/>
      <c r="P223" s="241"/>
      <c r="Q223" s="241"/>
      <c r="R223" s="241"/>
      <c r="S223" s="241"/>
      <c r="T223" s="241"/>
      <c r="U223" s="7"/>
      <c r="AH223" s="21"/>
    </row>
    <row r="224" spans="1:34" x14ac:dyDescent="0.25">
      <c r="A224" s="5"/>
      <c r="B224" s="236"/>
      <c r="C224" s="236"/>
      <c r="D224" s="53"/>
      <c r="E224" s="236"/>
      <c r="F224" s="236"/>
      <c r="G224" s="236"/>
      <c r="H224" s="236"/>
      <c r="I224" s="279"/>
      <c r="J224" s="279"/>
      <c r="K224" s="279"/>
      <c r="L224" s="279"/>
      <c r="M224" s="279"/>
      <c r="N224" s="279"/>
      <c r="O224" s="241"/>
      <c r="P224" s="241"/>
      <c r="Q224" s="241"/>
      <c r="R224" s="241"/>
      <c r="S224" s="241"/>
      <c r="T224" s="241"/>
      <c r="U224" s="7"/>
      <c r="AH224" s="21"/>
    </row>
    <row r="225" spans="1:34" x14ac:dyDescent="0.25">
      <c r="A225" s="5"/>
      <c r="B225" s="236"/>
      <c r="C225" s="236"/>
      <c r="D225" s="53"/>
      <c r="E225" s="236"/>
      <c r="F225" s="236"/>
      <c r="G225" s="236"/>
      <c r="H225" s="236"/>
      <c r="I225" s="279"/>
      <c r="J225" s="279"/>
      <c r="K225" s="279"/>
      <c r="L225" s="279"/>
      <c r="M225" s="279"/>
      <c r="N225" s="279"/>
      <c r="O225" s="241"/>
      <c r="P225" s="241"/>
      <c r="Q225" s="241"/>
      <c r="R225" s="241"/>
      <c r="S225" s="241"/>
      <c r="T225" s="241"/>
      <c r="U225" s="7"/>
      <c r="AH225" s="21"/>
    </row>
    <row r="226" spans="1:34" x14ac:dyDescent="0.25">
      <c r="A226" s="5"/>
      <c r="B226" s="236"/>
      <c r="C226" s="236"/>
      <c r="D226" s="53"/>
      <c r="E226" s="236"/>
      <c r="F226" s="236"/>
      <c r="G226" s="236"/>
      <c r="H226" s="236"/>
      <c r="I226" s="279"/>
      <c r="J226" s="279"/>
      <c r="K226" s="279"/>
      <c r="L226" s="279"/>
      <c r="M226" s="279"/>
      <c r="N226" s="279"/>
      <c r="O226" s="241"/>
      <c r="P226" s="241"/>
      <c r="Q226" s="241"/>
      <c r="R226" s="241"/>
      <c r="S226" s="241"/>
      <c r="T226" s="241"/>
      <c r="U226" s="7"/>
      <c r="AH226" s="21"/>
    </row>
    <row r="227" spans="1:34" x14ac:dyDescent="0.25">
      <c r="A227" s="5"/>
      <c r="B227" s="236"/>
      <c r="C227" s="236"/>
      <c r="D227" s="53"/>
      <c r="E227" s="236"/>
      <c r="F227" s="236"/>
      <c r="G227" s="236"/>
      <c r="H227" s="236"/>
      <c r="I227" s="279"/>
      <c r="J227" s="279"/>
      <c r="K227" s="279"/>
      <c r="L227" s="279"/>
      <c r="M227" s="279"/>
      <c r="N227" s="279"/>
      <c r="O227" s="241"/>
      <c r="P227" s="241"/>
      <c r="Q227" s="241"/>
      <c r="R227" s="241"/>
      <c r="S227" s="241"/>
      <c r="T227" s="241"/>
      <c r="U227" s="7"/>
      <c r="AH227" s="21"/>
    </row>
    <row r="228" spans="1:34" x14ac:dyDescent="0.25">
      <c r="A228" s="5"/>
      <c r="B228" s="236"/>
      <c r="C228" s="236"/>
      <c r="D228" s="53"/>
      <c r="E228" s="236"/>
      <c r="F228" s="236"/>
      <c r="G228" s="236"/>
      <c r="H228" s="236"/>
      <c r="I228" s="279"/>
      <c r="J228" s="279"/>
      <c r="K228" s="279"/>
      <c r="L228" s="279"/>
      <c r="M228" s="279"/>
      <c r="N228" s="279"/>
      <c r="O228" s="241"/>
      <c r="P228" s="241"/>
      <c r="Q228" s="241"/>
      <c r="R228" s="241"/>
      <c r="S228" s="241"/>
      <c r="T228" s="241"/>
      <c r="U228" s="7"/>
      <c r="AH228" s="21"/>
    </row>
    <row r="229" spans="1:34" x14ac:dyDescent="0.25">
      <c r="A229" s="5"/>
      <c r="B229" s="236"/>
      <c r="C229" s="236"/>
      <c r="D229" s="53"/>
      <c r="E229" s="236"/>
      <c r="F229" s="236"/>
      <c r="G229" s="236"/>
      <c r="H229" s="236"/>
      <c r="I229" s="279"/>
      <c r="J229" s="279"/>
      <c r="K229" s="279"/>
      <c r="L229" s="279"/>
      <c r="M229" s="279"/>
      <c r="N229" s="279"/>
      <c r="O229" s="241"/>
      <c r="P229" s="241"/>
      <c r="Q229" s="241"/>
      <c r="R229" s="241"/>
      <c r="S229" s="241"/>
      <c r="T229" s="241"/>
      <c r="U229" s="7"/>
      <c r="AH229" s="21"/>
    </row>
    <row r="230" spans="1:34" x14ac:dyDescent="0.25">
      <c r="A230" s="5"/>
      <c r="B230" s="236"/>
      <c r="C230" s="236"/>
      <c r="D230" s="53"/>
      <c r="E230" s="236"/>
      <c r="F230" s="236"/>
      <c r="G230" s="236"/>
      <c r="H230" s="236"/>
      <c r="I230" s="279"/>
      <c r="J230" s="279"/>
      <c r="K230" s="279"/>
      <c r="L230" s="279"/>
      <c r="M230" s="279"/>
      <c r="N230" s="279"/>
      <c r="O230" s="241"/>
      <c r="P230" s="241"/>
      <c r="Q230" s="241"/>
      <c r="R230" s="241"/>
      <c r="S230" s="241"/>
      <c r="T230" s="241"/>
      <c r="U230" s="7"/>
      <c r="AH230" s="21"/>
    </row>
    <row r="231" spans="1:34" x14ac:dyDescent="0.25">
      <c r="A231" s="5"/>
      <c r="B231" s="236"/>
      <c r="C231" s="236"/>
      <c r="D231" s="53"/>
      <c r="E231" s="236"/>
      <c r="F231" s="236"/>
      <c r="G231" s="236"/>
      <c r="H231" s="236"/>
      <c r="I231" s="279"/>
      <c r="J231" s="279"/>
      <c r="K231" s="279"/>
      <c r="L231" s="279"/>
      <c r="M231" s="279"/>
      <c r="N231" s="279"/>
      <c r="O231" s="241"/>
      <c r="P231" s="241"/>
      <c r="Q231" s="241"/>
      <c r="R231" s="241"/>
      <c r="S231" s="241"/>
      <c r="T231" s="241"/>
      <c r="U231" s="7"/>
      <c r="AH231" s="21"/>
    </row>
    <row r="232" spans="1:34" x14ac:dyDescent="0.25">
      <c r="A232" s="5"/>
      <c r="B232" s="236"/>
      <c r="C232" s="236"/>
      <c r="D232" s="53"/>
      <c r="E232" s="236"/>
      <c r="F232" s="236"/>
      <c r="G232" s="236"/>
      <c r="H232" s="236"/>
      <c r="I232" s="279"/>
      <c r="J232" s="279"/>
      <c r="K232" s="279"/>
      <c r="L232" s="279"/>
      <c r="M232" s="279"/>
      <c r="N232" s="279"/>
      <c r="O232" s="241"/>
      <c r="P232" s="241"/>
      <c r="Q232" s="241"/>
      <c r="R232" s="241"/>
      <c r="S232" s="241"/>
      <c r="T232" s="241"/>
      <c r="U232" s="7"/>
      <c r="AH232" s="21"/>
    </row>
    <row r="233" spans="1:34" x14ac:dyDescent="0.25">
      <c r="A233" s="5"/>
      <c r="B233" s="236"/>
      <c r="C233" s="236"/>
      <c r="D233" s="53"/>
      <c r="E233" s="236"/>
      <c r="F233" s="236"/>
      <c r="G233" s="236"/>
      <c r="H233" s="236"/>
      <c r="I233" s="279"/>
      <c r="J233" s="279"/>
      <c r="K233" s="279"/>
      <c r="L233" s="279"/>
      <c r="M233" s="279"/>
      <c r="N233" s="279"/>
      <c r="O233" s="241"/>
      <c r="P233" s="241"/>
      <c r="Q233" s="241"/>
      <c r="R233" s="241"/>
      <c r="S233" s="241"/>
      <c r="T233" s="241"/>
      <c r="U233" s="7"/>
      <c r="AH233" s="21"/>
    </row>
    <row r="234" spans="1:34" x14ac:dyDescent="0.25">
      <c r="A234" s="5"/>
      <c r="B234" s="236"/>
      <c r="C234" s="236"/>
      <c r="D234" s="53"/>
      <c r="E234" s="236"/>
      <c r="F234" s="236"/>
      <c r="G234" s="236"/>
      <c r="H234" s="236"/>
      <c r="I234" s="279"/>
      <c r="J234" s="279"/>
      <c r="K234" s="279"/>
      <c r="L234" s="279"/>
      <c r="M234" s="279"/>
      <c r="N234" s="279"/>
      <c r="O234" s="241"/>
      <c r="P234" s="241"/>
      <c r="Q234" s="241"/>
      <c r="R234" s="241"/>
      <c r="S234" s="241"/>
      <c r="T234" s="241"/>
      <c r="U234" s="7"/>
      <c r="AH234" s="21"/>
    </row>
    <row r="235" spans="1:34" x14ac:dyDescent="0.25">
      <c r="A235" s="5"/>
      <c r="B235" s="236"/>
      <c r="C235" s="236"/>
      <c r="D235" s="53"/>
      <c r="E235" s="236"/>
      <c r="F235" s="236"/>
      <c r="G235" s="236"/>
      <c r="H235" s="236"/>
      <c r="I235" s="279"/>
      <c r="J235" s="279"/>
      <c r="K235" s="279"/>
      <c r="L235" s="279"/>
      <c r="M235" s="279"/>
      <c r="N235" s="279"/>
      <c r="O235" s="241"/>
      <c r="P235" s="241"/>
      <c r="Q235" s="241"/>
      <c r="R235" s="241"/>
      <c r="S235" s="241"/>
      <c r="T235" s="241"/>
      <c r="U235" s="7"/>
      <c r="AH235" s="21"/>
    </row>
    <row r="236" spans="1:34" x14ac:dyDescent="0.25">
      <c r="A236" s="5"/>
      <c r="B236" s="236"/>
      <c r="C236" s="236"/>
      <c r="D236" s="53"/>
      <c r="E236" s="236"/>
      <c r="F236" s="236"/>
      <c r="G236" s="236"/>
      <c r="H236" s="236"/>
      <c r="I236" s="279"/>
      <c r="J236" s="279"/>
      <c r="K236" s="279"/>
      <c r="L236" s="279"/>
      <c r="M236" s="279"/>
      <c r="N236" s="279"/>
      <c r="O236" s="241"/>
      <c r="P236" s="241"/>
      <c r="Q236" s="241"/>
      <c r="R236" s="241"/>
      <c r="S236" s="241"/>
      <c r="T236" s="241"/>
      <c r="U236" s="7"/>
      <c r="AH236" s="21"/>
    </row>
    <row r="237" spans="1:34" x14ac:dyDescent="0.25">
      <c r="A237" s="5"/>
      <c r="B237" s="236"/>
      <c r="C237" s="236"/>
      <c r="D237" s="53"/>
      <c r="E237" s="236"/>
      <c r="F237" s="236"/>
      <c r="G237" s="236"/>
      <c r="H237" s="236"/>
      <c r="I237" s="279"/>
      <c r="J237" s="279"/>
      <c r="K237" s="279"/>
      <c r="L237" s="279"/>
      <c r="M237" s="279"/>
      <c r="N237" s="279"/>
      <c r="O237" s="241"/>
      <c r="P237" s="241"/>
      <c r="Q237" s="241"/>
      <c r="R237" s="241"/>
      <c r="S237" s="241"/>
      <c r="T237" s="241"/>
      <c r="U237" s="7"/>
      <c r="AH237" s="21"/>
    </row>
    <row r="238" spans="1:34" x14ac:dyDescent="0.25">
      <c r="A238" s="5"/>
      <c r="B238" s="236"/>
      <c r="C238" s="236"/>
      <c r="D238" s="53"/>
      <c r="E238" s="236"/>
      <c r="F238" s="236"/>
      <c r="G238" s="236"/>
      <c r="H238" s="236"/>
      <c r="I238" s="279"/>
      <c r="J238" s="279"/>
      <c r="K238" s="279"/>
      <c r="L238" s="279"/>
      <c r="M238" s="279"/>
      <c r="N238" s="279"/>
      <c r="O238" s="241"/>
      <c r="P238" s="241"/>
      <c r="Q238" s="241"/>
      <c r="R238" s="241"/>
      <c r="S238" s="241"/>
      <c r="T238" s="241"/>
      <c r="U238" s="7"/>
      <c r="AH238" s="21"/>
    </row>
    <row r="239" spans="1:34" x14ac:dyDescent="0.25">
      <c r="A239" s="5"/>
      <c r="B239" s="236"/>
      <c r="C239" s="236"/>
      <c r="D239" s="53"/>
      <c r="E239" s="236"/>
      <c r="F239" s="236"/>
      <c r="G239" s="236"/>
      <c r="H239" s="236"/>
      <c r="I239" s="279"/>
      <c r="J239" s="279"/>
      <c r="K239" s="279"/>
      <c r="L239" s="279"/>
      <c r="M239" s="279"/>
      <c r="N239" s="279"/>
      <c r="O239" s="241"/>
      <c r="P239" s="241"/>
      <c r="Q239" s="241"/>
      <c r="R239" s="241"/>
      <c r="S239" s="241"/>
      <c r="T239" s="241"/>
      <c r="U239" s="7"/>
      <c r="AH239" s="21"/>
    </row>
    <row r="240" spans="1:34" x14ac:dyDescent="0.25">
      <c r="A240" s="5"/>
      <c r="B240" s="236"/>
      <c r="C240" s="236"/>
      <c r="D240" s="53"/>
      <c r="E240" s="236"/>
      <c r="F240" s="236"/>
      <c r="G240" s="236"/>
      <c r="H240" s="236"/>
      <c r="I240" s="279"/>
      <c r="J240" s="279"/>
      <c r="K240" s="279"/>
      <c r="L240" s="279"/>
      <c r="M240" s="279"/>
      <c r="N240" s="279"/>
      <c r="O240" s="241"/>
      <c r="P240" s="241"/>
      <c r="Q240" s="241"/>
      <c r="R240" s="241"/>
      <c r="S240" s="241"/>
      <c r="T240" s="241"/>
      <c r="U240" s="7"/>
      <c r="AH240" s="21"/>
    </row>
    <row r="241" spans="1:34" x14ac:dyDescent="0.25">
      <c r="A241" s="5"/>
      <c r="B241" s="236"/>
      <c r="C241" s="236"/>
      <c r="D241" s="53"/>
      <c r="E241" s="236"/>
      <c r="F241" s="236"/>
      <c r="G241" s="236"/>
      <c r="H241" s="236"/>
      <c r="I241" s="279"/>
      <c r="J241" s="279"/>
      <c r="K241" s="279"/>
      <c r="L241" s="279"/>
      <c r="M241" s="279"/>
      <c r="N241" s="279"/>
      <c r="O241" s="241"/>
      <c r="P241" s="241"/>
      <c r="Q241" s="241"/>
      <c r="R241" s="241"/>
      <c r="S241" s="241"/>
      <c r="T241" s="241"/>
      <c r="U241" s="7"/>
      <c r="AH241" s="21"/>
    </row>
    <row r="242" spans="1:34" x14ac:dyDescent="0.25">
      <c r="A242" s="5"/>
      <c r="B242" s="236"/>
      <c r="C242" s="236"/>
      <c r="D242" s="53"/>
      <c r="E242" s="236"/>
      <c r="F242" s="236"/>
      <c r="G242" s="236"/>
      <c r="H242" s="236"/>
      <c r="I242" s="279"/>
      <c r="J242" s="279"/>
      <c r="K242" s="279"/>
      <c r="L242" s="279"/>
      <c r="M242" s="279"/>
      <c r="N242" s="279"/>
      <c r="O242" s="241"/>
      <c r="P242" s="241"/>
      <c r="Q242" s="241"/>
      <c r="R242" s="241"/>
      <c r="S242" s="241"/>
      <c r="T242" s="241"/>
      <c r="U242" s="7"/>
      <c r="AH242" s="21"/>
    </row>
    <row r="243" spans="1:34" x14ac:dyDescent="0.25">
      <c r="A243" s="5"/>
      <c r="B243" s="236"/>
      <c r="C243" s="236"/>
      <c r="D243" s="53"/>
      <c r="E243" s="236"/>
      <c r="F243" s="236"/>
      <c r="G243" s="236"/>
      <c r="H243" s="236"/>
      <c r="I243" s="279"/>
      <c r="J243" s="279"/>
      <c r="K243" s="279"/>
      <c r="L243" s="279"/>
      <c r="M243" s="279"/>
      <c r="N243" s="279"/>
      <c r="O243" s="241"/>
      <c r="P243" s="241"/>
      <c r="Q243" s="241"/>
      <c r="R243" s="241"/>
      <c r="S243" s="241"/>
      <c r="T243" s="241"/>
      <c r="U243" s="7"/>
      <c r="AH243" s="21"/>
    </row>
    <row r="244" spans="1:34" x14ac:dyDescent="0.25">
      <c r="A244" s="5"/>
      <c r="B244" s="236"/>
      <c r="C244" s="236"/>
      <c r="D244" s="53"/>
      <c r="E244" s="236"/>
      <c r="F244" s="236"/>
      <c r="G244" s="236"/>
      <c r="H244" s="236"/>
      <c r="I244" s="279"/>
      <c r="J244" s="279"/>
      <c r="K244" s="279"/>
      <c r="L244" s="279"/>
      <c r="M244" s="279"/>
      <c r="N244" s="279"/>
      <c r="O244" s="241"/>
      <c r="P244" s="241"/>
      <c r="Q244" s="241"/>
      <c r="R244" s="241"/>
      <c r="S244" s="241"/>
      <c r="T244" s="241"/>
      <c r="U244" s="7"/>
      <c r="AH244" s="21"/>
    </row>
    <row r="245" spans="1:34" x14ac:dyDescent="0.25">
      <c r="A245" s="5"/>
      <c r="B245" s="236"/>
      <c r="C245" s="236"/>
      <c r="D245" s="53"/>
      <c r="E245" s="236"/>
      <c r="F245" s="236"/>
      <c r="G245" s="236"/>
      <c r="H245" s="236"/>
      <c r="I245" s="279"/>
      <c r="J245" s="279"/>
      <c r="K245" s="279"/>
      <c r="L245" s="279"/>
      <c r="M245" s="279"/>
      <c r="N245" s="279"/>
      <c r="O245" s="241"/>
      <c r="P245" s="241"/>
      <c r="Q245" s="241"/>
      <c r="R245" s="241"/>
      <c r="S245" s="241"/>
      <c r="T245" s="241"/>
      <c r="U245" s="7"/>
      <c r="AH245" s="21"/>
    </row>
    <row r="246" spans="1:34" x14ac:dyDescent="0.25">
      <c r="A246" s="5"/>
      <c r="B246" s="236"/>
      <c r="C246" s="236"/>
      <c r="D246" s="53"/>
      <c r="E246" s="236"/>
      <c r="F246" s="236"/>
      <c r="G246" s="236"/>
      <c r="H246" s="236"/>
      <c r="I246" s="279"/>
      <c r="J246" s="279"/>
      <c r="K246" s="279"/>
      <c r="L246" s="279"/>
      <c r="M246" s="279"/>
      <c r="N246" s="279"/>
      <c r="O246" s="241"/>
      <c r="P246" s="241"/>
      <c r="Q246" s="241"/>
      <c r="R246" s="241"/>
      <c r="S246" s="241"/>
      <c r="T246" s="241"/>
      <c r="U246" s="7"/>
      <c r="AH246" s="21"/>
    </row>
    <row r="247" spans="1:34" x14ac:dyDescent="0.25">
      <c r="A247" s="5"/>
      <c r="B247" s="236"/>
      <c r="C247" s="236"/>
      <c r="D247" s="53"/>
      <c r="E247" s="236"/>
      <c r="F247" s="236"/>
      <c r="G247" s="236"/>
      <c r="H247" s="236"/>
      <c r="I247" s="279"/>
      <c r="J247" s="279"/>
      <c r="K247" s="279"/>
      <c r="L247" s="279"/>
      <c r="M247" s="279"/>
      <c r="N247" s="279"/>
      <c r="O247" s="241"/>
      <c r="P247" s="241"/>
      <c r="Q247" s="241"/>
      <c r="R247" s="241"/>
      <c r="S247" s="241"/>
      <c r="T247" s="241"/>
      <c r="U247" s="7"/>
      <c r="AH247" s="21"/>
    </row>
    <row r="248" spans="1:34" x14ac:dyDescent="0.25">
      <c r="A248" s="5"/>
      <c r="B248" s="236"/>
      <c r="C248" s="236"/>
      <c r="D248" s="53"/>
      <c r="E248" s="236"/>
      <c r="F248" s="236"/>
      <c r="G248" s="236"/>
      <c r="H248" s="236"/>
      <c r="I248" s="279"/>
      <c r="J248" s="279"/>
      <c r="K248" s="279"/>
      <c r="L248" s="279"/>
      <c r="M248" s="279"/>
      <c r="N248" s="279"/>
      <c r="O248" s="241"/>
      <c r="P248" s="241"/>
      <c r="Q248" s="241"/>
      <c r="R248" s="241"/>
      <c r="S248" s="241"/>
      <c r="T248" s="241"/>
      <c r="U248" s="7"/>
      <c r="AH248" s="21"/>
    </row>
    <row r="249" spans="1:34" x14ac:dyDescent="0.25">
      <c r="A249" s="5"/>
      <c r="B249" s="236"/>
      <c r="C249" s="236"/>
      <c r="D249" s="53"/>
      <c r="E249" s="236"/>
      <c r="F249" s="236"/>
      <c r="G249" s="236"/>
      <c r="H249" s="236"/>
      <c r="I249" s="279"/>
      <c r="J249" s="279"/>
      <c r="K249" s="279"/>
      <c r="L249" s="279"/>
      <c r="M249" s="279"/>
      <c r="N249" s="279"/>
      <c r="O249" s="241"/>
      <c r="P249" s="241"/>
      <c r="Q249" s="241"/>
      <c r="R249" s="241"/>
      <c r="S249" s="241"/>
      <c r="T249" s="241"/>
      <c r="U249" s="7"/>
      <c r="AH249" s="21"/>
    </row>
    <row r="250" spans="1:34" x14ac:dyDescent="0.25">
      <c r="A250" s="5"/>
      <c r="B250" s="236"/>
      <c r="C250" s="236"/>
      <c r="D250" s="53"/>
      <c r="E250" s="236"/>
      <c r="F250" s="236"/>
      <c r="G250" s="236"/>
      <c r="H250" s="236"/>
      <c r="I250" s="279"/>
      <c r="J250" s="279"/>
      <c r="K250" s="279"/>
      <c r="L250" s="279"/>
      <c r="M250" s="279"/>
      <c r="N250" s="279"/>
      <c r="O250" s="241"/>
      <c r="P250" s="241"/>
      <c r="Q250" s="241"/>
      <c r="R250" s="241"/>
      <c r="S250" s="241"/>
      <c r="T250" s="241"/>
      <c r="U250" s="7"/>
      <c r="AH250" s="21"/>
    </row>
    <row r="251" spans="1:34" x14ac:dyDescent="0.25">
      <c r="A251" s="9"/>
      <c r="B251" s="10"/>
      <c r="C251" s="10"/>
      <c r="D251" s="10"/>
      <c r="E251" s="10"/>
      <c r="F251" s="10"/>
      <c r="G251" s="10"/>
      <c r="H251" s="10"/>
      <c r="I251" s="10"/>
      <c r="J251" s="10"/>
      <c r="K251" s="10"/>
      <c r="L251" s="10"/>
      <c r="M251" s="10"/>
      <c r="N251" s="10"/>
      <c r="O251" s="10"/>
      <c r="P251" s="10"/>
      <c r="Q251" s="10"/>
      <c r="R251" s="10"/>
      <c r="S251" s="10"/>
      <c r="T251" s="10"/>
      <c r="U251" s="11"/>
      <c r="AH251" s="21"/>
    </row>
    <row r="252" spans="1:34" x14ac:dyDescent="0.25">
      <c r="A252" s="2"/>
      <c r="B252" s="50"/>
      <c r="C252" s="50"/>
      <c r="D252" s="50"/>
      <c r="E252" s="50"/>
      <c r="F252" s="50"/>
      <c r="G252" s="50"/>
      <c r="H252" s="50"/>
      <c r="I252" s="85"/>
      <c r="J252" s="85"/>
      <c r="K252" s="85"/>
      <c r="L252" s="85"/>
      <c r="M252" s="85"/>
      <c r="N252" s="85"/>
      <c r="O252" s="50"/>
      <c r="P252" s="50"/>
      <c r="Q252" s="50"/>
      <c r="R252" s="50"/>
      <c r="S252" s="50"/>
      <c r="T252" s="50"/>
      <c r="U252" s="4"/>
      <c r="AH252" s="21"/>
    </row>
    <row r="253" spans="1:34" x14ac:dyDescent="0.25">
      <c r="A253" s="5"/>
      <c r="B253" s="294"/>
      <c r="C253" s="294"/>
      <c r="D253" s="294"/>
      <c r="E253" s="294"/>
      <c r="F253" s="294"/>
      <c r="G253" s="294"/>
      <c r="H253" s="294"/>
      <c r="I253" s="290"/>
      <c r="J253" s="290"/>
      <c r="K253" s="290"/>
      <c r="L253" s="290"/>
      <c r="M253" s="290"/>
      <c r="N253" s="290"/>
      <c r="O253" s="254"/>
      <c r="P253" s="254"/>
      <c r="Q253" s="254"/>
      <c r="R253" s="254"/>
      <c r="S253" s="254"/>
      <c r="T253" s="254"/>
      <c r="U253" s="7"/>
      <c r="AH253" s="21"/>
    </row>
    <row r="254" spans="1:34" x14ac:dyDescent="0.25">
      <c r="A254" s="5"/>
      <c r="B254" s="294"/>
      <c r="C254" s="294"/>
      <c r="D254" s="294"/>
      <c r="E254" s="294"/>
      <c r="F254" s="294"/>
      <c r="G254" s="294"/>
      <c r="H254" s="294"/>
      <c r="I254" s="290"/>
      <c r="J254" s="290"/>
      <c r="K254" s="290"/>
      <c r="L254" s="290"/>
      <c r="M254" s="290"/>
      <c r="N254" s="290"/>
      <c r="O254" s="254"/>
      <c r="P254" s="254"/>
      <c r="Q254" s="254"/>
      <c r="R254" s="254"/>
      <c r="S254" s="254"/>
      <c r="T254" s="254"/>
      <c r="U254" s="7"/>
      <c r="AH254" s="21"/>
    </row>
    <row r="255" spans="1:34" x14ac:dyDescent="0.25">
      <c r="A255" s="5"/>
      <c r="B255" s="236"/>
      <c r="C255" s="236"/>
      <c r="D255" s="53"/>
      <c r="E255" s="236"/>
      <c r="F255" s="236"/>
      <c r="G255" s="236"/>
      <c r="H255" s="236"/>
      <c r="I255" s="279"/>
      <c r="J255" s="279"/>
      <c r="K255" s="279"/>
      <c r="L255" s="279"/>
      <c r="M255" s="279"/>
      <c r="N255" s="279"/>
      <c r="O255" s="241"/>
      <c r="P255" s="241"/>
      <c r="Q255" s="241"/>
      <c r="R255" s="241"/>
      <c r="S255" s="241"/>
      <c r="T255" s="241"/>
      <c r="U255" s="7"/>
      <c r="AH255" s="21"/>
    </row>
    <row r="256" spans="1:34" x14ac:dyDescent="0.25">
      <c r="A256" s="5"/>
      <c r="B256" s="236"/>
      <c r="C256" s="236"/>
      <c r="D256" s="53"/>
      <c r="E256" s="236"/>
      <c r="F256" s="236"/>
      <c r="G256" s="236"/>
      <c r="H256" s="236"/>
      <c r="I256" s="279"/>
      <c r="J256" s="279"/>
      <c r="K256" s="279"/>
      <c r="L256" s="279"/>
      <c r="M256" s="279"/>
      <c r="N256" s="279"/>
      <c r="O256" s="241"/>
      <c r="P256" s="241"/>
      <c r="Q256" s="241"/>
      <c r="R256" s="241"/>
      <c r="S256" s="241"/>
      <c r="T256" s="241"/>
      <c r="U256" s="7"/>
      <c r="AH256" s="21"/>
    </row>
    <row r="257" spans="1:34" x14ac:dyDescent="0.25">
      <c r="A257" s="5"/>
      <c r="B257" s="236"/>
      <c r="C257" s="236"/>
      <c r="D257" s="53"/>
      <c r="E257" s="236"/>
      <c r="F257" s="236"/>
      <c r="G257" s="236"/>
      <c r="H257" s="236"/>
      <c r="I257" s="279"/>
      <c r="J257" s="279"/>
      <c r="K257" s="279"/>
      <c r="L257" s="279"/>
      <c r="M257" s="279"/>
      <c r="N257" s="279"/>
      <c r="O257" s="241"/>
      <c r="P257" s="241"/>
      <c r="Q257" s="241"/>
      <c r="R257" s="241"/>
      <c r="S257" s="241"/>
      <c r="T257" s="241"/>
      <c r="U257" s="7"/>
      <c r="AH257" s="21"/>
    </row>
    <row r="258" spans="1:34" x14ac:dyDescent="0.25">
      <c r="A258" s="5"/>
      <c r="B258" s="236"/>
      <c r="C258" s="236"/>
      <c r="D258" s="53"/>
      <c r="E258" s="236"/>
      <c r="F258" s="236"/>
      <c r="G258" s="236"/>
      <c r="H258" s="236"/>
      <c r="I258" s="279"/>
      <c r="J258" s="279"/>
      <c r="K258" s="279"/>
      <c r="L258" s="279"/>
      <c r="M258" s="279"/>
      <c r="N258" s="279"/>
      <c r="O258" s="241"/>
      <c r="P258" s="241"/>
      <c r="Q258" s="241"/>
      <c r="R258" s="241"/>
      <c r="S258" s="241"/>
      <c r="T258" s="241"/>
      <c r="U258" s="7"/>
      <c r="AH258" s="21"/>
    </row>
    <row r="259" spans="1:34" x14ac:dyDescent="0.25">
      <c r="A259" s="5"/>
      <c r="B259" s="236"/>
      <c r="C259" s="236"/>
      <c r="D259" s="53"/>
      <c r="E259" s="236"/>
      <c r="F259" s="236"/>
      <c r="G259" s="236"/>
      <c r="H259" s="236"/>
      <c r="I259" s="279"/>
      <c r="J259" s="279"/>
      <c r="K259" s="279"/>
      <c r="L259" s="279"/>
      <c r="M259" s="279"/>
      <c r="N259" s="279"/>
      <c r="O259" s="241"/>
      <c r="P259" s="241"/>
      <c r="Q259" s="241"/>
      <c r="R259" s="241"/>
      <c r="S259" s="241"/>
      <c r="T259" s="241"/>
      <c r="U259" s="7"/>
      <c r="AH259" s="21"/>
    </row>
    <row r="260" spans="1:34" x14ac:dyDescent="0.25">
      <c r="A260" s="5"/>
      <c r="B260" s="236"/>
      <c r="C260" s="236"/>
      <c r="D260" s="53"/>
      <c r="E260" s="236"/>
      <c r="F260" s="236"/>
      <c r="G260" s="236"/>
      <c r="H260" s="236"/>
      <c r="I260" s="279"/>
      <c r="J260" s="279"/>
      <c r="K260" s="279"/>
      <c r="L260" s="279"/>
      <c r="M260" s="279"/>
      <c r="N260" s="279"/>
      <c r="O260" s="241"/>
      <c r="P260" s="241"/>
      <c r="Q260" s="241"/>
      <c r="R260" s="241"/>
      <c r="S260" s="241"/>
      <c r="T260" s="241"/>
      <c r="U260" s="7"/>
      <c r="AH260" s="21"/>
    </row>
    <row r="261" spans="1:34" x14ac:dyDescent="0.25">
      <c r="A261" s="5"/>
      <c r="B261" s="236"/>
      <c r="C261" s="236"/>
      <c r="D261" s="53"/>
      <c r="E261" s="236"/>
      <c r="F261" s="236"/>
      <c r="G261" s="236"/>
      <c r="H261" s="236"/>
      <c r="I261" s="279"/>
      <c r="J261" s="279"/>
      <c r="K261" s="279"/>
      <c r="L261" s="279"/>
      <c r="M261" s="279"/>
      <c r="N261" s="279"/>
      <c r="O261" s="241"/>
      <c r="P261" s="241"/>
      <c r="Q261" s="241"/>
      <c r="R261" s="241"/>
      <c r="S261" s="241"/>
      <c r="T261" s="241"/>
      <c r="U261" s="7"/>
      <c r="AH261" s="21"/>
    </row>
    <row r="262" spans="1:34" x14ac:dyDescent="0.25">
      <c r="A262" s="5"/>
      <c r="B262" s="236"/>
      <c r="C262" s="236"/>
      <c r="D262" s="53"/>
      <c r="E262" s="236"/>
      <c r="F262" s="236"/>
      <c r="G262" s="236"/>
      <c r="H262" s="236"/>
      <c r="I262" s="279"/>
      <c r="J262" s="279"/>
      <c r="K262" s="279"/>
      <c r="L262" s="279"/>
      <c r="M262" s="279"/>
      <c r="N262" s="279"/>
      <c r="O262" s="241"/>
      <c r="P262" s="241"/>
      <c r="Q262" s="241"/>
      <c r="R262" s="241"/>
      <c r="S262" s="241"/>
      <c r="T262" s="241"/>
      <c r="U262" s="7"/>
      <c r="AH262" s="21"/>
    </row>
    <row r="263" spans="1:34" x14ac:dyDescent="0.25">
      <c r="A263" s="5"/>
      <c r="B263" s="236"/>
      <c r="C263" s="236"/>
      <c r="D263" s="53"/>
      <c r="E263" s="236"/>
      <c r="F263" s="236"/>
      <c r="G263" s="236"/>
      <c r="H263" s="236"/>
      <c r="I263" s="279"/>
      <c r="J263" s="279"/>
      <c r="K263" s="279"/>
      <c r="L263" s="279"/>
      <c r="M263" s="279"/>
      <c r="N263" s="279"/>
      <c r="O263" s="241"/>
      <c r="P263" s="241"/>
      <c r="Q263" s="241"/>
      <c r="R263" s="241"/>
      <c r="S263" s="241"/>
      <c r="T263" s="241"/>
      <c r="U263" s="7"/>
      <c r="AH263" s="21"/>
    </row>
    <row r="264" spans="1:34" x14ac:dyDescent="0.25">
      <c r="A264" s="5"/>
      <c r="B264" s="236"/>
      <c r="C264" s="236"/>
      <c r="D264" s="53"/>
      <c r="E264" s="236"/>
      <c r="F264" s="236"/>
      <c r="G264" s="236"/>
      <c r="H264" s="236"/>
      <c r="I264" s="279"/>
      <c r="J264" s="279"/>
      <c r="K264" s="279"/>
      <c r="L264" s="279"/>
      <c r="M264" s="279"/>
      <c r="N264" s="279"/>
      <c r="O264" s="241"/>
      <c r="P264" s="241"/>
      <c r="Q264" s="241"/>
      <c r="R264" s="241"/>
      <c r="S264" s="241"/>
      <c r="T264" s="241"/>
      <c r="U264" s="7"/>
      <c r="AH264" s="21"/>
    </row>
    <row r="265" spans="1:34" x14ac:dyDescent="0.25">
      <c r="A265" s="5"/>
      <c r="B265" s="236"/>
      <c r="C265" s="236"/>
      <c r="D265" s="53"/>
      <c r="E265" s="236"/>
      <c r="F265" s="236"/>
      <c r="G265" s="236"/>
      <c r="H265" s="236"/>
      <c r="I265" s="279"/>
      <c r="J265" s="279"/>
      <c r="K265" s="279"/>
      <c r="L265" s="279"/>
      <c r="M265" s="279"/>
      <c r="N265" s="279"/>
      <c r="O265" s="241"/>
      <c r="P265" s="241"/>
      <c r="Q265" s="241"/>
      <c r="R265" s="241"/>
      <c r="S265" s="241"/>
      <c r="T265" s="241"/>
      <c r="U265" s="7"/>
      <c r="AH265" s="21"/>
    </row>
    <row r="266" spans="1:34" x14ac:dyDescent="0.25">
      <c r="A266" s="5"/>
      <c r="B266" s="236"/>
      <c r="C266" s="236"/>
      <c r="D266" s="53"/>
      <c r="E266" s="236"/>
      <c r="F266" s="236"/>
      <c r="G266" s="236"/>
      <c r="H266" s="236"/>
      <c r="I266" s="279"/>
      <c r="J266" s="279"/>
      <c r="K266" s="279"/>
      <c r="L266" s="279"/>
      <c r="M266" s="279"/>
      <c r="N266" s="279"/>
      <c r="O266" s="241"/>
      <c r="P266" s="241"/>
      <c r="Q266" s="241"/>
      <c r="R266" s="241"/>
      <c r="S266" s="241"/>
      <c r="T266" s="241"/>
      <c r="U266" s="7"/>
      <c r="AH266" s="21"/>
    </row>
    <row r="267" spans="1:34" x14ac:dyDescent="0.25">
      <c r="A267" s="5"/>
      <c r="B267" s="236"/>
      <c r="C267" s="236"/>
      <c r="D267" s="53"/>
      <c r="E267" s="236"/>
      <c r="F267" s="236"/>
      <c r="G267" s="236"/>
      <c r="H267" s="236"/>
      <c r="I267" s="279"/>
      <c r="J267" s="279"/>
      <c r="K267" s="279"/>
      <c r="L267" s="279"/>
      <c r="M267" s="279"/>
      <c r="N267" s="279"/>
      <c r="O267" s="241"/>
      <c r="P267" s="241"/>
      <c r="Q267" s="241"/>
      <c r="R267" s="241"/>
      <c r="S267" s="241"/>
      <c r="T267" s="241"/>
      <c r="U267" s="7"/>
      <c r="AH267" s="21"/>
    </row>
    <row r="268" spans="1:34" x14ac:dyDescent="0.25">
      <c r="A268" s="5"/>
      <c r="B268" s="236"/>
      <c r="C268" s="236"/>
      <c r="D268" s="53"/>
      <c r="E268" s="236"/>
      <c r="F268" s="236"/>
      <c r="G268" s="236"/>
      <c r="H268" s="236"/>
      <c r="I268" s="279"/>
      <c r="J268" s="279"/>
      <c r="K268" s="279"/>
      <c r="L268" s="279"/>
      <c r="M268" s="279"/>
      <c r="N268" s="279"/>
      <c r="O268" s="241"/>
      <c r="P268" s="241"/>
      <c r="Q268" s="241"/>
      <c r="R268" s="241"/>
      <c r="S268" s="241"/>
      <c r="T268" s="241"/>
      <c r="U268" s="7"/>
      <c r="AH268" s="21"/>
    </row>
    <row r="269" spans="1:34" x14ac:dyDescent="0.25">
      <c r="A269" s="5"/>
      <c r="B269" s="236"/>
      <c r="C269" s="236"/>
      <c r="D269" s="53"/>
      <c r="E269" s="236"/>
      <c r="F269" s="236"/>
      <c r="G269" s="236"/>
      <c r="H269" s="236"/>
      <c r="I269" s="279"/>
      <c r="J269" s="279"/>
      <c r="K269" s="279"/>
      <c r="L269" s="279"/>
      <c r="M269" s="279"/>
      <c r="N269" s="279"/>
      <c r="O269" s="241"/>
      <c r="P269" s="241"/>
      <c r="Q269" s="241"/>
      <c r="R269" s="241"/>
      <c r="S269" s="241"/>
      <c r="T269" s="241"/>
      <c r="U269" s="7"/>
      <c r="AH269" s="21"/>
    </row>
    <row r="270" spans="1:34" x14ac:dyDescent="0.25">
      <c r="A270" s="5"/>
      <c r="B270" s="236"/>
      <c r="C270" s="236"/>
      <c r="D270" s="53"/>
      <c r="E270" s="236"/>
      <c r="F270" s="236"/>
      <c r="G270" s="236"/>
      <c r="H270" s="236"/>
      <c r="I270" s="279"/>
      <c r="J270" s="279"/>
      <c r="K270" s="279"/>
      <c r="L270" s="279"/>
      <c r="M270" s="279"/>
      <c r="N270" s="279"/>
      <c r="O270" s="241"/>
      <c r="P270" s="241"/>
      <c r="Q270" s="241"/>
      <c r="R270" s="241"/>
      <c r="S270" s="241"/>
      <c r="T270" s="241"/>
      <c r="U270" s="7"/>
      <c r="AH270" s="21"/>
    </row>
    <row r="271" spans="1:34" x14ac:dyDescent="0.25">
      <c r="A271" s="5"/>
      <c r="B271" s="236"/>
      <c r="C271" s="236"/>
      <c r="D271" s="53"/>
      <c r="E271" s="236"/>
      <c r="F271" s="236"/>
      <c r="G271" s="236"/>
      <c r="H271" s="236"/>
      <c r="I271" s="279"/>
      <c r="J271" s="279"/>
      <c r="K271" s="279"/>
      <c r="L271" s="279"/>
      <c r="M271" s="279"/>
      <c r="N271" s="279"/>
      <c r="O271" s="241"/>
      <c r="P271" s="241"/>
      <c r="Q271" s="241"/>
      <c r="R271" s="241"/>
      <c r="S271" s="241"/>
      <c r="T271" s="241"/>
      <c r="U271" s="7"/>
      <c r="AH271" s="21"/>
    </row>
    <row r="272" spans="1:34" x14ac:dyDescent="0.25">
      <c r="A272" s="5"/>
      <c r="B272" s="236"/>
      <c r="C272" s="236"/>
      <c r="D272" s="53"/>
      <c r="E272" s="236"/>
      <c r="F272" s="236"/>
      <c r="G272" s="236"/>
      <c r="H272" s="236"/>
      <c r="I272" s="279"/>
      <c r="J272" s="279"/>
      <c r="K272" s="279"/>
      <c r="L272" s="279"/>
      <c r="M272" s="279"/>
      <c r="N272" s="279"/>
      <c r="O272" s="241"/>
      <c r="P272" s="241"/>
      <c r="Q272" s="241"/>
      <c r="R272" s="241"/>
      <c r="S272" s="241"/>
      <c r="T272" s="241"/>
      <c r="U272" s="7"/>
      <c r="AH272" s="21"/>
    </row>
    <row r="273" spans="1:21" x14ac:dyDescent="0.25">
      <c r="A273" s="5"/>
      <c r="B273" s="236"/>
      <c r="C273" s="236"/>
      <c r="D273" s="53"/>
      <c r="E273" s="236"/>
      <c r="F273" s="236"/>
      <c r="G273" s="236"/>
      <c r="H273" s="236"/>
      <c r="I273" s="279"/>
      <c r="J273" s="279"/>
      <c r="K273" s="279"/>
      <c r="L273" s="279"/>
      <c r="M273" s="279"/>
      <c r="N273" s="279"/>
      <c r="O273" s="241"/>
      <c r="P273" s="241"/>
      <c r="Q273" s="241"/>
      <c r="R273" s="241"/>
      <c r="S273" s="241"/>
      <c r="T273" s="241"/>
      <c r="U273" s="7"/>
    </row>
    <row r="274" spans="1:21" x14ac:dyDescent="0.25">
      <c r="A274" s="5"/>
      <c r="B274" s="236"/>
      <c r="C274" s="236"/>
      <c r="D274" s="53"/>
      <c r="E274" s="236"/>
      <c r="F274" s="236"/>
      <c r="G274" s="236"/>
      <c r="H274" s="236"/>
      <c r="I274" s="279"/>
      <c r="J274" s="279"/>
      <c r="K274" s="279"/>
      <c r="L274" s="279"/>
      <c r="M274" s="279"/>
      <c r="N274" s="279"/>
      <c r="O274" s="241"/>
      <c r="P274" s="241"/>
      <c r="Q274" s="241"/>
      <c r="R274" s="241"/>
      <c r="S274" s="241"/>
      <c r="T274" s="241"/>
      <c r="U274" s="7"/>
    </row>
    <row r="275" spans="1:21" x14ac:dyDescent="0.25">
      <c r="A275" s="5"/>
      <c r="B275" s="236"/>
      <c r="C275" s="236"/>
      <c r="D275" s="53"/>
      <c r="E275" s="236"/>
      <c r="F275" s="236"/>
      <c r="G275" s="236"/>
      <c r="H275" s="236"/>
      <c r="I275" s="279"/>
      <c r="J275" s="279"/>
      <c r="K275" s="279"/>
      <c r="L275" s="279"/>
      <c r="M275" s="279"/>
      <c r="N275" s="279"/>
      <c r="O275" s="241"/>
      <c r="P275" s="241"/>
      <c r="Q275" s="241"/>
      <c r="R275" s="241"/>
      <c r="S275" s="241"/>
      <c r="T275" s="241"/>
      <c r="U275" s="7"/>
    </row>
    <row r="276" spans="1:21" x14ac:dyDescent="0.25">
      <c r="A276" s="5"/>
      <c r="B276" s="236"/>
      <c r="C276" s="236"/>
      <c r="D276" s="53"/>
      <c r="E276" s="236"/>
      <c r="F276" s="236"/>
      <c r="G276" s="236"/>
      <c r="H276" s="236"/>
      <c r="I276" s="279"/>
      <c r="J276" s="279"/>
      <c r="K276" s="279"/>
      <c r="L276" s="279"/>
      <c r="M276" s="279"/>
      <c r="N276" s="279"/>
      <c r="O276" s="241"/>
      <c r="P276" s="241"/>
      <c r="Q276" s="241"/>
      <c r="R276" s="241"/>
      <c r="S276" s="241"/>
      <c r="T276" s="241"/>
      <c r="U276" s="7"/>
    </row>
    <row r="277" spans="1:21" x14ac:dyDescent="0.25">
      <c r="A277" s="5"/>
      <c r="B277" s="236"/>
      <c r="C277" s="236"/>
      <c r="D277" s="53"/>
      <c r="E277" s="236"/>
      <c r="F277" s="236"/>
      <c r="G277" s="236"/>
      <c r="H277" s="236"/>
      <c r="I277" s="279"/>
      <c r="J277" s="279"/>
      <c r="K277" s="279"/>
      <c r="L277" s="279"/>
      <c r="M277" s="279"/>
      <c r="N277" s="279"/>
      <c r="O277" s="241"/>
      <c r="P277" s="241"/>
      <c r="Q277" s="241"/>
      <c r="R277" s="241"/>
      <c r="S277" s="241"/>
      <c r="T277" s="241"/>
      <c r="U277" s="7"/>
    </row>
    <row r="278" spans="1:21" x14ac:dyDescent="0.25">
      <c r="A278" s="5"/>
      <c r="B278" s="236"/>
      <c r="C278" s="236"/>
      <c r="D278" s="53"/>
      <c r="E278" s="236"/>
      <c r="F278" s="236"/>
      <c r="G278" s="236"/>
      <c r="H278" s="236"/>
      <c r="I278" s="279"/>
      <c r="J278" s="279"/>
      <c r="K278" s="279"/>
      <c r="L278" s="279"/>
      <c r="M278" s="279"/>
      <c r="N278" s="279"/>
      <c r="O278" s="241"/>
      <c r="P278" s="241"/>
      <c r="Q278" s="241"/>
      <c r="R278" s="241"/>
      <c r="S278" s="241"/>
      <c r="T278" s="241"/>
      <c r="U278" s="7"/>
    </row>
    <row r="279" spans="1:21" x14ac:dyDescent="0.25">
      <c r="A279" s="5"/>
      <c r="B279" s="236"/>
      <c r="C279" s="236"/>
      <c r="D279" s="53"/>
      <c r="E279" s="236"/>
      <c r="F279" s="236"/>
      <c r="G279" s="236"/>
      <c r="H279" s="236"/>
      <c r="I279" s="279"/>
      <c r="J279" s="279"/>
      <c r="K279" s="279"/>
      <c r="L279" s="279"/>
      <c r="M279" s="279"/>
      <c r="N279" s="279"/>
      <c r="O279" s="241"/>
      <c r="P279" s="241"/>
      <c r="Q279" s="241"/>
      <c r="R279" s="241"/>
      <c r="S279" s="241"/>
      <c r="T279" s="241"/>
      <c r="U279" s="7"/>
    </row>
    <row r="280" spans="1:21" x14ac:dyDescent="0.25">
      <c r="A280" s="5"/>
      <c r="B280" s="236"/>
      <c r="C280" s="236"/>
      <c r="D280" s="53"/>
      <c r="E280" s="236"/>
      <c r="F280" s="236"/>
      <c r="G280" s="236"/>
      <c r="H280" s="236"/>
      <c r="I280" s="279"/>
      <c r="J280" s="279"/>
      <c r="K280" s="279"/>
      <c r="L280" s="279"/>
      <c r="M280" s="279"/>
      <c r="N280" s="279"/>
      <c r="O280" s="241"/>
      <c r="P280" s="241"/>
      <c r="Q280" s="241"/>
      <c r="R280" s="241"/>
      <c r="S280" s="241"/>
      <c r="T280" s="241"/>
      <c r="U280" s="7"/>
    </row>
    <row r="281" spans="1:21" x14ac:dyDescent="0.25">
      <c r="A281" s="5"/>
      <c r="B281" s="236"/>
      <c r="C281" s="236"/>
      <c r="D281" s="53"/>
      <c r="E281" s="236"/>
      <c r="F281" s="236"/>
      <c r="G281" s="236"/>
      <c r="H281" s="236"/>
      <c r="I281" s="279"/>
      <c r="J281" s="279"/>
      <c r="K281" s="279"/>
      <c r="L281" s="279"/>
      <c r="M281" s="279"/>
      <c r="N281" s="279"/>
      <c r="O281" s="241"/>
      <c r="P281" s="241"/>
      <c r="Q281" s="241"/>
      <c r="R281" s="241"/>
      <c r="S281" s="241"/>
      <c r="T281" s="241"/>
      <c r="U281" s="7"/>
    </row>
    <row r="282" spans="1:21" x14ac:dyDescent="0.25">
      <c r="A282" s="5"/>
      <c r="B282" s="236"/>
      <c r="C282" s="236"/>
      <c r="D282" s="53"/>
      <c r="E282" s="236"/>
      <c r="F282" s="236"/>
      <c r="G282" s="236"/>
      <c r="H282" s="236"/>
      <c r="I282" s="279"/>
      <c r="J282" s="279"/>
      <c r="K282" s="279"/>
      <c r="L282" s="279"/>
      <c r="M282" s="279"/>
      <c r="N282" s="279"/>
      <c r="O282" s="241"/>
      <c r="P282" s="241"/>
      <c r="Q282" s="241"/>
      <c r="R282" s="241"/>
      <c r="S282" s="241"/>
      <c r="T282" s="241"/>
      <c r="U282" s="7"/>
    </row>
    <row r="283" spans="1:21" x14ac:dyDescent="0.25">
      <c r="A283" s="5"/>
      <c r="B283" s="236"/>
      <c r="C283" s="236"/>
      <c r="D283" s="53"/>
      <c r="E283" s="236"/>
      <c r="F283" s="236"/>
      <c r="G283" s="236"/>
      <c r="H283" s="236"/>
      <c r="I283" s="279"/>
      <c r="J283" s="279"/>
      <c r="K283" s="279"/>
      <c r="L283" s="279"/>
      <c r="M283" s="279"/>
      <c r="N283" s="279"/>
      <c r="O283" s="241"/>
      <c r="P283" s="241"/>
      <c r="Q283" s="241"/>
      <c r="R283" s="241"/>
      <c r="S283" s="241"/>
      <c r="T283" s="241"/>
      <c r="U283" s="7"/>
    </row>
    <row r="284" spans="1:21" x14ac:dyDescent="0.25">
      <c r="A284" s="5"/>
      <c r="B284" s="236"/>
      <c r="C284" s="236"/>
      <c r="D284" s="53"/>
      <c r="E284" s="236"/>
      <c r="F284" s="236"/>
      <c r="G284" s="236"/>
      <c r="H284" s="236"/>
      <c r="I284" s="279"/>
      <c r="J284" s="279"/>
      <c r="K284" s="279"/>
      <c r="L284" s="279"/>
      <c r="M284" s="279"/>
      <c r="N284" s="279"/>
      <c r="O284" s="241"/>
      <c r="P284" s="241"/>
      <c r="Q284" s="241"/>
      <c r="R284" s="241"/>
      <c r="S284" s="241"/>
      <c r="T284" s="241"/>
      <c r="U284" s="7"/>
    </row>
    <row r="285" spans="1:21" x14ac:dyDescent="0.25">
      <c r="A285" s="5"/>
      <c r="B285" s="236"/>
      <c r="C285" s="236"/>
      <c r="D285" s="53"/>
      <c r="E285" s="236"/>
      <c r="F285" s="236"/>
      <c r="G285" s="236"/>
      <c r="H285" s="236"/>
      <c r="I285" s="279"/>
      <c r="J285" s="279"/>
      <c r="K285" s="279"/>
      <c r="L285" s="279"/>
      <c r="M285" s="279"/>
      <c r="N285" s="279"/>
      <c r="O285" s="241"/>
      <c r="P285" s="241"/>
      <c r="Q285" s="241"/>
      <c r="R285" s="241"/>
      <c r="S285" s="241"/>
      <c r="T285" s="241"/>
      <c r="U285" s="7"/>
    </row>
    <row r="286" spans="1:21" x14ac:dyDescent="0.25">
      <c r="A286" s="5"/>
      <c r="B286" s="236"/>
      <c r="C286" s="236"/>
      <c r="D286" s="53"/>
      <c r="E286" s="236"/>
      <c r="F286" s="236"/>
      <c r="G286" s="236"/>
      <c r="H286" s="236"/>
      <c r="I286" s="279"/>
      <c r="J286" s="279"/>
      <c r="K286" s="279"/>
      <c r="L286" s="279"/>
      <c r="M286" s="279"/>
      <c r="N286" s="279"/>
      <c r="O286" s="241"/>
      <c r="P286" s="241"/>
      <c r="Q286" s="241"/>
      <c r="R286" s="241"/>
      <c r="S286" s="241"/>
      <c r="T286" s="241"/>
      <c r="U286" s="7"/>
    </row>
    <row r="287" spans="1:21" x14ac:dyDescent="0.25">
      <c r="A287" s="5"/>
      <c r="B287" s="236"/>
      <c r="C287" s="236"/>
      <c r="D287" s="53"/>
      <c r="E287" s="236"/>
      <c r="F287" s="236"/>
      <c r="G287" s="236"/>
      <c r="H287" s="236"/>
      <c r="I287" s="279"/>
      <c r="J287" s="279"/>
      <c r="K287" s="279"/>
      <c r="L287" s="279"/>
      <c r="M287" s="279"/>
      <c r="N287" s="279"/>
      <c r="O287" s="241"/>
      <c r="P287" s="241"/>
      <c r="Q287" s="241"/>
      <c r="R287" s="241"/>
      <c r="S287" s="241"/>
      <c r="T287" s="241"/>
      <c r="U287" s="7"/>
    </row>
    <row r="288" spans="1:21" x14ac:dyDescent="0.25">
      <c r="A288" s="5"/>
      <c r="B288" s="236"/>
      <c r="C288" s="236"/>
      <c r="D288" s="53"/>
      <c r="E288" s="236"/>
      <c r="F288" s="236"/>
      <c r="G288" s="236"/>
      <c r="H288" s="236"/>
      <c r="I288" s="279"/>
      <c r="J288" s="279"/>
      <c r="K288" s="279"/>
      <c r="L288" s="279"/>
      <c r="M288" s="279"/>
      <c r="N288" s="279"/>
      <c r="O288" s="241"/>
      <c r="P288" s="241"/>
      <c r="Q288" s="241"/>
      <c r="R288" s="241"/>
      <c r="S288" s="241"/>
      <c r="T288" s="241"/>
      <c r="U288" s="7"/>
    </row>
    <row r="289" spans="1:21" x14ac:dyDescent="0.25">
      <c r="A289" s="5"/>
      <c r="B289" s="236"/>
      <c r="C289" s="236"/>
      <c r="D289" s="53"/>
      <c r="E289" s="236"/>
      <c r="F289" s="236"/>
      <c r="G289" s="236"/>
      <c r="H289" s="236"/>
      <c r="I289" s="279"/>
      <c r="J289" s="279"/>
      <c r="K289" s="279"/>
      <c r="L289" s="279"/>
      <c r="M289" s="279"/>
      <c r="N289" s="279"/>
      <c r="O289" s="241"/>
      <c r="P289" s="241"/>
      <c r="Q289" s="241"/>
      <c r="R289" s="241"/>
      <c r="S289" s="241"/>
      <c r="T289" s="241"/>
      <c r="U289" s="7"/>
    </row>
    <row r="290" spans="1:21" x14ac:dyDescent="0.25">
      <c r="A290" s="5"/>
      <c r="B290" s="236"/>
      <c r="C290" s="236"/>
      <c r="D290" s="53"/>
      <c r="E290" s="236"/>
      <c r="F290" s="236"/>
      <c r="G290" s="236"/>
      <c r="H290" s="236"/>
      <c r="I290" s="279"/>
      <c r="J290" s="279"/>
      <c r="K290" s="279"/>
      <c r="L290" s="279"/>
      <c r="M290" s="279"/>
      <c r="N290" s="279"/>
      <c r="O290" s="241"/>
      <c r="P290" s="241"/>
      <c r="Q290" s="241"/>
      <c r="R290" s="241"/>
      <c r="S290" s="241"/>
      <c r="T290" s="241"/>
      <c r="U290" s="7"/>
    </row>
    <row r="291" spans="1:21" x14ac:dyDescent="0.25">
      <c r="A291" s="5"/>
      <c r="B291" s="236"/>
      <c r="C291" s="236"/>
      <c r="D291" s="53"/>
      <c r="E291" s="236"/>
      <c r="F291" s="236"/>
      <c r="G291" s="236"/>
      <c r="H291" s="236"/>
      <c r="I291" s="279"/>
      <c r="J291" s="279"/>
      <c r="K291" s="279"/>
      <c r="L291" s="279"/>
      <c r="M291" s="279"/>
      <c r="N291" s="279"/>
      <c r="O291" s="241"/>
      <c r="P291" s="241"/>
      <c r="Q291" s="241"/>
      <c r="R291" s="241"/>
      <c r="S291" s="241"/>
      <c r="T291" s="241"/>
      <c r="U291" s="7"/>
    </row>
    <row r="292" spans="1:21" x14ac:dyDescent="0.25">
      <c r="A292" s="5"/>
      <c r="B292" s="236"/>
      <c r="C292" s="236"/>
      <c r="D292" s="53"/>
      <c r="E292" s="236"/>
      <c r="F292" s="236"/>
      <c r="G292" s="236"/>
      <c r="H292" s="236"/>
      <c r="I292" s="279"/>
      <c r="J292" s="279"/>
      <c r="K292" s="279"/>
      <c r="L292" s="279"/>
      <c r="M292" s="279"/>
      <c r="N292" s="279"/>
      <c r="O292" s="241"/>
      <c r="P292" s="241"/>
      <c r="Q292" s="241"/>
      <c r="R292" s="241"/>
      <c r="S292" s="241"/>
      <c r="T292" s="241"/>
      <c r="U292" s="7"/>
    </row>
    <row r="293" spans="1:21" x14ac:dyDescent="0.25">
      <c r="A293" s="5"/>
      <c r="B293" s="236"/>
      <c r="C293" s="236"/>
      <c r="D293" s="53"/>
      <c r="E293" s="236"/>
      <c r="F293" s="236"/>
      <c r="G293" s="236"/>
      <c r="H293" s="236"/>
      <c r="I293" s="279"/>
      <c r="J293" s="279"/>
      <c r="K293" s="279"/>
      <c r="L293" s="279"/>
      <c r="M293" s="279"/>
      <c r="N293" s="279"/>
      <c r="O293" s="241"/>
      <c r="P293" s="241"/>
      <c r="Q293" s="241"/>
      <c r="R293" s="241"/>
      <c r="S293" s="241"/>
      <c r="T293" s="241"/>
      <c r="U293" s="7"/>
    </row>
    <row r="294" spans="1:21" x14ac:dyDescent="0.25">
      <c r="A294" s="5"/>
      <c r="B294" s="236"/>
      <c r="C294" s="236"/>
      <c r="D294" s="53"/>
      <c r="E294" s="236"/>
      <c r="F294" s="236"/>
      <c r="G294" s="236"/>
      <c r="H294" s="236"/>
      <c r="I294" s="279"/>
      <c r="J294" s="279"/>
      <c r="K294" s="279"/>
      <c r="L294" s="279"/>
      <c r="M294" s="279"/>
      <c r="N294" s="279"/>
      <c r="O294" s="241"/>
      <c r="P294" s="241"/>
      <c r="Q294" s="241"/>
      <c r="R294" s="241"/>
      <c r="S294" s="241"/>
      <c r="T294" s="241"/>
      <c r="U294" s="7"/>
    </row>
    <row r="295" spans="1:21" x14ac:dyDescent="0.25">
      <c r="A295" s="5"/>
      <c r="B295" s="236"/>
      <c r="C295" s="236"/>
      <c r="D295" s="53"/>
      <c r="E295" s="236"/>
      <c r="F295" s="236"/>
      <c r="G295" s="236"/>
      <c r="H295" s="236"/>
      <c r="I295" s="279"/>
      <c r="J295" s="279"/>
      <c r="K295" s="279"/>
      <c r="L295" s="279"/>
      <c r="M295" s="279"/>
      <c r="N295" s="279"/>
      <c r="O295" s="241"/>
      <c r="P295" s="241"/>
      <c r="Q295" s="241"/>
      <c r="R295" s="241"/>
      <c r="S295" s="241"/>
      <c r="T295" s="241"/>
      <c r="U295" s="7"/>
    </row>
    <row r="296" spans="1:21" x14ac:dyDescent="0.25">
      <c r="A296" s="5"/>
      <c r="B296" s="236"/>
      <c r="C296" s="236"/>
      <c r="D296" s="53"/>
      <c r="E296" s="236"/>
      <c r="F296" s="236"/>
      <c r="G296" s="236"/>
      <c r="H296" s="236"/>
      <c r="I296" s="279"/>
      <c r="J296" s="279"/>
      <c r="K296" s="279"/>
      <c r="L296" s="279"/>
      <c r="M296" s="279"/>
      <c r="N296" s="279"/>
      <c r="O296" s="241"/>
      <c r="P296" s="241"/>
      <c r="Q296" s="241"/>
      <c r="R296" s="241"/>
      <c r="S296" s="241"/>
      <c r="T296" s="241"/>
      <c r="U296" s="7"/>
    </row>
    <row r="297" spans="1:21" x14ac:dyDescent="0.25">
      <c r="A297" s="5"/>
      <c r="B297" s="236"/>
      <c r="C297" s="236"/>
      <c r="D297" s="53"/>
      <c r="E297" s="236"/>
      <c r="F297" s="236"/>
      <c r="G297" s="236"/>
      <c r="H297" s="236"/>
      <c r="I297" s="279"/>
      <c r="J297" s="279"/>
      <c r="K297" s="279"/>
      <c r="L297" s="279"/>
      <c r="M297" s="279"/>
      <c r="N297" s="279"/>
      <c r="O297" s="241"/>
      <c r="P297" s="241"/>
      <c r="Q297" s="241"/>
      <c r="R297" s="241"/>
      <c r="S297" s="241"/>
      <c r="T297" s="241"/>
      <c r="U297" s="7"/>
    </row>
    <row r="298" spans="1:21" x14ac:dyDescent="0.25">
      <c r="A298" s="5"/>
      <c r="B298" s="236"/>
      <c r="C298" s="236"/>
      <c r="D298" s="53"/>
      <c r="E298" s="236"/>
      <c r="F298" s="236"/>
      <c r="G298" s="236"/>
      <c r="H298" s="236"/>
      <c r="I298" s="279"/>
      <c r="J298" s="279"/>
      <c r="K298" s="279"/>
      <c r="L298" s="279"/>
      <c r="M298" s="279"/>
      <c r="N298" s="279"/>
      <c r="O298" s="241"/>
      <c r="P298" s="241"/>
      <c r="Q298" s="241"/>
      <c r="R298" s="241"/>
      <c r="S298" s="241"/>
      <c r="T298" s="241"/>
      <c r="U298" s="7"/>
    </row>
    <row r="299" spans="1:21" x14ac:dyDescent="0.25">
      <c r="A299" s="5"/>
      <c r="B299" s="236"/>
      <c r="C299" s="236"/>
      <c r="D299" s="53"/>
      <c r="E299" s="236"/>
      <c r="F299" s="236"/>
      <c r="G299" s="236"/>
      <c r="H299" s="236"/>
      <c r="I299" s="279"/>
      <c r="J299" s="279"/>
      <c r="K299" s="279"/>
      <c r="L299" s="279"/>
      <c r="M299" s="279"/>
      <c r="N299" s="279"/>
      <c r="O299" s="241"/>
      <c r="P299" s="241"/>
      <c r="Q299" s="241"/>
      <c r="R299" s="241"/>
      <c r="S299" s="241"/>
      <c r="T299" s="241"/>
      <c r="U299" s="7"/>
    </row>
    <row r="300" spans="1:21" x14ac:dyDescent="0.25">
      <c r="A300" s="5"/>
      <c r="B300" s="236"/>
      <c r="C300" s="236"/>
      <c r="D300" s="53"/>
      <c r="E300" s="236"/>
      <c r="F300" s="236"/>
      <c r="G300" s="236"/>
      <c r="H300" s="236"/>
      <c r="I300" s="279"/>
      <c r="J300" s="279"/>
      <c r="K300" s="279"/>
      <c r="L300" s="279"/>
      <c r="M300" s="279"/>
      <c r="N300" s="279"/>
      <c r="O300" s="241"/>
      <c r="P300" s="241"/>
      <c r="Q300" s="241"/>
      <c r="R300" s="241"/>
      <c r="S300" s="241"/>
      <c r="T300" s="241"/>
      <c r="U300" s="7"/>
    </row>
    <row r="301" spans="1:21" x14ac:dyDescent="0.25">
      <c r="A301" s="5"/>
      <c r="B301" s="236"/>
      <c r="C301" s="236"/>
      <c r="D301" s="53"/>
      <c r="E301" s="236"/>
      <c r="F301" s="236"/>
      <c r="G301" s="236"/>
      <c r="H301" s="236"/>
      <c r="I301" s="279"/>
      <c r="J301" s="279"/>
      <c r="K301" s="279"/>
      <c r="L301" s="279"/>
      <c r="M301" s="279"/>
      <c r="N301" s="279"/>
      <c r="O301" s="241"/>
      <c r="P301" s="241"/>
      <c r="Q301" s="241"/>
      <c r="R301" s="241"/>
      <c r="S301" s="241"/>
      <c r="T301" s="241"/>
      <c r="U301" s="7"/>
    </row>
    <row r="302" spans="1:21" x14ac:dyDescent="0.25">
      <c r="A302" s="5"/>
      <c r="B302" s="236"/>
      <c r="C302" s="236"/>
      <c r="D302" s="53"/>
      <c r="E302" s="236"/>
      <c r="F302" s="236"/>
      <c r="G302" s="236"/>
      <c r="H302" s="236"/>
      <c r="I302" s="279"/>
      <c r="J302" s="279"/>
      <c r="K302" s="279"/>
      <c r="L302" s="279"/>
      <c r="M302" s="279"/>
      <c r="N302" s="279"/>
      <c r="O302" s="241"/>
      <c r="P302" s="241"/>
      <c r="Q302" s="241"/>
      <c r="R302" s="241"/>
      <c r="S302" s="241"/>
      <c r="T302" s="241"/>
      <c r="U302" s="7"/>
    </row>
    <row r="303" spans="1:21" x14ac:dyDescent="0.25">
      <c r="A303" s="5"/>
      <c r="B303" s="236"/>
      <c r="C303" s="236"/>
      <c r="D303" s="53"/>
      <c r="E303" s="236"/>
      <c r="F303" s="236"/>
      <c r="G303" s="236"/>
      <c r="H303" s="236"/>
      <c r="I303" s="279"/>
      <c r="J303" s="279"/>
      <c r="K303" s="279"/>
      <c r="L303" s="279"/>
      <c r="M303" s="279"/>
      <c r="N303" s="279"/>
      <c r="O303" s="241"/>
      <c r="P303" s="241"/>
      <c r="Q303" s="241"/>
      <c r="R303" s="241"/>
      <c r="S303" s="241"/>
      <c r="T303" s="241"/>
      <c r="U303" s="7"/>
    </row>
    <row r="304" spans="1:21" x14ac:dyDescent="0.25">
      <c r="A304" s="5"/>
      <c r="B304" s="236"/>
      <c r="C304" s="236"/>
      <c r="D304" s="53"/>
      <c r="E304" s="236"/>
      <c r="F304" s="236"/>
      <c r="G304" s="236"/>
      <c r="H304" s="236"/>
      <c r="I304" s="279"/>
      <c r="J304" s="279"/>
      <c r="K304" s="279"/>
      <c r="L304" s="279"/>
      <c r="M304" s="279"/>
      <c r="N304" s="279"/>
      <c r="O304" s="241"/>
      <c r="P304" s="241"/>
      <c r="Q304" s="241"/>
      <c r="R304" s="241"/>
      <c r="S304" s="241"/>
      <c r="T304" s="241"/>
      <c r="U304" s="7"/>
    </row>
    <row r="305" spans="1:21" x14ac:dyDescent="0.25">
      <c r="A305" s="5"/>
      <c r="B305" s="236"/>
      <c r="C305" s="236"/>
      <c r="D305" s="53"/>
      <c r="E305" s="236"/>
      <c r="F305" s="236"/>
      <c r="G305" s="236"/>
      <c r="H305" s="236"/>
      <c r="I305" s="279"/>
      <c r="J305" s="279"/>
      <c r="K305" s="279"/>
      <c r="L305" s="279"/>
      <c r="M305" s="279"/>
      <c r="N305" s="279"/>
      <c r="O305" s="241"/>
      <c r="P305" s="241"/>
      <c r="Q305" s="241"/>
      <c r="R305" s="241"/>
      <c r="S305" s="241"/>
      <c r="T305" s="241"/>
      <c r="U305" s="7"/>
    </row>
    <row r="306" spans="1:21" x14ac:dyDescent="0.25">
      <c r="A306" s="5"/>
      <c r="B306" s="236"/>
      <c r="C306" s="236"/>
      <c r="D306" s="53"/>
      <c r="E306" s="236"/>
      <c r="F306" s="236"/>
      <c r="G306" s="236"/>
      <c r="H306" s="236"/>
      <c r="I306" s="279"/>
      <c r="J306" s="279"/>
      <c r="K306" s="279"/>
      <c r="L306" s="279"/>
      <c r="M306" s="279"/>
      <c r="N306" s="279"/>
      <c r="O306" s="241"/>
      <c r="P306" s="241"/>
      <c r="Q306" s="241"/>
      <c r="R306" s="241"/>
      <c r="S306" s="241"/>
      <c r="T306" s="241"/>
      <c r="U306" s="7"/>
    </row>
    <row r="307" spans="1:21" x14ac:dyDescent="0.25">
      <c r="A307" s="5"/>
      <c r="B307" s="236"/>
      <c r="C307" s="236"/>
      <c r="D307" s="53"/>
      <c r="E307" s="236"/>
      <c r="F307" s="236"/>
      <c r="G307" s="236"/>
      <c r="H307" s="236"/>
      <c r="I307" s="279"/>
      <c r="J307" s="279"/>
      <c r="K307" s="279"/>
      <c r="L307" s="279"/>
      <c r="M307" s="279"/>
      <c r="N307" s="279"/>
      <c r="O307" s="241"/>
      <c r="P307" s="241"/>
      <c r="Q307" s="241"/>
      <c r="R307" s="241"/>
      <c r="S307" s="241"/>
      <c r="T307" s="241"/>
      <c r="U307" s="7"/>
    </row>
    <row r="308" spans="1:21" x14ac:dyDescent="0.25">
      <c r="A308" s="5"/>
      <c r="B308" s="236"/>
      <c r="C308" s="236"/>
      <c r="D308" s="53"/>
      <c r="E308" s="236"/>
      <c r="F308" s="236"/>
      <c r="G308" s="236"/>
      <c r="H308" s="236"/>
      <c r="I308" s="279"/>
      <c r="J308" s="279"/>
      <c r="K308" s="279"/>
      <c r="L308" s="279"/>
      <c r="M308" s="279"/>
      <c r="N308" s="279"/>
      <c r="O308" s="241"/>
      <c r="P308" s="241"/>
      <c r="Q308" s="241"/>
      <c r="R308" s="241"/>
      <c r="S308" s="241"/>
      <c r="T308" s="241"/>
      <c r="U308" s="7"/>
    </row>
    <row r="309" spans="1:21" x14ac:dyDescent="0.25">
      <c r="A309" s="5"/>
      <c r="B309" s="236"/>
      <c r="C309" s="236"/>
      <c r="D309" s="53"/>
      <c r="E309" s="236"/>
      <c r="F309" s="236"/>
      <c r="G309" s="236"/>
      <c r="H309" s="236"/>
      <c r="I309" s="279"/>
      <c r="J309" s="279"/>
      <c r="K309" s="279"/>
      <c r="L309" s="279"/>
      <c r="M309" s="279"/>
      <c r="N309" s="279"/>
      <c r="O309" s="241"/>
      <c r="P309" s="241"/>
      <c r="Q309" s="241"/>
      <c r="R309" s="241"/>
      <c r="S309" s="241"/>
      <c r="T309" s="241"/>
      <c r="U309" s="7"/>
    </row>
    <row r="310" spans="1:21" x14ac:dyDescent="0.25">
      <c r="A310" s="5"/>
      <c r="B310" s="236"/>
      <c r="C310" s="236"/>
      <c r="D310" s="53"/>
      <c r="E310" s="236"/>
      <c r="F310" s="236"/>
      <c r="G310" s="236"/>
      <c r="H310" s="236"/>
      <c r="I310" s="279"/>
      <c r="J310" s="279"/>
      <c r="K310" s="279"/>
      <c r="L310" s="279"/>
      <c r="M310" s="279"/>
      <c r="N310" s="279"/>
      <c r="O310" s="241"/>
      <c r="P310" s="241"/>
      <c r="Q310" s="241"/>
      <c r="R310" s="241"/>
      <c r="S310" s="241"/>
      <c r="T310" s="241"/>
      <c r="U310" s="7"/>
    </row>
    <row r="311" spans="1:21" x14ac:dyDescent="0.25">
      <c r="A311" s="5"/>
      <c r="B311" s="236"/>
      <c r="C311" s="236"/>
      <c r="D311" s="53"/>
      <c r="E311" s="236"/>
      <c r="F311" s="236"/>
      <c r="G311" s="236"/>
      <c r="H311" s="236"/>
      <c r="I311" s="279"/>
      <c r="J311" s="279"/>
      <c r="K311" s="279"/>
      <c r="L311" s="279"/>
      <c r="M311" s="279"/>
      <c r="N311" s="279"/>
      <c r="O311" s="241"/>
      <c r="P311" s="241"/>
      <c r="Q311" s="241"/>
      <c r="R311" s="241"/>
      <c r="S311" s="241"/>
      <c r="T311" s="241"/>
      <c r="U311" s="7"/>
    </row>
    <row r="312" spans="1:21" x14ac:dyDescent="0.25">
      <c r="A312" s="5"/>
      <c r="B312" s="236"/>
      <c r="C312" s="236"/>
      <c r="D312" s="53"/>
      <c r="E312" s="236"/>
      <c r="F312" s="236"/>
      <c r="G312" s="236"/>
      <c r="H312" s="236"/>
      <c r="I312" s="279"/>
      <c r="J312" s="279"/>
      <c r="K312" s="279"/>
      <c r="L312" s="279"/>
      <c r="M312" s="279"/>
      <c r="N312" s="279"/>
      <c r="O312" s="241"/>
      <c r="P312" s="241"/>
      <c r="Q312" s="241"/>
      <c r="R312" s="241"/>
      <c r="S312" s="241"/>
      <c r="T312" s="241"/>
      <c r="U312" s="7"/>
    </row>
    <row r="313" spans="1:21" x14ac:dyDescent="0.25">
      <c r="A313" s="9"/>
      <c r="B313" s="10"/>
      <c r="C313" s="10"/>
      <c r="D313" s="10"/>
      <c r="E313" s="10"/>
      <c r="F313" s="10"/>
      <c r="G313" s="10"/>
      <c r="H313" s="10"/>
      <c r="I313" s="10"/>
      <c r="J313" s="10"/>
      <c r="K313" s="10"/>
      <c r="L313" s="10"/>
      <c r="M313" s="10"/>
      <c r="N313" s="10"/>
      <c r="O313" s="10"/>
      <c r="P313" s="10"/>
      <c r="Q313" s="10"/>
      <c r="R313" s="10"/>
      <c r="S313" s="10"/>
      <c r="T313" s="10"/>
      <c r="U313" s="11"/>
    </row>
  </sheetData>
  <mergeCells count="2350">
    <mergeCell ref="B126:C126"/>
    <mergeCell ref="E126:F126"/>
    <mergeCell ref="G126:H126"/>
    <mergeCell ref="I126:K126"/>
    <mergeCell ref="L126:N126"/>
    <mergeCell ref="O126:P126"/>
    <mergeCell ref="Q126:R126"/>
    <mergeCell ref="S126:T126"/>
    <mergeCell ref="B122:C122"/>
    <mergeCell ref="E122:F122"/>
    <mergeCell ref="G122:H122"/>
    <mergeCell ref="I122:K122"/>
    <mergeCell ref="L122:N122"/>
    <mergeCell ref="O122:P122"/>
    <mergeCell ref="Q122:R122"/>
    <mergeCell ref="S122:T122"/>
    <mergeCell ref="B123:C123"/>
    <mergeCell ref="E123:F123"/>
    <mergeCell ref="G123:H123"/>
    <mergeCell ref="I123:K123"/>
    <mergeCell ref="L123:N123"/>
    <mergeCell ref="O123:P123"/>
    <mergeCell ref="Q123:R123"/>
    <mergeCell ref="S123:T123"/>
    <mergeCell ref="B120:C120"/>
    <mergeCell ref="E120:F120"/>
    <mergeCell ref="G120:H120"/>
    <mergeCell ref="I120:K120"/>
    <mergeCell ref="L120:N120"/>
    <mergeCell ref="O120:P120"/>
    <mergeCell ref="Q120:R120"/>
    <mergeCell ref="S120:T120"/>
    <mergeCell ref="B121:C121"/>
    <mergeCell ref="E121:F121"/>
    <mergeCell ref="G121:H121"/>
    <mergeCell ref="I121:K121"/>
    <mergeCell ref="L121:N121"/>
    <mergeCell ref="O121:P121"/>
    <mergeCell ref="Q121:R121"/>
    <mergeCell ref="S121:T121"/>
    <mergeCell ref="B125:C125"/>
    <mergeCell ref="E125:F125"/>
    <mergeCell ref="G125:H125"/>
    <mergeCell ref="I125:K125"/>
    <mergeCell ref="L125:N125"/>
    <mergeCell ref="O125:P125"/>
    <mergeCell ref="Q125:R125"/>
    <mergeCell ref="S125:T125"/>
    <mergeCell ref="B117:C117"/>
    <mergeCell ref="E117:F117"/>
    <mergeCell ref="G117:H117"/>
    <mergeCell ref="I117:K117"/>
    <mergeCell ref="L117:N117"/>
    <mergeCell ref="O117:P117"/>
    <mergeCell ref="Q117:R117"/>
    <mergeCell ref="S117:T117"/>
    <mergeCell ref="B118:C118"/>
    <mergeCell ref="E118:F118"/>
    <mergeCell ref="G118:H118"/>
    <mergeCell ref="I118:K118"/>
    <mergeCell ref="L118:N118"/>
    <mergeCell ref="O118:P118"/>
    <mergeCell ref="Q118:R118"/>
    <mergeCell ref="S118:T118"/>
    <mergeCell ref="B124:C124"/>
    <mergeCell ref="E124:F124"/>
    <mergeCell ref="G124:H124"/>
    <mergeCell ref="I124:K124"/>
    <mergeCell ref="L124:N124"/>
    <mergeCell ref="O124:P124"/>
    <mergeCell ref="Q124:R124"/>
    <mergeCell ref="S124:T124"/>
    <mergeCell ref="B119:C119"/>
    <mergeCell ref="E119:F119"/>
    <mergeCell ref="G119:H119"/>
    <mergeCell ref="I119:K119"/>
    <mergeCell ref="L119:N119"/>
    <mergeCell ref="O119:P119"/>
    <mergeCell ref="Q119:R119"/>
    <mergeCell ref="S119:T119"/>
    <mergeCell ref="B114:C114"/>
    <mergeCell ref="E114:F114"/>
    <mergeCell ref="G114:H114"/>
    <mergeCell ref="I114:K114"/>
    <mergeCell ref="L114:N114"/>
    <mergeCell ref="O114:P114"/>
    <mergeCell ref="Q114:R114"/>
    <mergeCell ref="S114:T114"/>
    <mergeCell ref="B115:C115"/>
    <mergeCell ref="E115:F115"/>
    <mergeCell ref="G115:H115"/>
    <mergeCell ref="I115:K115"/>
    <mergeCell ref="L115:N115"/>
    <mergeCell ref="O115:P115"/>
    <mergeCell ref="Q115:R115"/>
    <mergeCell ref="S115:T115"/>
    <mergeCell ref="B116:C116"/>
    <mergeCell ref="E116:F116"/>
    <mergeCell ref="G116:H116"/>
    <mergeCell ref="I116:K116"/>
    <mergeCell ref="L116:N116"/>
    <mergeCell ref="O116:P116"/>
    <mergeCell ref="Q116:R116"/>
    <mergeCell ref="S116:T116"/>
    <mergeCell ref="B111:C111"/>
    <mergeCell ref="E111:F111"/>
    <mergeCell ref="G111:H111"/>
    <mergeCell ref="I111:K111"/>
    <mergeCell ref="L111:N111"/>
    <mergeCell ref="O111:P111"/>
    <mergeCell ref="Q111:R111"/>
    <mergeCell ref="S111:T111"/>
    <mergeCell ref="B112:C112"/>
    <mergeCell ref="E112:F112"/>
    <mergeCell ref="G112:H112"/>
    <mergeCell ref="I112:K112"/>
    <mergeCell ref="L112:N112"/>
    <mergeCell ref="O112:P112"/>
    <mergeCell ref="Q112:R112"/>
    <mergeCell ref="S112:T112"/>
    <mergeCell ref="B113:C113"/>
    <mergeCell ref="E113:F113"/>
    <mergeCell ref="G113:H113"/>
    <mergeCell ref="I113:K113"/>
    <mergeCell ref="L113:N113"/>
    <mergeCell ref="O113:P113"/>
    <mergeCell ref="Q113:R113"/>
    <mergeCell ref="S113:T113"/>
    <mergeCell ref="B108:C108"/>
    <mergeCell ref="E108:F108"/>
    <mergeCell ref="G108:H108"/>
    <mergeCell ref="I108:K108"/>
    <mergeCell ref="L108:N108"/>
    <mergeCell ref="O108:P108"/>
    <mergeCell ref="Q108:R108"/>
    <mergeCell ref="S108:T108"/>
    <mergeCell ref="B109:C109"/>
    <mergeCell ref="E109:F109"/>
    <mergeCell ref="G109:H109"/>
    <mergeCell ref="I109:K109"/>
    <mergeCell ref="L109:N109"/>
    <mergeCell ref="O109:P109"/>
    <mergeCell ref="Q109:R109"/>
    <mergeCell ref="S109:T109"/>
    <mergeCell ref="B110:C110"/>
    <mergeCell ref="E110:F110"/>
    <mergeCell ref="G110:H110"/>
    <mergeCell ref="I110:K110"/>
    <mergeCell ref="L110:N110"/>
    <mergeCell ref="O110:P110"/>
    <mergeCell ref="Q110:R110"/>
    <mergeCell ref="S110:T110"/>
    <mergeCell ref="B105:C105"/>
    <mergeCell ref="E105:F105"/>
    <mergeCell ref="G105:H105"/>
    <mergeCell ref="I105:K105"/>
    <mergeCell ref="L105:N105"/>
    <mergeCell ref="O105:P105"/>
    <mergeCell ref="Q105:R105"/>
    <mergeCell ref="S105:T105"/>
    <mergeCell ref="B106:C106"/>
    <mergeCell ref="E106:F106"/>
    <mergeCell ref="G106:H106"/>
    <mergeCell ref="I106:K106"/>
    <mergeCell ref="L106:N106"/>
    <mergeCell ref="O106:P106"/>
    <mergeCell ref="Q106:R106"/>
    <mergeCell ref="S106:T106"/>
    <mergeCell ref="B107:C107"/>
    <mergeCell ref="E107:F107"/>
    <mergeCell ref="G107:H107"/>
    <mergeCell ref="I107:K107"/>
    <mergeCell ref="L107:N107"/>
    <mergeCell ref="O107:P107"/>
    <mergeCell ref="Q107:R107"/>
    <mergeCell ref="S107:T107"/>
    <mergeCell ref="B102:C102"/>
    <mergeCell ref="E102:F102"/>
    <mergeCell ref="G102:H102"/>
    <mergeCell ref="I102:K102"/>
    <mergeCell ref="L102:N102"/>
    <mergeCell ref="O102:P102"/>
    <mergeCell ref="Q102:R102"/>
    <mergeCell ref="S102:T102"/>
    <mergeCell ref="B103:C103"/>
    <mergeCell ref="E103:F103"/>
    <mergeCell ref="G103:H103"/>
    <mergeCell ref="I103:K103"/>
    <mergeCell ref="L103:N103"/>
    <mergeCell ref="O103:P103"/>
    <mergeCell ref="Q103:R103"/>
    <mergeCell ref="S103:T103"/>
    <mergeCell ref="B104:C104"/>
    <mergeCell ref="E104:F104"/>
    <mergeCell ref="G104:H104"/>
    <mergeCell ref="I104:K104"/>
    <mergeCell ref="L104:N104"/>
    <mergeCell ref="O104:P104"/>
    <mergeCell ref="Q104:R104"/>
    <mergeCell ref="S104:T104"/>
    <mergeCell ref="B99:C99"/>
    <mergeCell ref="E99:F99"/>
    <mergeCell ref="G99:H99"/>
    <mergeCell ref="I99:K99"/>
    <mergeCell ref="L99:N99"/>
    <mergeCell ref="O99:P99"/>
    <mergeCell ref="Q99:R99"/>
    <mergeCell ref="S99:T99"/>
    <mergeCell ref="B100:C100"/>
    <mergeCell ref="E100:F100"/>
    <mergeCell ref="G100:H100"/>
    <mergeCell ref="I100:K100"/>
    <mergeCell ref="L100:N100"/>
    <mergeCell ref="O100:P100"/>
    <mergeCell ref="Q100:R100"/>
    <mergeCell ref="S100:T100"/>
    <mergeCell ref="B101:C101"/>
    <mergeCell ref="E101:F101"/>
    <mergeCell ref="G101:H101"/>
    <mergeCell ref="I101:K101"/>
    <mergeCell ref="L101:N101"/>
    <mergeCell ref="O101:P101"/>
    <mergeCell ref="Q101:R101"/>
    <mergeCell ref="S101:T101"/>
    <mergeCell ref="B96:C96"/>
    <mergeCell ref="E96:F96"/>
    <mergeCell ref="G96:H96"/>
    <mergeCell ref="I96:K96"/>
    <mergeCell ref="L96:N96"/>
    <mergeCell ref="O96:P96"/>
    <mergeCell ref="Q96:R96"/>
    <mergeCell ref="S96:T96"/>
    <mergeCell ref="B97:C97"/>
    <mergeCell ref="E97:F97"/>
    <mergeCell ref="G97:H97"/>
    <mergeCell ref="I97:K97"/>
    <mergeCell ref="L97:N97"/>
    <mergeCell ref="O97:P97"/>
    <mergeCell ref="Q97:R97"/>
    <mergeCell ref="S97:T97"/>
    <mergeCell ref="B98:C98"/>
    <mergeCell ref="E98:F98"/>
    <mergeCell ref="G98:H98"/>
    <mergeCell ref="I98:K98"/>
    <mergeCell ref="L98:N98"/>
    <mergeCell ref="O98:P98"/>
    <mergeCell ref="Q98:R98"/>
    <mergeCell ref="S98:T98"/>
    <mergeCell ref="B93:C93"/>
    <mergeCell ref="E93:F93"/>
    <mergeCell ref="G93:H93"/>
    <mergeCell ref="I93:K93"/>
    <mergeCell ref="L93:N93"/>
    <mergeCell ref="O93:P93"/>
    <mergeCell ref="Q93:R93"/>
    <mergeCell ref="S93:T93"/>
    <mergeCell ref="B94:C94"/>
    <mergeCell ref="E94:F94"/>
    <mergeCell ref="G94:H94"/>
    <mergeCell ref="I94:K94"/>
    <mergeCell ref="L94:N94"/>
    <mergeCell ref="O94:P94"/>
    <mergeCell ref="Q94:R94"/>
    <mergeCell ref="S94:T94"/>
    <mergeCell ref="B95:C95"/>
    <mergeCell ref="E95:F95"/>
    <mergeCell ref="G95:H95"/>
    <mergeCell ref="I95:K95"/>
    <mergeCell ref="L95:N95"/>
    <mergeCell ref="O95:P95"/>
    <mergeCell ref="Q95:R95"/>
    <mergeCell ref="S95:T95"/>
    <mergeCell ref="B90:C90"/>
    <mergeCell ref="E90:F90"/>
    <mergeCell ref="G90:H90"/>
    <mergeCell ref="I90:K90"/>
    <mergeCell ref="L90:N90"/>
    <mergeCell ref="O90:P90"/>
    <mergeCell ref="Q90:R90"/>
    <mergeCell ref="S90:T90"/>
    <mergeCell ref="B91:C91"/>
    <mergeCell ref="E91:F91"/>
    <mergeCell ref="G91:H91"/>
    <mergeCell ref="I91:K91"/>
    <mergeCell ref="L91:N91"/>
    <mergeCell ref="O91:P91"/>
    <mergeCell ref="Q91:R91"/>
    <mergeCell ref="S91:T91"/>
    <mergeCell ref="B92:C92"/>
    <mergeCell ref="E92:F92"/>
    <mergeCell ref="G92:H92"/>
    <mergeCell ref="I92:K92"/>
    <mergeCell ref="L92:N92"/>
    <mergeCell ref="O92:P92"/>
    <mergeCell ref="Q92:R92"/>
    <mergeCell ref="S92:T92"/>
    <mergeCell ref="Q3:U3"/>
    <mergeCell ref="B5:T6"/>
    <mergeCell ref="A1:E3"/>
    <mergeCell ref="F1:G2"/>
    <mergeCell ref="H1:N2"/>
    <mergeCell ref="O1:P1"/>
    <mergeCell ref="Q1:U1"/>
    <mergeCell ref="O2:P2"/>
    <mergeCell ref="Q2:U2"/>
    <mergeCell ref="F3:G3"/>
    <mergeCell ref="H3:N3"/>
    <mergeCell ref="O3:P3"/>
    <mergeCell ref="B89:C89"/>
    <mergeCell ref="E89:F89"/>
    <mergeCell ref="G89:H89"/>
    <mergeCell ref="I89:K89"/>
    <mergeCell ref="L89:N89"/>
    <mergeCell ref="O89:P89"/>
    <mergeCell ref="Q89:R89"/>
    <mergeCell ref="S89:T89"/>
    <mergeCell ref="C8:I9"/>
    <mergeCell ref="J8:K9"/>
    <mergeCell ref="L8:M9"/>
    <mergeCell ref="I13:K13"/>
    <mergeCell ref="G13:H13"/>
    <mergeCell ref="E13:F13"/>
    <mergeCell ref="B13:C13"/>
    <mergeCell ref="Q9:S9"/>
    <mergeCell ref="Q8:S8"/>
    <mergeCell ref="N9:P9"/>
    <mergeCell ref="N8:P8"/>
    <mergeCell ref="S13:T13"/>
    <mergeCell ref="Q13:R13"/>
    <mergeCell ref="O13:P13"/>
    <mergeCell ref="L13:N13"/>
    <mergeCell ref="B11:C12"/>
    <mergeCell ref="G11:H12"/>
    <mergeCell ref="I12:K12"/>
    <mergeCell ref="I11:K11"/>
    <mergeCell ref="L11:N11"/>
    <mergeCell ref="L12:N12"/>
    <mergeCell ref="E11:F12"/>
    <mergeCell ref="D11:D12"/>
    <mergeCell ref="Q16:R16"/>
    <mergeCell ref="S16:T16"/>
    <mergeCell ref="B17:C17"/>
    <mergeCell ref="E17:F17"/>
    <mergeCell ref="G17:H17"/>
    <mergeCell ref="I17:K17"/>
    <mergeCell ref="L17:N17"/>
    <mergeCell ref="O17:P17"/>
    <mergeCell ref="Q17:R17"/>
    <mergeCell ref="S17:T17"/>
    <mergeCell ref="B16:C16"/>
    <mergeCell ref="E16:F16"/>
    <mergeCell ref="G16:H16"/>
    <mergeCell ref="I16:K16"/>
    <mergeCell ref="L16:N16"/>
    <mergeCell ref="O16:P16"/>
    <mergeCell ref="Q14:R14"/>
    <mergeCell ref="S14:T14"/>
    <mergeCell ref="B15:C15"/>
    <mergeCell ref="E15:F15"/>
    <mergeCell ref="G15:H15"/>
    <mergeCell ref="I15:K15"/>
    <mergeCell ref="L15:N15"/>
    <mergeCell ref="O15:P15"/>
    <mergeCell ref="Q15:R15"/>
    <mergeCell ref="S15:T15"/>
    <mergeCell ref="B14:C14"/>
    <mergeCell ref="E14:F14"/>
    <mergeCell ref="G14:H14"/>
    <mergeCell ref="I14:K14"/>
    <mergeCell ref="L14:N14"/>
    <mergeCell ref="O14:P14"/>
    <mergeCell ref="Q20:R20"/>
    <mergeCell ref="S20:T20"/>
    <mergeCell ref="B21:C21"/>
    <mergeCell ref="E21:F21"/>
    <mergeCell ref="G21:H21"/>
    <mergeCell ref="I21:K21"/>
    <mergeCell ref="L21:N21"/>
    <mergeCell ref="O21:P21"/>
    <mergeCell ref="Q21:R21"/>
    <mergeCell ref="S21:T21"/>
    <mergeCell ref="B20:C20"/>
    <mergeCell ref="E20:F20"/>
    <mergeCell ref="G20:H20"/>
    <mergeCell ref="I20:K20"/>
    <mergeCell ref="L20:N20"/>
    <mergeCell ref="O20:P20"/>
    <mergeCell ref="Q18:R18"/>
    <mergeCell ref="S18:T18"/>
    <mergeCell ref="B19:C19"/>
    <mergeCell ref="E19:F19"/>
    <mergeCell ref="G19:H19"/>
    <mergeCell ref="I19:K19"/>
    <mergeCell ref="L19:N19"/>
    <mergeCell ref="O19:P19"/>
    <mergeCell ref="Q19:R19"/>
    <mergeCell ref="S19:T19"/>
    <mergeCell ref="B18:C18"/>
    <mergeCell ref="E18:F18"/>
    <mergeCell ref="G18:H18"/>
    <mergeCell ref="I18:K18"/>
    <mergeCell ref="L18:N18"/>
    <mergeCell ref="O18:P18"/>
    <mergeCell ref="Q24:R24"/>
    <mergeCell ref="S24:T24"/>
    <mergeCell ref="B25:C25"/>
    <mergeCell ref="E25:F25"/>
    <mergeCell ref="G25:H25"/>
    <mergeCell ref="I25:K25"/>
    <mergeCell ref="L25:N25"/>
    <mergeCell ref="O25:P25"/>
    <mergeCell ref="Q25:R25"/>
    <mergeCell ref="S25:T25"/>
    <mergeCell ref="B24:C24"/>
    <mergeCell ref="E24:F24"/>
    <mergeCell ref="G24:H24"/>
    <mergeCell ref="I24:K24"/>
    <mergeCell ref="L24:N24"/>
    <mergeCell ref="O24:P24"/>
    <mergeCell ref="Q22:R22"/>
    <mergeCell ref="S22:T22"/>
    <mergeCell ref="B23:C23"/>
    <mergeCell ref="E23:F23"/>
    <mergeCell ref="G23:H23"/>
    <mergeCell ref="I23:K23"/>
    <mergeCell ref="L23:N23"/>
    <mergeCell ref="O23:P23"/>
    <mergeCell ref="Q23:R23"/>
    <mergeCell ref="S23:T23"/>
    <mergeCell ref="B22:C22"/>
    <mergeCell ref="E22:F22"/>
    <mergeCell ref="G22:H22"/>
    <mergeCell ref="I22:K22"/>
    <mergeCell ref="L22:N22"/>
    <mergeCell ref="O22:P22"/>
    <mergeCell ref="Q28:R28"/>
    <mergeCell ref="S28:T28"/>
    <mergeCell ref="B29:C29"/>
    <mergeCell ref="E29:F29"/>
    <mergeCell ref="G29:H29"/>
    <mergeCell ref="I29:K29"/>
    <mergeCell ref="L29:N29"/>
    <mergeCell ref="O29:P29"/>
    <mergeCell ref="Q29:R29"/>
    <mergeCell ref="S29:T29"/>
    <mergeCell ref="B28:C28"/>
    <mergeCell ref="E28:F28"/>
    <mergeCell ref="G28:H28"/>
    <mergeCell ref="I28:K28"/>
    <mergeCell ref="L28:N28"/>
    <mergeCell ref="O28:P28"/>
    <mergeCell ref="Q26:R26"/>
    <mergeCell ref="S26:T26"/>
    <mergeCell ref="B27:C27"/>
    <mergeCell ref="E27:F27"/>
    <mergeCell ref="G27:H27"/>
    <mergeCell ref="I27:K27"/>
    <mergeCell ref="L27:N27"/>
    <mergeCell ref="O27:P27"/>
    <mergeCell ref="Q27:R27"/>
    <mergeCell ref="S27:T27"/>
    <mergeCell ref="B26:C26"/>
    <mergeCell ref="E26:F26"/>
    <mergeCell ref="G26:H26"/>
    <mergeCell ref="I26:K26"/>
    <mergeCell ref="L26:N26"/>
    <mergeCell ref="O26:P26"/>
    <mergeCell ref="Q32:R32"/>
    <mergeCell ref="S32:T32"/>
    <mergeCell ref="B33:C33"/>
    <mergeCell ref="E33:F33"/>
    <mergeCell ref="G33:H33"/>
    <mergeCell ref="I33:K33"/>
    <mergeCell ref="L33:N33"/>
    <mergeCell ref="O33:P33"/>
    <mergeCell ref="Q33:R33"/>
    <mergeCell ref="S33:T33"/>
    <mergeCell ref="B32:C32"/>
    <mergeCell ref="E32:F32"/>
    <mergeCell ref="G32:H32"/>
    <mergeCell ref="I32:K32"/>
    <mergeCell ref="L32:N32"/>
    <mergeCell ref="O32:P32"/>
    <mergeCell ref="Q30:R30"/>
    <mergeCell ref="S30:T30"/>
    <mergeCell ref="B31:C31"/>
    <mergeCell ref="E31:F31"/>
    <mergeCell ref="G31:H31"/>
    <mergeCell ref="I31:K31"/>
    <mergeCell ref="L31:N31"/>
    <mergeCell ref="O31:P31"/>
    <mergeCell ref="Q31:R31"/>
    <mergeCell ref="S31:T31"/>
    <mergeCell ref="B30:C30"/>
    <mergeCell ref="E30:F30"/>
    <mergeCell ref="G30:H30"/>
    <mergeCell ref="I30:K30"/>
    <mergeCell ref="L30:N30"/>
    <mergeCell ref="O30:P30"/>
    <mergeCell ref="Q36:R36"/>
    <mergeCell ref="S36:T36"/>
    <mergeCell ref="B37:C37"/>
    <mergeCell ref="E37:F37"/>
    <mergeCell ref="G37:H37"/>
    <mergeCell ref="I37:K37"/>
    <mergeCell ref="L37:N37"/>
    <mergeCell ref="O37:P37"/>
    <mergeCell ref="Q37:R37"/>
    <mergeCell ref="S37:T37"/>
    <mergeCell ref="B36:C36"/>
    <mergeCell ref="E36:F36"/>
    <mergeCell ref="G36:H36"/>
    <mergeCell ref="I36:K36"/>
    <mergeCell ref="L36:N36"/>
    <mergeCell ref="O36:P36"/>
    <mergeCell ref="Q34:R34"/>
    <mergeCell ref="S34:T34"/>
    <mergeCell ref="B35:C35"/>
    <mergeCell ref="E35:F35"/>
    <mergeCell ref="G35:H35"/>
    <mergeCell ref="I35:K35"/>
    <mergeCell ref="L35:N35"/>
    <mergeCell ref="O35:P35"/>
    <mergeCell ref="Q35:R35"/>
    <mergeCell ref="S35:T35"/>
    <mergeCell ref="B34:C34"/>
    <mergeCell ref="E34:F34"/>
    <mergeCell ref="G34:H34"/>
    <mergeCell ref="I34:K34"/>
    <mergeCell ref="L34:N34"/>
    <mergeCell ref="O34:P34"/>
    <mergeCell ref="Q40:R40"/>
    <mergeCell ref="S40:T40"/>
    <mergeCell ref="B41:C41"/>
    <mergeCell ref="E41:F41"/>
    <mergeCell ref="G41:H41"/>
    <mergeCell ref="I41:K41"/>
    <mergeCell ref="L41:N41"/>
    <mergeCell ref="O41:P41"/>
    <mergeCell ref="Q41:R41"/>
    <mergeCell ref="S41:T41"/>
    <mergeCell ref="B40:C40"/>
    <mergeCell ref="E40:F40"/>
    <mergeCell ref="G40:H40"/>
    <mergeCell ref="I40:K40"/>
    <mergeCell ref="L40:N40"/>
    <mergeCell ref="O40:P40"/>
    <mergeCell ref="Q38:R38"/>
    <mergeCell ref="S38:T38"/>
    <mergeCell ref="B39:C39"/>
    <mergeCell ref="E39:F39"/>
    <mergeCell ref="G39:H39"/>
    <mergeCell ref="I39:K39"/>
    <mergeCell ref="L39:N39"/>
    <mergeCell ref="O39:P39"/>
    <mergeCell ref="Q39:R39"/>
    <mergeCell ref="S39:T39"/>
    <mergeCell ref="B38:C38"/>
    <mergeCell ref="E38:F38"/>
    <mergeCell ref="G38:H38"/>
    <mergeCell ref="I38:K38"/>
    <mergeCell ref="L38:N38"/>
    <mergeCell ref="O38:P38"/>
    <mergeCell ref="Q44:R44"/>
    <mergeCell ref="S44:T44"/>
    <mergeCell ref="B45:C45"/>
    <mergeCell ref="E45:F45"/>
    <mergeCell ref="G45:H45"/>
    <mergeCell ref="I45:K45"/>
    <mergeCell ref="L45:N45"/>
    <mergeCell ref="O45:P45"/>
    <mergeCell ref="Q45:R45"/>
    <mergeCell ref="S45:T45"/>
    <mergeCell ref="B44:C44"/>
    <mergeCell ref="E44:F44"/>
    <mergeCell ref="G44:H44"/>
    <mergeCell ref="I44:K44"/>
    <mergeCell ref="L44:N44"/>
    <mergeCell ref="O44:P44"/>
    <mergeCell ref="Q42:R42"/>
    <mergeCell ref="S42:T42"/>
    <mergeCell ref="B43:C43"/>
    <mergeCell ref="E43:F43"/>
    <mergeCell ref="G43:H43"/>
    <mergeCell ref="I43:K43"/>
    <mergeCell ref="L43:N43"/>
    <mergeCell ref="O43:P43"/>
    <mergeCell ref="Q43:R43"/>
    <mergeCell ref="S43:T43"/>
    <mergeCell ref="B42:C42"/>
    <mergeCell ref="E42:F42"/>
    <mergeCell ref="G42:H42"/>
    <mergeCell ref="I42:K42"/>
    <mergeCell ref="L42:N42"/>
    <mergeCell ref="O42:P42"/>
    <mergeCell ref="Q48:R48"/>
    <mergeCell ref="S48:T48"/>
    <mergeCell ref="B49:C49"/>
    <mergeCell ref="E49:F49"/>
    <mergeCell ref="G49:H49"/>
    <mergeCell ref="I49:K49"/>
    <mergeCell ref="L49:N49"/>
    <mergeCell ref="O49:P49"/>
    <mergeCell ref="Q49:R49"/>
    <mergeCell ref="S49:T49"/>
    <mergeCell ref="B48:C48"/>
    <mergeCell ref="E48:F48"/>
    <mergeCell ref="G48:H48"/>
    <mergeCell ref="I48:K48"/>
    <mergeCell ref="L48:N48"/>
    <mergeCell ref="O48:P48"/>
    <mergeCell ref="Q46:R46"/>
    <mergeCell ref="S46:T46"/>
    <mergeCell ref="B47:C47"/>
    <mergeCell ref="E47:F47"/>
    <mergeCell ref="G47:H47"/>
    <mergeCell ref="I47:K47"/>
    <mergeCell ref="L47:N47"/>
    <mergeCell ref="O47:P47"/>
    <mergeCell ref="Q47:R47"/>
    <mergeCell ref="S47:T47"/>
    <mergeCell ref="B46:C46"/>
    <mergeCell ref="E46:F46"/>
    <mergeCell ref="G46:H46"/>
    <mergeCell ref="I46:K46"/>
    <mergeCell ref="L46:N46"/>
    <mergeCell ref="O46:P46"/>
    <mergeCell ref="Q52:R52"/>
    <mergeCell ref="S52:T52"/>
    <mergeCell ref="B53:C53"/>
    <mergeCell ref="E53:F53"/>
    <mergeCell ref="G53:H53"/>
    <mergeCell ref="I53:K53"/>
    <mergeCell ref="L53:N53"/>
    <mergeCell ref="O53:P53"/>
    <mergeCell ref="Q53:R53"/>
    <mergeCell ref="S53:T53"/>
    <mergeCell ref="B52:C52"/>
    <mergeCell ref="E52:F52"/>
    <mergeCell ref="G52:H52"/>
    <mergeCell ref="I52:K52"/>
    <mergeCell ref="L52:N52"/>
    <mergeCell ref="O52:P52"/>
    <mergeCell ref="Q50:R50"/>
    <mergeCell ref="S50:T50"/>
    <mergeCell ref="B51:C51"/>
    <mergeCell ref="E51:F51"/>
    <mergeCell ref="G51:H51"/>
    <mergeCell ref="I51:K51"/>
    <mergeCell ref="L51:N51"/>
    <mergeCell ref="O51:P51"/>
    <mergeCell ref="Q51:R51"/>
    <mergeCell ref="S51:T51"/>
    <mergeCell ref="B50:C50"/>
    <mergeCell ref="E50:F50"/>
    <mergeCell ref="G50:H50"/>
    <mergeCell ref="I50:K50"/>
    <mergeCell ref="L50:N50"/>
    <mergeCell ref="O50:P50"/>
    <mergeCell ref="Q56:R56"/>
    <mergeCell ref="S56:T56"/>
    <mergeCell ref="B57:C57"/>
    <mergeCell ref="E57:F57"/>
    <mergeCell ref="G57:H57"/>
    <mergeCell ref="I57:K57"/>
    <mergeCell ref="L57:N57"/>
    <mergeCell ref="O57:P57"/>
    <mergeCell ref="Q57:R57"/>
    <mergeCell ref="S57:T57"/>
    <mergeCell ref="B56:C56"/>
    <mergeCell ref="E56:F56"/>
    <mergeCell ref="G56:H56"/>
    <mergeCell ref="I56:K56"/>
    <mergeCell ref="L56:N56"/>
    <mergeCell ref="O56:P56"/>
    <mergeCell ref="Q54:R54"/>
    <mergeCell ref="S54:T54"/>
    <mergeCell ref="B55:C55"/>
    <mergeCell ref="E55:F55"/>
    <mergeCell ref="G55:H55"/>
    <mergeCell ref="I55:K55"/>
    <mergeCell ref="L55:N55"/>
    <mergeCell ref="O55:P55"/>
    <mergeCell ref="Q55:R55"/>
    <mergeCell ref="S55:T55"/>
    <mergeCell ref="B54:C54"/>
    <mergeCell ref="E54:F54"/>
    <mergeCell ref="G54:H54"/>
    <mergeCell ref="I54:K54"/>
    <mergeCell ref="L54:N54"/>
    <mergeCell ref="O54:P54"/>
    <mergeCell ref="Q60:R60"/>
    <mergeCell ref="S60:T60"/>
    <mergeCell ref="B61:C61"/>
    <mergeCell ref="E61:F61"/>
    <mergeCell ref="G61:H61"/>
    <mergeCell ref="I61:K61"/>
    <mergeCell ref="L61:N61"/>
    <mergeCell ref="O61:P61"/>
    <mergeCell ref="Q61:R61"/>
    <mergeCell ref="S61:T61"/>
    <mergeCell ref="B60:C60"/>
    <mergeCell ref="E60:F60"/>
    <mergeCell ref="G60:H60"/>
    <mergeCell ref="I60:K60"/>
    <mergeCell ref="L60:N60"/>
    <mergeCell ref="O60:P60"/>
    <mergeCell ref="Q58:R58"/>
    <mergeCell ref="S58:T58"/>
    <mergeCell ref="B59:C59"/>
    <mergeCell ref="E59:F59"/>
    <mergeCell ref="G59:H59"/>
    <mergeCell ref="I59:K59"/>
    <mergeCell ref="L59:N59"/>
    <mergeCell ref="O59:P59"/>
    <mergeCell ref="Q59:R59"/>
    <mergeCell ref="S59:T59"/>
    <mergeCell ref="B58:C58"/>
    <mergeCell ref="E58:F58"/>
    <mergeCell ref="G58:H58"/>
    <mergeCell ref="I58:K58"/>
    <mergeCell ref="L58:N58"/>
    <mergeCell ref="O58:P58"/>
    <mergeCell ref="B67:C68"/>
    <mergeCell ref="D67:D68"/>
    <mergeCell ref="E67:F68"/>
    <mergeCell ref="G67:H68"/>
    <mergeCell ref="I67:K67"/>
    <mergeCell ref="L67:N67"/>
    <mergeCell ref="O67:P68"/>
    <mergeCell ref="Q67:R68"/>
    <mergeCell ref="S67:T68"/>
    <mergeCell ref="I68:K68"/>
    <mergeCell ref="L68:N68"/>
    <mergeCell ref="Q62:R62"/>
    <mergeCell ref="S62:T62"/>
    <mergeCell ref="B63:C63"/>
    <mergeCell ref="E63:F63"/>
    <mergeCell ref="G63:H63"/>
    <mergeCell ref="I63:K63"/>
    <mergeCell ref="L63:N63"/>
    <mergeCell ref="O63:P63"/>
    <mergeCell ref="Q63:R63"/>
    <mergeCell ref="S63:T63"/>
    <mergeCell ref="B62:C62"/>
    <mergeCell ref="E62:F62"/>
    <mergeCell ref="G62:H62"/>
    <mergeCell ref="I62:K62"/>
    <mergeCell ref="L62:N62"/>
    <mergeCell ref="O62:P62"/>
    <mergeCell ref="Q70:R70"/>
    <mergeCell ref="S70:T70"/>
    <mergeCell ref="B71:C71"/>
    <mergeCell ref="E71:F71"/>
    <mergeCell ref="G71:H71"/>
    <mergeCell ref="I71:K71"/>
    <mergeCell ref="L71:N71"/>
    <mergeCell ref="O71:P71"/>
    <mergeCell ref="Q71:R71"/>
    <mergeCell ref="S71:T71"/>
    <mergeCell ref="B70:C70"/>
    <mergeCell ref="E70:F70"/>
    <mergeCell ref="G70:H70"/>
    <mergeCell ref="I70:K70"/>
    <mergeCell ref="L70:N70"/>
    <mergeCell ref="O70:P70"/>
    <mergeCell ref="Q64:R64"/>
    <mergeCell ref="S64:T64"/>
    <mergeCell ref="B69:C69"/>
    <mergeCell ref="E69:F69"/>
    <mergeCell ref="G69:H69"/>
    <mergeCell ref="I69:K69"/>
    <mergeCell ref="L69:N69"/>
    <mergeCell ref="O69:P69"/>
    <mergeCell ref="Q69:R69"/>
    <mergeCell ref="S69:T69"/>
    <mergeCell ref="B64:C64"/>
    <mergeCell ref="E64:F64"/>
    <mergeCell ref="G64:H64"/>
    <mergeCell ref="I64:K64"/>
    <mergeCell ref="L64:N64"/>
    <mergeCell ref="O64:P64"/>
    <mergeCell ref="Q74:R74"/>
    <mergeCell ref="S74:T74"/>
    <mergeCell ref="B75:C75"/>
    <mergeCell ref="E75:F75"/>
    <mergeCell ref="G75:H75"/>
    <mergeCell ref="I75:K75"/>
    <mergeCell ref="L75:N75"/>
    <mergeCell ref="O75:P75"/>
    <mergeCell ref="Q75:R75"/>
    <mergeCell ref="S75:T75"/>
    <mergeCell ref="B74:C74"/>
    <mergeCell ref="E74:F74"/>
    <mergeCell ref="G74:H74"/>
    <mergeCell ref="I74:K74"/>
    <mergeCell ref="L74:N74"/>
    <mergeCell ref="O74:P74"/>
    <mergeCell ref="Q72:R72"/>
    <mergeCell ref="S72:T72"/>
    <mergeCell ref="B73:C73"/>
    <mergeCell ref="E73:F73"/>
    <mergeCell ref="G73:H73"/>
    <mergeCell ref="I73:K73"/>
    <mergeCell ref="L73:N73"/>
    <mergeCell ref="O73:P73"/>
    <mergeCell ref="Q73:R73"/>
    <mergeCell ref="S73:T73"/>
    <mergeCell ref="B72:C72"/>
    <mergeCell ref="E72:F72"/>
    <mergeCell ref="G72:H72"/>
    <mergeCell ref="I72:K72"/>
    <mergeCell ref="L72:N72"/>
    <mergeCell ref="O72:P72"/>
    <mergeCell ref="Q78:R78"/>
    <mergeCell ref="S78:T78"/>
    <mergeCell ref="B79:C79"/>
    <mergeCell ref="E79:F79"/>
    <mergeCell ref="G79:H79"/>
    <mergeCell ref="I79:K79"/>
    <mergeCell ref="L79:N79"/>
    <mergeCell ref="O79:P79"/>
    <mergeCell ref="Q79:R79"/>
    <mergeCell ref="S79:T79"/>
    <mergeCell ref="B78:C78"/>
    <mergeCell ref="E78:F78"/>
    <mergeCell ref="G78:H78"/>
    <mergeCell ref="I78:K78"/>
    <mergeCell ref="L78:N78"/>
    <mergeCell ref="O78:P78"/>
    <mergeCell ref="Q76:R76"/>
    <mergeCell ref="S76:T76"/>
    <mergeCell ref="B77:C77"/>
    <mergeCell ref="E77:F77"/>
    <mergeCell ref="G77:H77"/>
    <mergeCell ref="I77:K77"/>
    <mergeCell ref="L77:N77"/>
    <mergeCell ref="O77:P77"/>
    <mergeCell ref="Q77:R77"/>
    <mergeCell ref="S77:T77"/>
    <mergeCell ref="B76:C76"/>
    <mergeCell ref="E76:F76"/>
    <mergeCell ref="G76:H76"/>
    <mergeCell ref="I76:K76"/>
    <mergeCell ref="L76:N76"/>
    <mergeCell ref="O76:P76"/>
    <mergeCell ref="Q82:R82"/>
    <mergeCell ref="S82:T82"/>
    <mergeCell ref="B83:C83"/>
    <mergeCell ref="E83:F83"/>
    <mergeCell ref="G83:H83"/>
    <mergeCell ref="I83:K83"/>
    <mergeCell ref="L83:N83"/>
    <mergeCell ref="O83:P83"/>
    <mergeCell ref="Q83:R83"/>
    <mergeCell ref="S83:T83"/>
    <mergeCell ref="B82:C82"/>
    <mergeCell ref="E82:F82"/>
    <mergeCell ref="G82:H82"/>
    <mergeCell ref="I82:K82"/>
    <mergeCell ref="L82:N82"/>
    <mergeCell ref="O82:P82"/>
    <mergeCell ref="Q80:R80"/>
    <mergeCell ref="S80:T80"/>
    <mergeCell ref="B81:C81"/>
    <mergeCell ref="E81:F81"/>
    <mergeCell ref="G81:H81"/>
    <mergeCell ref="I81:K81"/>
    <mergeCell ref="L81:N81"/>
    <mergeCell ref="O81:P81"/>
    <mergeCell ref="Q81:R81"/>
    <mergeCell ref="S81:T81"/>
    <mergeCell ref="B80:C80"/>
    <mergeCell ref="E80:F80"/>
    <mergeCell ref="G80:H80"/>
    <mergeCell ref="I80:K80"/>
    <mergeCell ref="L80:N80"/>
    <mergeCell ref="O80:P80"/>
    <mergeCell ref="B86:C86"/>
    <mergeCell ref="E86:F86"/>
    <mergeCell ref="G86:H86"/>
    <mergeCell ref="I86:K86"/>
    <mergeCell ref="L86:N86"/>
    <mergeCell ref="O86:P86"/>
    <mergeCell ref="Q84:R84"/>
    <mergeCell ref="S84:T84"/>
    <mergeCell ref="B85:C85"/>
    <mergeCell ref="E85:F85"/>
    <mergeCell ref="G85:H85"/>
    <mergeCell ref="I85:K85"/>
    <mergeCell ref="L85:N85"/>
    <mergeCell ref="O85:P85"/>
    <mergeCell ref="Q85:R85"/>
    <mergeCell ref="S85:T85"/>
    <mergeCell ref="B84:C84"/>
    <mergeCell ref="E84:F84"/>
    <mergeCell ref="G84:H84"/>
    <mergeCell ref="I84:K84"/>
    <mergeCell ref="L84:N84"/>
    <mergeCell ref="O84:P84"/>
    <mergeCell ref="B129:C130"/>
    <mergeCell ref="D129:D130"/>
    <mergeCell ref="E129:F130"/>
    <mergeCell ref="G129:H130"/>
    <mergeCell ref="I129:K129"/>
    <mergeCell ref="L129:N129"/>
    <mergeCell ref="O129:P130"/>
    <mergeCell ref="Q129:R130"/>
    <mergeCell ref="S129:T130"/>
    <mergeCell ref="I130:K130"/>
    <mergeCell ref="L130:N130"/>
    <mergeCell ref="Q88:R88"/>
    <mergeCell ref="S88:T88"/>
    <mergeCell ref="S11:T12"/>
    <mergeCell ref="Q11:R12"/>
    <mergeCell ref="O11:P12"/>
    <mergeCell ref="B88:C88"/>
    <mergeCell ref="E88:F88"/>
    <mergeCell ref="G88:H88"/>
    <mergeCell ref="I88:K88"/>
    <mergeCell ref="L88:N88"/>
    <mergeCell ref="O88:P88"/>
    <mergeCell ref="Q86:R86"/>
    <mergeCell ref="S86:T86"/>
    <mergeCell ref="B87:C87"/>
    <mergeCell ref="E87:F87"/>
    <mergeCell ref="G87:H87"/>
    <mergeCell ref="I87:K87"/>
    <mergeCell ref="L87:N87"/>
    <mergeCell ref="O87:P87"/>
    <mergeCell ref="Q87:R87"/>
    <mergeCell ref="S87:T87"/>
    <mergeCell ref="B133:C133"/>
    <mergeCell ref="E133:F133"/>
    <mergeCell ref="G133:H133"/>
    <mergeCell ref="I133:K133"/>
    <mergeCell ref="L133:N133"/>
    <mergeCell ref="O133:P133"/>
    <mergeCell ref="Q133:R133"/>
    <mergeCell ref="S133:T133"/>
    <mergeCell ref="B134:C134"/>
    <mergeCell ref="E134:F134"/>
    <mergeCell ref="G134:H134"/>
    <mergeCell ref="I134:K134"/>
    <mergeCell ref="L134:N134"/>
    <mergeCell ref="O134:P134"/>
    <mergeCell ref="Q134:R134"/>
    <mergeCell ref="S134:T134"/>
    <mergeCell ref="B131:C131"/>
    <mergeCell ref="E131:F131"/>
    <mergeCell ref="G131:H131"/>
    <mergeCell ref="I131:K131"/>
    <mergeCell ref="L131:N131"/>
    <mergeCell ref="O131:P131"/>
    <mergeCell ref="Q131:R131"/>
    <mergeCell ref="S131:T131"/>
    <mergeCell ref="B132:C132"/>
    <mergeCell ref="E132:F132"/>
    <mergeCell ref="G132:H132"/>
    <mergeCell ref="I132:K132"/>
    <mergeCell ref="L132:N132"/>
    <mergeCell ref="O132:P132"/>
    <mergeCell ref="Q132:R132"/>
    <mergeCell ref="S132:T132"/>
    <mergeCell ref="B137:C137"/>
    <mergeCell ref="E137:F137"/>
    <mergeCell ref="G137:H137"/>
    <mergeCell ref="I137:K137"/>
    <mergeCell ref="L137:N137"/>
    <mergeCell ref="O137:P137"/>
    <mergeCell ref="Q137:R137"/>
    <mergeCell ref="S137:T137"/>
    <mergeCell ref="B138:C138"/>
    <mergeCell ref="E138:F138"/>
    <mergeCell ref="G138:H138"/>
    <mergeCell ref="I138:K138"/>
    <mergeCell ref="L138:N138"/>
    <mergeCell ref="O138:P138"/>
    <mergeCell ref="Q138:R138"/>
    <mergeCell ref="S138:T138"/>
    <mergeCell ref="B135:C135"/>
    <mergeCell ref="E135:F135"/>
    <mergeCell ref="G135:H135"/>
    <mergeCell ref="I135:K135"/>
    <mergeCell ref="L135:N135"/>
    <mergeCell ref="O135:P135"/>
    <mergeCell ref="Q135:R135"/>
    <mergeCell ref="S135:T135"/>
    <mergeCell ref="B136:C136"/>
    <mergeCell ref="E136:F136"/>
    <mergeCell ref="G136:H136"/>
    <mergeCell ref="I136:K136"/>
    <mergeCell ref="L136:N136"/>
    <mergeCell ref="O136:P136"/>
    <mergeCell ref="Q136:R136"/>
    <mergeCell ref="S136:T136"/>
    <mergeCell ref="B141:C141"/>
    <mergeCell ref="E141:F141"/>
    <mergeCell ref="G141:H141"/>
    <mergeCell ref="I141:K141"/>
    <mergeCell ref="L141:N141"/>
    <mergeCell ref="O141:P141"/>
    <mergeCell ref="Q141:R141"/>
    <mergeCell ref="S141:T141"/>
    <mergeCell ref="B142:C142"/>
    <mergeCell ref="E142:F142"/>
    <mergeCell ref="G142:H142"/>
    <mergeCell ref="I142:K142"/>
    <mergeCell ref="L142:N142"/>
    <mergeCell ref="O142:P142"/>
    <mergeCell ref="Q142:R142"/>
    <mergeCell ref="S142:T142"/>
    <mergeCell ref="B139:C139"/>
    <mergeCell ref="E139:F139"/>
    <mergeCell ref="G139:H139"/>
    <mergeCell ref="I139:K139"/>
    <mergeCell ref="L139:N139"/>
    <mergeCell ref="O139:P139"/>
    <mergeCell ref="Q139:R139"/>
    <mergeCell ref="S139:T139"/>
    <mergeCell ref="B140:C140"/>
    <mergeCell ref="E140:F140"/>
    <mergeCell ref="G140:H140"/>
    <mergeCell ref="I140:K140"/>
    <mergeCell ref="L140:N140"/>
    <mergeCell ref="O140:P140"/>
    <mergeCell ref="Q140:R140"/>
    <mergeCell ref="S140:T140"/>
    <mergeCell ref="B145:C145"/>
    <mergeCell ref="E145:F145"/>
    <mergeCell ref="G145:H145"/>
    <mergeCell ref="I145:K145"/>
    <mergeCell ref="L145:N145"/>
    <mergeCell ref="O145:P145"/>
    <mergeCell ref="Q145:R145"/>
    <mergeCell ref="S145:T145"/>
    <mergeCell ref="B146:C146"/>
    <mergeCell ref="E146:F146"/>
    <mergeCell ref="G146:H146"/>
    <mergeCell ref="I146:K146"/>
    <mergeCell ref="L146:N146"/>
    <mergeCell ref="O146:P146"/>
    <mergeCell ref="Q146:R146"/>
    <mergeCell ref="S146:T146"/>
    <mergeCell ref="B143:C143"/>
    <mergeCell ref="E143:F143"/>
    <mergeCell ref="G143:H143"/>
    <mergeCell ref="I143:K143"/>
    <mergeCell ref="L143:N143"/>
    <mergeCell ref="O143:P143"/>
    <mergeCell ref="Q143:R143"/>
    <mergeCell ref="S143:T143"/>
    <mergeCell ref="B144:C144"/>
    <mergeCell ref="E144:F144"/>
    <mergeCell ref="G144:H144"/>
    <mergeCell ref="I144:K144"/>
    <mergeCell ref="L144:N144"/>
    <mergeCell ref="O144:P144"/>
    <mergeCell ref="Q144:R144"/>
    <mergeCell ref="S144:T144"/>
    <mergeCell ref="B149:C149"/>
    <mergeCell ref="E149:F149"/>
    <mergeCell ref="G149:H149"/>
    <mergeCell ref="I149:K149"/>
    <mergeCell ref="L149:N149"/>
    <mergeCell ref="O149:P149"/>
    <mergeCell ref="Q149:R149"/>
    <mergeCell ref="S149:T149"/>
    <mergeCell ref="B150:C150"/>
    <mergeCell ref="E150:F150"/>
    <mergeCell ref="G150:H150"/>
    <mergeCell ref="I150:K150"/>
    <mergeCell ref="L150:N150"/>
    <mergeCell ref="O150:P150"/>
    <mergeCell ref="Q150:R150"/>
    <mergeCell ref="S150:T150"/>
    <mergeCell ref="B147:C147"/>
    <mergeCell ref="E147:F147"/>
    <mergeCell ref="G147:H147"/>
    <mergeCell ref="I147:K147"/>
    <mergeCell ref="L147:N147"/>
    <mergeCell ref="O147:P147"/>
    <mergeCell ref="Q147:R147"/>
    <mergeCell ref="S147:T147"/>
    <mergeCell ref="B148:C148"/>
    <mergeCell ref="E148:F148"/>
    <mergeCell ref="G148:H148"/>
    <mergeCell ref="I148:K148"/>
    <mergeCell ref="L148:N148"/>
    <mergeCell ref="O148:P148"/>
    <mergeCell ref="Q148:R148"/>
    <mergeCell ref="S148:T148"/>
    <mergeCell ref="B153:C153"/>
    <mergeCell ref="E153:F153"/>
    <mergeCell ref="G153:H153"/>
    <mergeCell ref="I153:K153"/>
    <mergeCell ref="L153:N153"/>
    <mergeCell ref="O153:P153"/>
    <mergeCell ref="Q153:R153"/>
    <mergeCell ref="S153:T153"/>
    <mergeCell ref="B154:C154"/>
    <mergeCell ref="E154:F154"/>
    <mergeCell ref="G154:H154"/>
    <mergeCell ref="I154:K154"/>
    <mergeCell ref="L154:N154"/>
    <mergeCell ref="O154:P154"/>
    <mergeCell ref="Q154:R154"/>
    <mergeCell ref="S154:T154"/>
    <mergeCell ref="B151:C151"/>
    <mergeCell ref="E151:F151"/>
    <mergeCell ref="G151:H151"/>
    <mergeCell ref="I151:K151"/>
    <mergeCell ref="L151:N151"/>
    <mergeCell ref="O151:P151"/>
    <mergeCell ref="Q151:R151"/>
    <mergeCell ref="S151:T151"/>
    <mergeCell ref="B152:C152"/>
    <mergeCell ref="E152:F152"/>
    <mergeCell ref="G152:H152"/>
    <mergeCell ref="I152:K152"/>
    <mergeCell ref="L152:N152"/>
    <mergeCell ref="O152:P152"/>
    <mergeCell ref="Q152:R152"/>
    <mergeCell ref="S152:T152"/>
    <mergeCell ref="B157:C157"/>
    <mergeCell ref="E157:F157"/>
    <mergeCell ref="G157:H157"/>
    <mergeCell ref="I157:K157"/>
    <mergeCell ref="L157:N157"/>
    <mergeCell ref="O157:P157"/>
    <mergeCell ref="Q157:R157"/>
    <mergeCell ref="S157:T157"/>
    <mergeCell ref="B158:C158"/>
    <mergeCell ref="E158:F158"/>
    <mergeCell ref="G158:H158"/>
    <mergeCell ref="I158:K158"/>
    <mergeCell ref="L158:N158"/>
    <mergeCell ref="O158:P158"/>
    <mergeCell ref="Q158:R158"/>
    <mergeCell ref="S158:T158"/>
    <mergeCell ref="B155:C155"/>
    <mergeCell ref="E155:F155"/>
    <mergeCell ref="G155:H155"/>
    <mergeCell ref="I155:K155"/>
    <mergeCell ref="L155:N155"/>
    <mergeCell ref="O155:P155"/>
    <mergeCell ref="Q155:R155"/>
    <mergeCell ref="S155:T155"/>
    <mergeCell ref="B156:C156"/>
    <mergeCell ref="E156:F156"/>
    <mergeCell ref="G156:H156"/>
    <mergeCell ref="I156:K156"/>
    <mergeCell ref="L156:N156"/>
    <mergeCell ref="O156:P156"/>
    <mergeCell ref="Q156:R156"/>
    <mergeCell ref="S156:T156"/>
    <mergeCell ref="B161:C161"/>
    <mergeCell ref="E161:F161"/>
    <mergeCell ref="G161:H161"/>
    <mergeCell ref="I161:K161"/>
    <mergeCell ref="L161:N161"/>
    <mergeCell ref="O161:P161"/>
    <mergeCell ref="Q161:R161"/>
    <mergeCell ref="S161:T161"/>
    <mergeCell ref="B162:C162"/>
    <mergeCell ref="E162:F162"/>
    <mergeCell ref="G162:H162"/>
    <mergeCell ref="I162:K162"/>
    <mergeCell ref="L162:N162"/>
    <mergeCell ref="O162:P162"/>
    <mergeCell ref="Q162:R162"/>
    <mergeCell ref="S162:T162"/>
    <mergeCell ref="B159:C159"/>
    <mergeCell ref="E159:F159"/>
    <mergeCell ref="G159:H159"/>
    <mergeCell ref="I159:K159"/>
    <mergeCell ref="L159:N159"/>
    <mergeCell ref="O159:P159"/>
    <mergeCell ref="Q159:R159"/>
    <mergeCell ref="S159:T159"/>
    <mergeCell ref="B160:C160"/>
    <mergeCell ref="E160:F160"/>
    <mergeCell ref="G160:H160"/>
    <mergeCell ref="I160:K160"/>
    <mergeCell ref="L160:N160"/>
    <mergeCell ref="O160:P160"/>
    <mergeCell ref="Q160:R160"/>
    <mergeCell ref="S160:T160"/>
    <mergeCell ref="B165:C165"/>
    <mergeCell ref="E165:F165"/>
    <mergeCell ref="G165:H165"/>
    <mergeCell ref="I165:K165"/>
    <mergeCell ref="L165:N165"/>
    <mergeCell ref="O165:P165"/>
    <mergeCell ref="Q165:R165"/>
    <mergeCell ref="S165:T165"/>
    <mergeCell ref="B166:C166"/>
    <mergeCell ref="E166:F166"/>
    <mergeCell ref="G166:H166"/>
    <mergeCell ref="I166:K166"/>
    <mergeCell ref="L166:N166"/>
    <mergeCell ref="O166:P166"/>
    <mergeCell ref="Q166:R166"/>
    <mergeCell ref="S166:T166"/>
    <mergeCell ref="B163:C163"/>
    <mergeCell ref="E163:F163"/>
    <mergeCell ref="G163:H163"/>
    <mergeCell ref="I163:K163"/>
    <mergeCell ref="L163:N163"/>
    <mergeCell ref="O163:P163"/>
    <mergeCell ref="Q163:R163"/>
    <mergeCell ref="S163:T163"/>
    <mergeCell ref="B164:C164"/>
    <mergeCell ref="E164:F164"/>
    <mergeCell ref="G164:H164"/>
    <mergeCell ref="I164:K164"/>
    <mergeCell ref="L164:N164"/>
    <mergeCell ref="O164:P164"/>
    <mergeCell ref="Q164:R164"/>
    <mergeCell ref="S164:T164"/>
    <mergeCell ref="B169:C169"/>
    <mergeCell ref="E169:F169"/>
    <mergeCell ref="G169:H169"/>
    <mergeCell ref="I169:K169"/>
    <mergeCell ref="L169:N169"/>
    <mergeCell ref="O169:P169"/>
    <mergeCell ref="Q169:R169"/>
    <mergeCell ref="S169:T169"/>
    <mergeCell ref="B170:C170"/>
    <mergeCell ref="E170:F170"/>
    <mergeCell ref="G170:H170"/>
    <mergeCell ref="I170:K170"/>
    <mergeCell ref="L170:N170"/>
    <mergeCell ref="O170:P170"/>
    <mergeCell ref="Q170:R170"/>
    <mergeCell ref="S170:T170"/>
    <mergeCell ref="B167:C167"/>
    <mergeCell ref="E167:F167"/>
    <mergeCell ref="G167:H167"/>
    <mergeCell ref="I167:K167"/>
    <mergeCell ref="L167:N167"/>
    <mergeCell ref="O167:P167"/>
    <mergeCell ref="Q167:R167"/>
    <mergeCell ref="S167:T167"/>
    <mergeCell ref="B168:C168"/>
    <mergeCell ref="E168:F168"/>
    <mergeCell ref="G168:H168"/>
    <mergeCell ref="I168:K168"/>
    <mergeCell ref="L168:N168"/>
    <mergeCell ref="O168:P168"/>
    <mergeCell ref="Q168:R168"/>
    <mergeCell ref="S168:T168"/>
    <mergeCell ref="B173:C173"/>
    <mergeCell ref="E173:F173"/>
    <mergeCell ref="G173:H173"/>
    <mergeCell ref="I173:K173"/>
    <mergeCell ref="L173:N173"/>
    <mergeCell ref="O173:P173"/>
    <mergeCell ref="Q173:R173"/>
    <mergeCell ref="S173:T173"/>
    <mergeCell ref="B174:C174"/>
    <mergeCell ref="E174:F174"/>
    <mergeCell ref="G174:H174"/>
    <mergeCell ref="I174:K174"/>
    <mergeCell ref="L174:N174"/>
    <mergeCell ref="O174:P174"/>
    <mergeCell ref="Q174:R174"/>
    <mergeCell ref="S174:T174"/>
    <mergeCell ref="B171:C171"/>
    <mergeCell ref="E171:F171"/>
    <mergeCell ref="G171:H171"/>
    <mergeCell ref="I171:K171"/>
    <mergeCell ref="L171:N171"/>
    <mergeCell ref="O171:P171"/>
    <mergeCell ref="Q171:R171"/>
    <mergeCell ref="S171:T171"/>
    <mergeCell ref="B172:C172"/>
    <mergeCell ref="E172:F172"/>
    <mergeCell ref="G172:H172"/>
    <mergeCell ref="I172:K172"/>
    <mergeCell ref="L172:N172"/>
    <mergeCell ref="O172:P172"/>
    <mergeCell ref="Q172:R172"/>
    <mergeCell ref="S172:T172"/>
    <mergeCell ref="B177:C177"/>
    <mergeCell ref="E177:F177"/>
    <mergeCell ref="G177:H177"/>
    <mergeCell ref="I177:K177"/>
    <mergeCell ref="L177:N177"/>
    <mergeCell ref="O177:P177"/>
    <mergeCell ref="Q177:R177"/>
    <mergeCell ref="S177:T177"/>
    <mergeCell ref="B178:C178"/>
    <mergeCell ref="E178:F178"/>
    <mergeCell ref="G178:H178"/>
    <mergeCell ref="I178:K178"/>
    <mergeCell ref="L178:N178"/>
    <mergeCell ref="O178:P178"/>
    <mergeCell ref="Q178:R178"/>
    <mergeCell ref="S178:T178"/>
    <mergeCell ref="B175:C175"/>
    <mergeCell ref="E175:F175"/>
    <mergeCell ref="G175:H175"/>
    <mergeCell ref="I175:K175"/>
    <mergeCell ref="L175:N175"/>
    <mergeCell ref="O175:P175"/>
    <mergeCell ref="Q175:R175"/>
    <mergeCell ref="S175:T175"/>
    <mergeCell ref="B176:C176"/>
    <mergeCell ref="E176:F176"/>
    <mergeCell ref="G176:H176"/>
    <mergeCell ref="I176:K176"/>
    <mergeCell ref="L176:N176"/>
    <mergeCell ref="O176:P176"/>
    <mergeCell ref="Q176:R176"/>
    <mergeCell ref="S176:T176"/>
    <mergeCell ref="B181:C181"/>
    <mergeCell ref="E181:F181"/>
    <mergeCell ref="G181:H181"/>
    <mergeCell ref="I181:K181"/>
    <mergeCell ref="L181:N181"/>
    <mergeCell ref="O181:P181"/>
    <mergeCell ref="Q181:R181"/>
    <mergeCell ref="S181:T181"/>
    <mergeCell ref="B182:C182"/>
    <mergeCell ref="E182:F182"/>
    <mergeCell ref="G182:H182"/>
    <mergeCell ref="I182:K182"/>
    <mergeCell ref="L182:N182"/>
    <mergeCell ref="O182:P182"/>
    <mergeCell ref="Q182:R182"/>
    <mergeCell ref="S182:T182"/>
    <mergeCell ref="B179:C179"/>
    <mergeCell ref="E179:F179"/>
    <mergeCell ref="G179:H179"/>
    <mergeCell ref="I179:K179"/>
    <mergeCell ref="L179:N179"/>
    <mergeCell ref="O179:P179"/>
    <mergeCell ref="Q179:R179"/>
    <mergeCell ref="S179:T179"/>
    <mergeCell ref="B180:C180"/>
    <mergeCell ref="E180:F180"/>
    <mergeCell ref="G180:H180"/>
    <mergeCell ref="I180:K180"/>
    <mergeCell ref="L180:N180"/>
    <mergeCell ref="O180:P180"/>
    <mergeCell ref="Q180:R180"/>
    <mergeCell ref="S180:T180"/>
    <mergeCell ref="B185:C185"/>
    <mergeCell ref="E185:F185"/>
    <mergeCell ref="G185:H185"/>
    <mergeCell ref="I185:K185"/>
    <mergeCell ref="L185:N185"/>
    <mergeCell ref="O185:P185"/>
    <mergeCell ref="Q185:R185"/>
    <mergeCell ref="S185:T185"/>
    <mergeCell ref="B186:C186"/>
    <mergeCell ref="E186:F186"/>
    <mergeCell ref="G186:H186"/>
    <mergeCell ref="I186:K186"/>
    <mergeCell ref="L186:N186"/>
    <mergeCell ref="O186:P186"/>
    <mergeCell ref="Q186:R186"/>
    <mergeCell ref="S186:T186"/>
    <mergeCell ref="B183:C183"/>
    <mergeCell ref="E183:F183"/>
    <mergeCell ref="G183:H183"/>
    <mergeCell ref="I183:K183"/>
    <mergeCell ref="L183:N183"/>
    <mergeCell ref="O183:P183"/>
    <mergeCell ref="Q183:R183"/>
    <mergeCell ref="S183:T183"/>
    <mergeCell ref="B184:C184"/>
    <mergeCell ref="E184:F184"/>
    <mergeCell ref="G184:H184"/>
    <mergeCell ref="I184:K184"/>
    <mergeCell ref="L184:N184"/>
    <mergeCell ref="O184:P184"/>
    <mergeCell ref="Q184:R184"/>
    <mergeCell ref="S184:T184"/>
    <mergeCell ref="B191:C192"/>
    <mergeCell ref="D191:D192"/>
    <mergeCell ref="E191:F192"/>
    <mergeCell ref="G191:H192"/>
    <mergeCell ref="I191:K191"/>
    <mergeCell ref="L191:N191"/>
    <mergeCell ref="O191:P192"/>
    <mergeCell ref="Q191:R192"/>
    <mergeCell ref="S191:T192"/>
    <mergeCell ref="I192:K192"/>
    <mergeCell ref="L192:N192"/>
    <mergeCell ref="B187:C187"/>
    <mergeCell ref="E187:F187"/>
    <mergeCell ref="G187:H187"/>
    <mergeCell ref="I187:K187"/>
    <mergeCell ref="L187:N187"/>
    <mergeCell ref="O187:P187"/>
    <mergeCell ref="Q187:R187"/>
    <mergeCell ref="S187:T187"/>
    <mergeCell ref="B188:C188"/>
    <mergeCell ref="E188:F188"/>
    <mergeCell ref="G188:H188"/>
    <mergeCell ref="I188:K188"/>
    <mergeCell ref="L188:N188"/>
    <mergeCell ref="O188:P188"/>
    <mergeCell ref="Q188:R188"/>
    <mergeCell ref="S188:T188"/>
    <mergeCell ref="B195:C195"/>
    <mergeCell ref="E195:F195"/>
    <mergeCell ref="G195:H195"/>
    <mergeCell ref="I195:K195"/>
    <mergeCell ref="L195:N195"/>
    <mergeCell ref="O195:P195"/>
    <mergeCell ref="Q195:R195"/>
    <mergeCell ref="S195:T195"/>
    <mergeCell ref="B196:C196"/>
    <mergeCell ref="E196:F196"/>
    <mergeCell ref="G196:H196"/>
    <mergeCell ref="I196:K196"/>
    <mergeCell ref="L196:N196"/>
    <mergeCell ref="O196:P196"/>
    <mergeCell ref="Q196:R196"/>
    <mergeCell ref="S196:T196"/>
    <mergeCell ref="B193:C193"/>
    <mergeCell ref="E193:F193"/>
    <mergeCell ref="G193:H193"/>
    <mergeCell ref="I193:K193"/>
    <mergeCell ref="L193:N193"/>
    <mergeCell ref="O193:P193"/>
    <mergeCell ref="Q193:R193"/>
    <mergeCell ref="S193:T193"/>
    <mergeCell ref="B194:C194"/>
    <mergeCell ref="E194:F194"/>
    <mergeCell ref="G194:H194"/>
    <mergeCell ref="I194:K194"/>
    <mergeCell ref="L194:N194"/>
    <mergeCell ref="O194:P194"/>
    <mergeCell ref="Q194:R194"/>
    <mergeCell ref="S194:T194"/>
    <mergeCell ref="B199:C199"/>
    <mergeCell ref="E199:F199"/>
    <mergeCell ref="G199:H199"/>
    <mergeCell ref="I199:K199"/>
    <mergeCell ref="L199:N199"/>
    <mergeCell ref="O199:P199"/>
    <mergeCell ref="Q199:R199"/>
    <mergeCell ref="S199:T199"/>
    <mergeCell ref="B200:C200"/>
    <mergeCell ref="E200:F200"/>
    <mergeCell ref="G200:H200"/>
    <mergeCell ref="I200:K200"/>
    <mergeCell ref="L200:N200"/>
    <mergeCell ref="O200:P200"/>
    <mergeCell ref="Q200:R200"/>
    <mergeCell ref="S200:T200"/>
    <mergeCell ref="B197:C197"/>
    <mergeCell ref="E197:F197"/>
    <mergeCell ref="G197:H197"/>
    <mergeCell ref="I197:K197"/>
    <mergeCell ref="L197:N197"/>
    <mergeCell ref="O197:P197"/>
    <mergeCell ref="Q197:R197"/>
    <mergeCell ref="S197:T197"/>
    <mergeCell ref="B198:C198"/>
    <mergeCell ref="E198:F198"/>
    <mergeCell ref="G198:H198"/>
    <mergeCell ref="I198:K198"/>
    <mergeCell ref="L198:N198"/>
    <mergeCell ref="O198:P198"/>
    <mergeCell ref="Q198:R198"/>
    <mergeCell ref="S198:T198"/>
    <mergeCell ref="B203:C203"/>
    <mergeCell ref="E203:F203"/>
    <mergeCell ref="G203:H203"/>
    <mergeCell ref="I203:K203"/>
    <mergeCell ref="L203:N203"/>
    <mergeCell ref="O203:P203"/>
    <mergeCell ref="Q203:R203"/>
    <mergeCell ref="S203:T203"/>
    <mergeCell ref="B204:C204"/>
    <mergeCell ref="E204:F204"/>
    <mergeCell ref="G204:H204"/>
    <mergeCell ref="I204:K204"/>
    <mergeCell ref="L204:N204"/>
    <mergeCell ref="O204:P204"/>
    <mergeCell ref="Q204:R204"/>
    <mergeCell ref="S204:T204"/>
    <mergeCell ref="B201:C201"/>
    <mergeCell ref="E201:F201"/>
    <mergeCell ref="G201:H201"/>
    <mergeCell ref="I201:K201"/>
    <mergeCell ref="L201:N201"/>
    <mergeCell ref="O201:P201"/>
    <mergeCell ref="Q201:R201"/>
    <mergeCell ref="S201:T201"/>
    <mergeCell ref="B202:C202"/>
    <mergeCell ref="E202:F202"/>
    <mergeCell ref="G202:H202"/>
    <mergeCell ref="I202:K202"/>
    <mergeCell ref="L202:N202"/>
    <mergeCell ref="O202:P202"/>
    <mergeCell ref="Q202:R202"/>
    <mergeCell ref="S202:T202"/>
    <mergeCell ref="B207:C207"/>
    <mergeCell ref="E207:F207"/>
    <mergeCell ref="G207:H207"/>
    <mergeCell ref="I207:K207"/>
    <mergeCell ref="L207:N207"/>
    <mergeCell ref="O207:P207"/>
    <mergeCell ref="Q207:R207"/>
    <mergeCell ref="S207:T207"/>
    <mergeCell ref="B208:C208"/>
    <mergeCell ref="E208:F208"/>
    <mergeCell ref="G208:H208"/>
    <mergeCell ref="I208:K208"/>
    <mergeCell ref="L208:N208"/>
    <mergeCell ref="O208:P208"/>
    <mergeCell ref="Q208:R208"/>
    <mergeCell ref="S208:T208"/>
    <mergeCell ref="B205:C205"/>
    <mergeCell ref="E205:F205"/>
    <mergeCell ref="G205:H205"/>
    <mergeCell ref="I205:K205"/>
    <mergeCell ref="L205:N205"/>
    <mergeCell ref="O205:P205"/>
    <mergeCell ref="Q205:R205"/>
    <mergeCell ref="S205:T205"/>
    <mergeCell ref="B206:C206"/>
    <mergeCell ref="E206:F206"/>
    <mergeCell ref="G206:H206"/>
    <mergeCell ref="I206:K206"/>
    <mergeCell ref="L206:N206"/>
    <mergeCell ref="O206:P206"/>
    <mergeCell ref="Q206:R206"/>
    <mergeCell ref="S206:T206"/>
    <mergeCell ref="B211:C211"/>
    <mergeCell ref="E211:F211"/>
    <mergeCell ref="G211:H211"/>
    <mergeCell ref="I211:K211"/>
    <mergeCell ref="L211:N211"/>
    <mergeCell ref="O211:P211"/>
    <mergeCell ref="Q211:R211"/>
    <mergeCell ref="S211:T211"/>
    <mergeCell ref="B212:C212"/>
    <mergeCell ref="E212:F212"/>
    <mergeCell ref="G212:H212"/>
    <mergeCell ref="I212:K212"/>
    <mergeCell ref="L212:N212"/>
    <mergeCell ref="O212:P212"/>
    <mergeCell ref="Q212:R212"/>
    <mergeCell ref="S212:T212"/>
    <mergeCell ref="B209:C209"/>
    <mergeCell ref="E209:F209"/>
    <mergeCell ref="G209:H209"/>
    <mergeCell ref="I209:K209"/>
    <mergeCell ref="L209:N209"/>
    <mergeCell ref="O209:P209"/>
    <mergeCell ref="Q209:R209"/>
    <mergeCell ref="S209:T209"/>
    <mergeCell ref="B210:C210"/>
    <mergeCell ref="E210:F210"/>
    <mergeCell ref="G210:H210"/>
    <mergeCell ref="I210:K210"/>
    <mergeCell ref="L210:N210"/>
    <mergeCell ref="O210:P210"/>
    <mergeCell ref="Q210:R210"/>
    <mergeCell ref="S210:T210"/>
    <mergeCell ref="B215:C215"/>
    <mergeCell ref="E215:F215"/>
    <mergeCell ref="G215:H215"/>
    <mergeCell ref="I215:K215"/>
    <mergeCell ref="L215:N215"/>
    <mergeCell ref="O215:P215"/>
    <mergeCell ref="Q215:R215"/>
    <mergeCell ref="S215:T215"/>
    <mergeCell ref="B216:C216"/>
    <mergeCell ref="E216:F216"/>
    <mergeCell ref="G216:H216"/>
    <mergeCell ref="I216:K216"/>
    <mergeCell ref="L216:N216"/>
    <mergeCell ref="O216:P216"/>
    <mergeCell ref="Q216:R216"/>
    <mergeCell ref="S216:T216"/>
    <mergeCell ref="B213:C213"/>
    <mergeCell ref="E213:F213"/>
    <mergeCell ref="G213:H213"/>
    <mergeCell ref="I213:K213"/>
    <mergeCell ref="L213:N213"/>
    <mergeCell ref="O213:P213"/>
    <mergeCell ref="Q213:R213"/>
    <mergeCell ref="S213:T213"/>
    <mergeCell ref="B214:C214"/>
    <mergeCell ref="E214:F214"/>
    <mergeCell ref="G214:H214"/>
    <mergeCell ref="I214:K214"/>
    <mergeCell ref="L214:N214"/>
    <mergeCell ref="O214:P214"/>
    <mergeCell ref="Q214:R214"/>
    <mergeCell ref="S214:T214"/>
    <mergeCell ref="B219:C219"/>
    <mergeCell ref="E219:F219"/>
    <mergeCell ref="G219:H219"/>
    <mergeCell ref="I219:K219"/>
    <mergeCell ref="L219:N219"/>
    <mergeCell ref="O219:P219"/>
    <mergeCell ref="Q219:R219"/>
    <mergeCell ref="S219:T219"/>
    <mergeCell ref="B220:C220"/>
    <mergeCell ref="E220:F220"/>
    <mergeCell ref="G220:H220"/>
    <mergeCell ref="I220:K220"/>
    <mergeCell ref="L220:N220"/>
    <mergeCell ref="O220:P220"/>
    <mergeCell ref="Q220:R220"/>
    <mergeCell ref="S220:T220"/>
    <mergeCell ref="B217:C217"/>
    <mergeCell ref="E217:F217"/>
    <mergeCell ref="G217:H217"/>
    <mergeCell ref="I217:K217"/>
    <mergeCell ref="L217:N217"/>
    <mergeCell ref="O217:P217"/>
    <mergeCell ref="Q217:R217"/>
    <mergeCell ref="S217:T217"/>
    <mergeCell ref="B218:C218"/>
    <mergeCell ref="E218:F218"/>
    <mergeCell ref="G218:H218"/>
    <mergeCell ref="I218:K218"/>
    <mergeCell ref="L218:N218"/>
    <mergeCell ref="O218:P218"/>
    <mergeCell ref="Q218:R218"/>
    <mergeCell ref="S218:T218"/>
    <mergeCell ref="B223:C223"/>
    <mergeCell ref="E223:F223"/>
    <mergeCell ref="G223:H223"/>
    <mergeCell ref="I223:K223"/>
    <mergeCell ref="L223:N223"/>
    <mergeCell ref="O223:P223"/>
    <mergeCell ref="Q223:R223"/>
    <mergeCell ref="S223:T223"/>
    <mergeCell ref="B224:C224"/>
    <mergeCell ref="E224:F224"/>
    <mergeCell ref="G224:H224"/>
    <mergeCell ref="I224:K224"/>
    <mergeCell ref="L224:N224"/>
    <mergeCell ref="O224:P224"/>
    <mergeCell ref="Q224:R224"/>
    <mergeCell ref="S224:T224"/>
    <mergeCell ref="B221:C221"/>
    <mergeCell ref="E221:F221"/>
    <mergeCell ref="G221:H221"/>
    <mergeCell ref="I221:K221"/>
    <mergeCell ref="L221:N221"/>
    <mergeCell ref="O221:P221"/>
    <mergeCell ref="Q221:R221"/>
    <mergeCell ref="S221:T221"/>
    <mergeCell ref="B222:C222"/>
    <mergeCell ref="E222:F222"/>
    <mergeCell ref="G222:H222"/>
    <mergeCell ref="I222:K222"/>
    <mergeCell ref="L222:N222"/>
    <mergeCell ref="O222:P222"/>
    <mergeCell ref="Q222:R222"/>
    <mergeCell ref="S222:T222"/>
    <mergeCell ref="B227:C227"/>
    <mergeCell ref="E227:F227"/>
    <mergeCell ref="G227:H227"/>
    <mergeCell ref="I227:K227"/>
    <mergeCell ref="L227:N227"/>
    <mergeCell ref="O227:P227"/>
    <mergeCell ref="Q227:R227"/>
    <mergeCell ref="S227:T227"/>
    <mergeCell ref="B228:C228"/>
    <mergeCell ref="E228:F228"/>
    <mergeCell ref="G228:H228"/>
    <mergeCell ref="I228:K228"/>
    <mergeCell ref="L228:N228"/>
    <mergeCell ref="O228:P228"/>
    <mergeCell ref="Q228:R228"/>
    <mergeCell ref="S228:T228"/>
    <mergeCell ref="B225:C225"/>
    <mergeCell ref="E225:F225"/>
    <mergeCell ref="G225:H225"/>
    <mergeCell ref="I225:K225"/>
    <mergeCell ref="L225:N225"/>
    <mergeCell ref="O225:P225"/>
    <mergeCell ref="Q225:R225"/>
    <mergeCell ref="S225:T225"/>
    <mergeCell ref="B226:C226"/>
    <mergeCell ref="E226:F226"/>
    <mergeCell ref="G226:H226"/>
    <mergeCell ref="I226:K226"/>
    <mergeCell ref="L226:N226"/>
    <mergeCell ref="O226:P226"/>
    <mergeCell ref="Q226:R226"/>
    <mergeCell ref="S226:T226"/>
    <mergeCell ref="B231:C231"/>
    <mergeCell ref="E231:F231"/>
    <mergeCell ref="G231:H231"/>
    <mergeCell ref="I231:K231"/>
    <mergeCell ref="L231:N231"/>
    <mergeCell ref="O231:P231"/>
    <mergeCell ref="Q231:R231"/>
    <mergeCell ref="S231:T231"/>
    <mergeCell ref="B232:C232"/>
    <mergeCell ref="E232:F232"/>
    <mergeCell ref="G232:H232"/>
    <mergeCell ref="I232:K232"/>
    <mergeCell ref="L232:N232"/>
    <mergeCell ref="O232:P232"/>
    <mergeCell ref="Q232:R232"/>
    <mergeCell ref="S232:T232"/>
    <mergeCell ref="B229:C229"/>
    <mergeCell ref="E229:F229"/>
    <mergeCell ref="G229:H229"/>
    <mergeCell ref="I229:K229"/>
    <mergeCell ref="L229:N229"/>
    <mergeCell ref="O229:P229"/>
    <mergeCell ref="Q229:R229"/>
    <mergeCell ref="S229:T229"/>
    <mergeCell ref="B230:C230"/>
    <mergeCell ref="E230:F230"/>
    <mergeCell ref="G230:H230"/>
    <mergeCell ref="I230:K230"/>
    <mergeCell ref="L230:N230"/>
    <mergeCell ref="O230:P230"/>
    <mergeCell ref="Q230:R230"/>
    <mergeCell ref="S230:T230"/>
    <mergeCell ref="B235:C235"/>
    <mergeCell ref="E235:F235"/>
    <mergeCell ref="G235:H235"/>
    <mergeCell ref="I235:K235"/>
    <mergeCell ref="L235:N235"/>
    <mergeCell ref="O235:P235"/>
    <mergeCell ref="Q235:R235"/>
    <mergeCell ref="S235:T235"/>
    <mergeCell ref="B236:C236"/>
    <mergeCell ref="E236:F236"/>
    <mergeCell ref="G236:H236"/>
    <mergeCell ref="I236:K236"/>
    <mergeCell ref="L236:N236"/>
    <mergeCell ref="O236:P236"/>
    <mergeCell ref="Q236:R236"/>
    <mergeCell ref="S236:T236"/>
    <mergeCell ref="B233:C233"/>
    <mergeCell ref="E233:F233"/>
    <mergeCell ref="G233:H233"/>
    <mergeCell ref="I233:K233"/>
    <mergeCell ref="L233:N233"/>
    <mergeCell ref="O233:P233"/>
    <mergeCell ref="Q233:R233"/>
    <mergeCell ref="S233:T233"/>
    <mergeCell ref="B234:C234"/>
    <mergeCell ref="E234:F234"/>
    <mergeCell ref="G234:H234"/>
    <mergeCell ref="I234:K234"/>
    <mergeCell ref="L234:N234"/>
    <mergeCell ref="O234:P234"/>
    <mergeCell ref="Q234:R234"/>
    <mergeCell ref="S234:T234"/>
    <mergeCell ref="B239:C239"/>
    <mergeCell ref="E239:F239"/>
    <mergeCell ref="G239:H239"/>
    <mergeCell ref="I239:K239"/>
    <mergeCell ref="L239:N239"/>
    <mergeCell ref="O239:P239"/>
    <mergeCell ref="Q239:R239"/>
    <mergeCell ref="S239:T239"/>
    <mergeCell ref="B240:C240"/>
    <mergeCell ref="E240:F240"/>
    <mergeCell ref="G240:H240"/>
    <mergeCell ref="I240:K240"/>
    <mergeCell ref="L240:N240"/>
    <mergeCell ref="O240:P240"/>
    <mergeCell ref="Q240:R240"/>
    <mergeCell ref="S240:T240"/>
    <mergeCell ref="B237:C237"/>
    <mergeCell ref="E237:F237"/>
    <mergeCell ref="G237:H237"/>
    <mergeCell ref="I237:K237"/>
    <mergeCell ref="L237:N237"/>
    <mergeCell ref="O237:P237"/>
    <mergeCell ref="Q237:R237"/>
    <mergeCell ref="S237:T237"/>
    <mergeCell ref="B238:C238"/>
    <mergeCell ref="E238:F238"/>
    <mergeCell ref="G238:H238"/>
    <mergeCell ref="I238:K238"/>
    <mergeCell ref="L238:N238"/>
    <mergeCell ref="O238:P238"/>
    <mergeCell ref="Q238:R238"/>
    <mergeCell ref="S238:T238"/>
    <mergeCell ref="B243:C243"/>
    <mergeCell ref="E243:F243"/>
    <mergeCell ref="G243:H243"/>
    <mergeCell ref="I243:K243"/>
    <mergeCell ref="L243:N243"/>
    <mergeCell ref="O243:P243"/>
    <mergeCell ref="Q243:R243"/>
    <mergeCell ref="S243:T243"/>
    <mergeCell ref="B244:C244"/>
    <mergeCell ref="E244:F244"/>
    <mergeCell ref="G244:H244"/>
    <mergeCell ref="I244:K244"/>
    <mergeCell ref="L244:N244"/>
    <mergeCell ref="O244:P244"/>
    <mergeCell ref="Q244:R244"/>
    <mergeCell ref="S244:T244"/>
    <mergeCell ref="B241:C241"/>
    <mergeCell ref="E241:F241"/>
    <mergeCell ref="G241:H241"/>
    <mergeCell ref="I241:K241"/>
    <mergeCell ref="L241:N241"/>
    <mergeCell ref="O241:P241"/>
    <mergeCell ref="Q241:R241"/>
    <mergeCell ref="S241:T241"/>
    <mergeCell ref="B242:C242"/>
    <mergeCell ref="E242:F242"/>
    <mergeCell ref="G242:H242"/>
    <mergeCell ref="I242:K242"/>
    <mergeCell ref="L242:N242"/>
    <mergeCell ref="O242:P242"/>
    <mergeCell ref="Q242:R242"/>
    <mergeCell ref="S242:T242"/>
    <mergeCell ref="B247:C247"/>
    <mergeCell ref="E247:F247"/>
    <mergeCell ref="G247:H247"/>
    <mergeCell ref="I247:K247"/>
    <mergeCell ref="L247:N247"/>
    <mergeCell ref="O247:P247"/>
    <mergeCell ref="Q247:R247"/>
    <mergeCell ref="S247:T247"/>
    <mergeCell ref="B248:C248"/>
    <mergeCell ref="E248:F248"/>
    <mergeCell ref="G248:H248"/>
    <mergeCell ref="I248:K248"/>
    <mergeCell ref="L248:N248"/>
    <mergeCell ref="O248:P248"/>
    <mergeCell ref="Q248:R248"/>
    <mergeCell ref="S248:T248"/>
    <mergeCell ref="B245:C245"/>
    <mergeCell ref="E245:F245"/>
    <mergeCell ref="G245:H245"/>
    <mergeCell ref="I245:K245"/>
    <mergeCell ref="L245:N245"/>
    <mergeCell ref="O245:P245"/>
    <mergeCell ref="Q245:R245"/>
    <mergeCell ref="S245:T245"/>
    <mergeCell ref="B246:C246"/>
    <mergeCell ref="E246:F246"/>
    <mergeCell ref="G246:H246"/>
    <mergeCell ref="I246:K246"/>
    <mergeCell ref="L246:N246"/>
    <mergeCell ref="O246:P246"/>
    <mergeCell ref="Q246:R246"/>
    <mergeCell ref="S246:T246"/>
    <mergeCell ref="B253:C254"/>
    <mergeCell ref="D253:D254"/>
    <mergeCell ref="E253:F254"/>
    <mergeCell ref="G253:H254"/>
    <mergeCell ref="I253:K253"/>
    <mergeCell ref="L253:N253"/>
    <mergeCell ref="O253:P254"/>
    <mergeCell ref="Q253:R254"/>
    <mergeCell ref="S253:T254"/>
    <mergeCell ref="I254:K254"/>
    <mergeCell ref="L254:N254"/>
    <mergeCell ref="B249:C249"/>
    <mergeCell ref="E249:F249"/>
    <mergeCell ref="G249:H249"/>
    <mergeCell ref="I249:K249"/>
    <mergeCell ref="L249:N249"/>
    <mergeCell ref="O249:P249"/>
    <mergeCell ref="Q249:R249"/>
    <mergeCell ref="S249:T249"/>
    <mergeCell ref="B250:C250"/>
    <mergeCell ref="E250:F250"/>
    <mergeCell ref="G250:H250"/>
    <mergeCell ref="I250:K250"/>
    <mergeCell ref="L250:N250"/>
    <mergeCell ref="O250:P250"/>
    <mergeCell ref="Q250:R250"/>
    <mergeCell ref="S250:T250"/>
    <mergeCell ref="B257:C257"/>
    <mergeCell ref="E257:F257"/>
    <mergeCell ref="G257:H257"/>
    <mergeCell ref="I257:K257"/>
    <mergeCell ref="L257:N257"/>
    <mergeCell ref="O257:P257"/>
    <mergeCell ref="Q257:R257"/>
    <mergeCell ref="S257:T257"/>
    <mergeCell ref="B258:C258"/>
    <mergeCell ref="E258:F258"/>
    <mergeCell ref="G258:H258"/>
    <mergeCell ref="I258:K258"/>
    <mergeCell ref="L258:N258"/>
    <mergeCell ref="O258:P258"/>
    <mergeCell ref="Q258:R258"/>
    <mergeCell ref="S258:T258"/>
    <mergeCell ref="B255:C255"/>
    <mergeCell ref="E255:F255"/>
    <mergeCell ref="G255:H255"/>
    <mergeCell ref="I255:K255"/>
    <mergeCell ref="L255:N255"/>
    <mergeCell ref="O255:P255"/>
    <mergeCell ref="Q255:R255"/>
    <mergeCell ref="S255:T255"/>
    <mergeCell ref="B256:C256"/>
    <mergeCell ref="E256:F256"/>
    <mergeCell ref="G256:H256"/>
    <mergeCell ref="I256:K256"/>
    <mergeCell ref="L256:N256"/>
    <mergeCell ref="O256:P256"/>
    <mergeCell ref="Q256:R256"/>
    <mergeCell ref="S256:T256"/>
    <mergeCell ref="B261:C261"/>
    <mergeCell ref="E261:F261"/>
    <mergeCell ref="G261:H261"/>
    <mergeCell ref="I261:K261"/>
    <mergeCell ref="L261:N261"/>
    <mergeCell ref="O261:P261"/>
    <mergeCell ref="Q261:R261"/>
    <mergeCell ref="S261:T261"/>
    <mergeCell ref="B262:C262"/>
    <mergeCell ref="E262:F262"/>
    <mergeCell ref="G262:H262"/>
    <mergeCell ref="I262:K262"/>
    <mergeCell ref="L262:N262"/>
    <mergeCell ref="O262:P262"/>
    <mergeCell ref="Q262:R262"/>
    <mergeCell ref="S262:T262"/>
    <mergeCell ref="B259:C259"/>
    <mergeCell ref="E259:F259"/>
    <mergeCell ref="G259:H259"/>
    <mergeCell ref="I259:K259"/>
    <mergeCell ref="L259:N259"/>
    <mergeCell ref="O259:P259"/>
    <mergeCell ref="Q259:R259"/>
    <mergeCell ref="S259:T259"/>
    <mergeCell ref="B260:C260"/>
    <mergeCell ref="E260:F260"/>
    <mergeCell ref="G260:H260"/>
    <mergeCell ref="I260:K260"/>
    <mergeCell ref="L260:N260"/>
    <mergeCell ref="O260:P260"/>
    <mergeCell ref="Q260:R260"/>
    <mergeCell ref="S260:T260"/>
    <mergeCell ref="B265:C265"/>
    <mergeCell ref="E265:F265"/>
    <mergeCell ref="G265:H265"/>
    <mergeCell ref="I265:K265"/>
    <mergeCell ref="L265:N265"/>
    <mergeCell ref="O265:P265"/>
    <mergeCell ref="Q265:R265"/>
    <mergeCell ref="S265:T265"/>
    <mergeCell ref="B266:C266"/>
    <mergeCell ref="E266:F266"/>
    <mergeCell ref="G266:H266"/>
    <mergeCell ref="I266:K266"/>
    <mergeCell ref="L266:N266"/>
    <mergeCell ref="O266:P266"/>
    <mergeCell ref="Q266:R266"/>
    <mergeCell ref="S266:T266"/>
    <mergeCell ref="B263:C263"/>
    <mergeCell ref="E263:F263"/>
    <mergeCell ref="G263:H263"/>
    <mergeCell ref="I263:K263"/>
    <mergeCell ref="L263:N263"/>
    <mergeCell ref="O263:P263"/>
    <mergeCell ref="Q263:R263"/>
    <mergeCell ref="S263:T263"/>
    <mergeCell ref="B264:C264"/>
    <mergeCell ref="E264:F264"/>
    <mergeCell ref="G264:H264"/>
    <mergeCell ref="I264:K264"/>
    <mergeCell ref="L264:N264"/>
    <mergeCell ref="O264:P264"/>
    <mergeCell ref="Q264:R264"/>
    <mergeCell ref="S264:T264"/>
    <mergeCell ref="B269:C269"/>
    <mergeCell ref="E269:F269"/>
    <mergeCell ref="G269:H269"/>
    <mergeCell ref="I269:K269"/>
    <mergeCell ref="L269:N269"/>
    <mergeCell ref="O269:P269"/>
    <mergeCell ref="Q269:R269"/>
    <mergeCell ref="S269:T269"/>
    <mergeCell ref="B270:C270"/>
    <mergeCell ref="E270:F270"/>
    <mergeCell ref="G270:H270"/>
    <mergeCell ref="I270:K270"/>
    <mergeCell ref="L270:N270"/>
    <mergeCell ref="O270:P270"/>
    <mergeCell ref="Q270:R270"/>
    <mergeCell ref="S270:T270"/>
    <mergeCell ref="B267:C267"/>
    <mergeCell ref="E267:F267"/>
    <mergeCell ref="G267:H267"/>
    <mergeCell ref="I267:K267"/>
    <mergeCell ref="L267:N267"/>
    <mergeCell ref="O267:P267"/>
    <mergeCell ref="Q267:R267"/>
    <mergeCell ref="S267:T267"/>
    <mergeCell ref="B268:C268"/>
    <mergeCell ref="E268:F268"/>
    <mergeCell ref="G268:H268"/>
    <mergeCell ref="I268:K268"/>
    <mergeCell ref="L268:N268"/>
    <mergeCell ref="O268:P268"/>
    <mergeCell ref="Q268:R268"/>
    <mergeCell ref="S268:T268"/>
    <mergeCell ref="B273:C273"/>
    <mergeCell ref="E273:F273"/>
    <mergeCell ref="G273:H273"/>
    <mergeCell ref="I273:K273"/>
    <mergeCell ref="L273:N273"/>
    <mergeCell ref="O273:P273"/>
    <mergeCell ref="Q273:R273"/>
    <mergeCell ref="S273:T273"/>
    <mergeCell ref="B274:C274"/>
    <mergeCell ref="E274:F274"/>
    <mergeCell ref="G274:H274"/>
    <mergeCell ref="I274:K274"/>
    <mergeCell ref="L274:N274"/>
    <mergeCell ref="O274:P274"/>
    <mergeCell ref="Q274:R274"/>
    <mergeCell ref="S274:T274"/>
    <mergeCell ref="B271:C271"/>
    <mergeCell ref="E271:F271"/>
    <mergeCell ref="G271:H271"/>
    <mergeCell ref="I271:K271"/>
    <mergeCell ref="L271:N271"/>
    <mergeCell ref="O271:P271"/>
    <mergeCell ref="Q271:R271"/>
    <mergeCell ref="S271:T271"/>
    <mergeCell ref="B272:C272"/>
    <mergeCell ref="E272:F272"/>
    <mergeCell ref="G272:H272"/>
    <mergeCell ref="I272:K272"/>
    <mergeCell ref="L272:N272"/>
    <mergeCell ref="O272:P272"/>
    <mergeCell ref="Q272:R272"/>
    <mergeCell ref="S272:T272"/>
    <mergeCell ref="B277:C277"/>
    <mergeCell ref="E277:F277"/>
    <mergeCell ref="G277:H277"/>
    <mergeCell ref="I277:K277"/>
    <mergeCell ref="L277:N277"/>
    <mergeCell ref="O277:P277"/>
    <mergeCell ref="Q277:R277"/>
    <mergeCell ref="S277:T277"/>
    <mergeCell ref="B278:C278"/>
    <mergeCell ref="E278:F278"/>
    <mergeCell ref="G278:H278"/>
    <mergeCell ref="I278:K278"/>
    <mergeCell ref="L278:N278"/>
    <mergeCell ref="O278:P278"/>
    <mergeCell ref="Q278:R278"/>
    <mergeCell ref="S278:T278"/>
    <mergeCell ref="B275:C275"/>
    <mergeCell ref="E275:F275"/>
    <mergeCell ref="G275:H275"/>
    <mergeCell ref="I275:K275"/>
    <mergeCell ref="L275:N275"/>
    <mergeCell ref="O275:P275"/>
    <mergeCell ref="Q275:R275"/>
    <mergeCell ref="S275:T275"/>
    <mergeCell ref="B276:C276"/>
    <mergeCell ref="E276:F276"/>
    <mergeCell ref="G276:H276"/>
    <mergeCell ref="I276:K276"/>
    <mergeCell ref="L276:N276"/>
    <mergeCell ref="O276:P276"/>
    <mergeCell ref="Q276:R276"/>
    <mergeCell ref="S276:T276"/>
    <mergeCell ref="B281:C281"/>
    <mergeCell ref="E281:F281"/>
    <mergeCell ref="G281:H281"/>
    <mergeCell ref="I281:K281"/>
    <mergeCell ref="L281:N281"/>
    <mergeCell ref="O281:P281"/>
    <mergeCell ref="Q281:R281"/>
    <mergeCell ref="S281:T281"/>
    <mergeCell ref="B282:C282"/>
    <mergeCell ref="E282:F282"/>
    <mergeCell ref="G282:H282"/>
    <mergeCell ref="I282:K282"/>
    <mergeCell ref="L282:N282"/>
    <mergeCell ref="O282:P282"/>
    <mergeCell ref="Q282:R282"/>
    <mergeCell ref="S282:T282"/>
    <mergeCell ref="B279:C279"/>
    <mergeCell ref="E279:F279"/>
    <mergeCell ref="G279:H279"/>
    <mergeCell ref="I279:K279"/>
    <mergeCell ref="L279:N279"/>
    <mergeCell ref="O279:P279"/>
    <mergeCell ref="Q279:R279"/>
    <mergeCell ref="S279:T279"/>
    <mergeCell ref="B280:C280"/>
    <mergeCell ref="E280:F280"/>
    <mergeCell ref="G280:H280"/>
    <mergeCell ref="I280:K280"/>
    <mergeCell ref="L280:N280"/>
    <mergeCell ref="O280:P280"/>
    <mergeCell ref="Q280:R280"/>
    <mergeCell ref="S280:T280"/>
    <mergeCell ref="B285:C285"/>
    <mergeCell ref="E285:F285"/>
    <mergeCell ref="G285:H285"/>
    <mergeCell ref="I285:K285"/>
    <mergeCell ref="L285:N285"/>
    <mergeCell ref="O285:P285"/>
    <mergeCell ref="Q285:R285"/>
    <mergeCell ref="S285:T285"/>
    <mergeCell ref="B286:C286"/>
    <mergeCell ref="E286:F286"/>
    <mergeCell ref="G286:H286"/>
    <mergeCell ref="I286:K286"/>
    <mergeCell ref="L286:N286"/>
    <mergeCell ref="O286:P286"/>
    <mergeCell ref="Q286:R286"/>
    <mergeCell ref="S286:T286"/>
    <mergeCell ref="B283:C283"/>
    <mergeCell ref="E283:F283"/>
    <mergeCell ref="G283:H283"/>
    <mergeCell ref="I283:K283"/>
    <mergeCell ref="L283:N283"/>
    <mergeCell ref="O283:P283"/>
    <mergeCell ref="Q283:R283"/>
    <mergeCell ref="S283:T283"/>
    <mergeCell ref="B284:C284"/>
    <mergeCell ref="E284:F284"/>
    <mergeCell ref="G284:H284"/>
    <mergeCell ref="I284:K284"/>
    <mergeCell ref="L284:N284"/>
    <mergeCell ref="O284:P284"/>
    <mergeCell ref="Q284:R284"/>
    <mergeCell ref="S284:T284"/>
    <mergeCell ref="B289:C289"/>
    <mergeCell ref="E289:F289"/>
    <mergeCell ref="G289:H289"/>
    <mergeCell ref="I289:K289"/>
    <mergeCell ref="L289:N289"/>
    <mergeCell ref="O289:P289"/>
    <mergeCell ref="Q289:R289"/>
    <mergeCell ref="S289:T289"/>
    <mergeCell ref="B290:C290"/>
    <mergeCell ref="E290:F290"/>
    <mergeCell ref="G290:H290"/>
    <mergeCell ref="I290:K290"/>
    <mergeCell ref="L290:N290"/>
    <mergeCell ref="O290:P290"/>
    <mergeCell ref="Q290:R290"/>
    <mergeCell ref="S290:T290"/>
    <mergeCell ref="B287:C287"/>
    <mergeCell ref="E287:F287"/>
    <mergeCell ref="G287:H287"/>
    <mergeCell ref="I287:K287"/>
    <mergeCell ref="L287:N287"/>
    <mergeCell ref="O287:P287"/>
    <mergeCell ref="Q287:R287"/>
    <mergeCell ref="S287:T287"/>
    <mergeCell ref="B288:C288"/>
    <mergeCell ref="E288:F288"/>
    <mergeCell ref="G288:H288"/>
    <mergeCell ref="I288:K288"/>
    <mergeCell ref="L288:N288"/>
    <mergeCell ref="O288:P288"/>
    <mergeCell ref="Q288:R288"/>
    <mergeCell ref="S288:T288"/>
    <mergeCell ref="B293:C293"/>
    <mergeCell ref="E293:F293"/>
    <mergeCell ref="G293:H293"/>
    <mergeCell ref="I293:K293"/>
    <mergeCell ref="L293:N293"/>
    <mergeCell ref="O293:P293"/>
    <mergeCell ref="Q293:R293"/>
    <mergeCell ref="S293:T293"/>
    <mergeCell ref="B294:C294"/>
    <mergeCell ref="E294:F294"/>
    <mergeCell ref="G294:H294"/>
    <mergeCell ref="I294:K294"/>
    <mergeCell ref="L294:N294"/>
    <mergeCell ref="O294:P294"/>
    <mergeCell ref="Q294:R294"/>
    <mergeCell ref="S294:T294"/>
    <mergeCell ref="B291:C291"/>
    <mergeCell ref="E291:F291"/>
    <mergeCell ref="G291:H291"/>
    <mergeCell ref="I291:K291"/>
    <mergeCell ref="L291:N291"/>
    <mergeCell ref="O291:P291"/>
    <mergeCell ref="Q291:R291"/>
    <mergeCell ref="S291:T291"/>
    <mergeCell ref="B292:C292"/>
    <mergeCell ref="E292:F292"/>
    <mergeCell ref="G292:H292"/>
    <mergeCell ref="I292:K292"/>
    <mergeCell ref="L292:N292"/>
    <mergeCell ref="O292:P292"/>
    <mergeCell ref="Q292:R292"/>
    <mergeCell ref="S292:T292"/>
    <mergeCell ref="B297:C297"/>
    <mergeCell ref="E297:F297"/>
    <mergeCell ref="G297:H297"/>
    <mergeCell ref="I297:K297"/>
    <mergeCell ref="L297:N297"/>
    <mergeCell ref="O297:P297"/>
    <mergeCell ref="Q297:R297"/>
    <mergeCell ref="S297:T297"/>
    <mergeCell ref="B298:C298"/>
    <mergeCell ref="E298:F298"/>
    <mergeCell ref="G298:H298"/>
    <mergeCell ref="I298:K298"/>
    <mergeCell ref="L298:N298"/>
    <mergeCell ref="O298:P298"/>
    <mergeCell ref="Q298:R298"/>
    <mergeCell ref="S298:T298"/>
    <mergeCell ref="B295:C295"/>
    <mergeCell ref="E295:F295"/>
    <mergeCell ref="G295:H295"/>
    <mergeCell ref="I295:K295"/>
    <mergeCell ref="L295:N295"/>
    <mergeCell ref="O295:P295"/>
    <mergeCell ref="Q295:R295"/>
    <mergeCell ref="S295:T295"/>
    <mergeCell ref="B296:C296"/>
    <mergeCell ref="E296:F296"/>
    <mergeCell ref="G296:H296"/>
    <mergeCell ref="I296:K296"/>
    <mergeCell ref="L296:N296"/>
    <mergeCell ref="O296:P296"/>
    <mergeCell ref="Q296:R296"/>
    <mergeCell ref="S296:T296"/>
    <mergeCell ref="B301:C301"/>
    <mergeCell ref="E301:F301"/>
    <mergeCell ref="G301:H301"/>
    <mergeCell ref="I301:K301"/>
    <mergeCell ref="L301:N301"/>
    <mergeCell ref="O301:P301"/>
    <mergeCell ref="Q301:R301"/>
    <mergeCell ref="S301:T301"/>
    <mergeCell ref="B302:C302"/>
    <mergeCell ref="E302:F302"/>
    <mergeCell ref="G302:H302"/>
    <mergeCell ref="I302:K302"/>
    <mergeCell ref="L302:N302"/>
    <mergeCell ref="O302:P302"/>
    <mergeCell ref="Q302:R302"/>
    <mergeCell ref="S302:T302"/>
    <mergeCell ref="B299:C299"/>
    <mergeCell ref="E299:F299"/>
    <mergeCell ref="G299:H299"/>
    <mergeCell ref="I299:K299"/>
    <mergeCell ref="L299:N299"/>
    <mergeCell ref="O299:P299"/>
    <mergeCell ref="Q299:R299"/>
    <mergeCell ref="S299:T299"/>
    <mergeCell ref="B300:C300"/>
    <mergeCell ref="E300:F300"/>
    <mergeCell ref="G300:H300"/>
    <mergeCell ref="I300:K300"/>
    <mergeCell ref="L300:N300"/>
    <mergeCell ref="O300:P300"/>
    <mergeCell ref="Q300:R300"/>
    <mergeCell ref="S300:T300"/>
    <mergeCell ref="B305:C305"/>
    <mergeCell ref="E305:F305"/>
    <mergeCell ref="G305:H305"/>
    <mergeCell ref="I305:K305"/>
    <mergeCell ref="L305:N305"/>
    <mergeCell ref="O305:P305"/>
    <mergeCell ref="Q305:R305"/>
    <mergeCell ref="S305:T305"/>
    <mergeCell ref="B306:C306"/>
    <mergeCell ref="E306:F306"/>
    <mergeCell ref="G306:H306"/>
    <mergeCell ref="I306:K306"/>
    <mergeCell ref="L306:N306"/>
    <mergeCell ref="O306:P306"/>
    <mergeCell ref="Q306:R306"/>
    <mergeCell ref="S306:T306"/>
    <mergeCell ref="B303:C303"/>
    <mergeCell ref="E303:F303"/>
    <mergeCell ref="G303:H303"/>
    <mergeCell ref="I303:K303"/>
    <mergeCell ref="L303:N303"/>
    <mergeCell ref="O303:P303"/>
    <mergeCell ref="Q303:R303"/>
    <mergeCell ref="S303:T303"/>
    <mergeCell ref="B304:C304"/>
    <mergeCell ref="E304:F304"/>
    <mergeCell ref="G304:H304"/>
    <mergeCell ref="I304:K304"/>
    <mergeCell ref="L304:N304"/>
    <mergeCell ref="O304:P304"/>
    <mergeCell ref="Q304:R304"/>
    <mergeCell ref="S304:T304"/>
    <mergeCell ref="L310:N310"/>
    <mergeCell ref="O310:P310"/>
    <mergeCell ref="Q310:R310"/>
    <mergeCell ref="S310:T310"/>
    <mergeCell ref="B307:C307"/>
    <mergeCell ref="E307:F307"/>
    <mergeCell ref="G307:H307"/>
    <mergeCell ref="I307:K307"/>
    <mergeCell ref="L307:N307"/>
    <mergeCell ref="O307:P307"/>
    <mergeCell ref="Q307:R307"/>
    <mergeCell ref="S307:T307"/>
    <mergeCell ref="B308:C308"/>
    <mergeCell ref="E308:F308"/>
    <mergeCell ref="G308:H308"/>
    <mergeCell ref="I308:K308"/>
    <mergeCell ref="L308:N308"/>
    <mergeCell ref="O308:P308"/>
    <mergeCell ref="Q308:R308"/>
    <mergeCell ref="S308:T308"/>
    <mergeCell ref="W3:X4"/>
    <mergeCell ref="Y3:Z4"/>
    <mergeCell ref="W5:X5"/>
    <mergeCell ref="Y5:Z5"/>
    <mergeCell ref="B311:C311"/>
    <mergeCell ref="E311:F311"/>
    <mergeCell ref="G311:H311"/>
    <mergeCell ref="I311:K311"/>
    <mergeCell ref="L311:N311"/>
    <mergeCell ref="O311:P311"/>
    <mergeCell ref="Q311:R311"/>
    <mergeCell ref="S311:T311"/>
    <mergeCell ref="B312:C312"/>
    <mergeCell ref="E312:F312"/>
    <mergeCell ref="G312:H312"/>
    <mergeCell ref="I312:K312"/>
    <mergeCell ref="L312:N312"/>
    <mergeCell ref="O312:P312"/>
    <mergeCell ref="Q312:R312"/>
    <mergeCell ref="S312:T312"/>
    <mergeCell ref="B309:C309"/>
    <mergeCell ref="E309:F309"/>
    <mergeCell ref="G309:H309"/>
    <mergeCell ref="I309:K309"/>
    <mergeCell ref="L309:N309"/>
    <mergeCell ref="O309:P309"/>
    <mergeCell ref="Q309:R309"/>
    <mergeCell ref="S309:T309"/>
    <mergeCell ref="B310:C310"/>
    <mergeCell ref="E310:F310"/>
    <mergeCell ref="G310:H310"/>
    <mergeCell ref="I310:K310"/>
  </mergeCells>
  <conditionalFormatting sqref="O13:R64">
    <cfRule type="cellIs" dxfId="178" priority="9" operator="greaterThan">
      <formula>0.01</formula>
    </cfRule>
  </conditionalFormatting>
  <conditionalFormatting sqref="O69:R126">
    <cfRule type="cellIs" dxfId="177" priority="7" operator="greaterThan">
      <formula>0.01</formula>
    </cfRule>
  </conditionalFormatting>
  <conditionalFormatting sqref="O131:T188">
    <cfRule type="cellIs" dxfId="176" priority="6" operator="greaterThan">
      <formula>0.01</formula>
    </cfRule>
  </conditionalFormatting>
  <conditionalFormatting sqref="O193:T250">
    <cfRule type="cellIs" dxfId="175" priority="4" operator="greaterThan">
      <formula>0.01</formula>
    </cfRule>
  </conditionalFormatting>
  <conditionalFormatting sqref="O255:T288">
    <cfRule type="cellIs" dxfId="174" priority="2" operator="greaterThan">
      <formula>0.01</formula>
    </cfRule>
  </conditionalFormatting>
  <conditionalFormatting sqref="S13:T66 S69:T128">
    <cfRule type="cellIs" dxfId="173" priority="10" operator="greaterThan">
      <formula>0.01</formula>
    </cfRule>
  </conditionalFormatting>
  <conditionalFormatting sqref="S190:T190">
    <cfRule type="cellIs" dxfId="172" priority="5" operator="greaterThan">
      <formula>0.01</formula>
    </cfRule>
  </conditionalFormatting>
  <conditionalFormatting sqref="S252:T252">
    <cfRule type="cellIs" dxfId="171" priority="3" operator="greaterThan">
      <formula>0.01</formula>
    </cfRule>
  </conditionalFormatting>
  <conditionalFormatting sqref="W5:Z5">
    <cfRule type="cellIs" dxfId="170" priority="1" operator="greaterThan">
      <formula>0.01</formula>
    </cfRule>
  </conditionalFormatting>
  <printOptions horizontalCentered="1" verticalCentered="1"/>
  <pageMargins left="0.47244094488188981" right="0.47244094488188981" top="0.74803149606299213" bottom="0.74803149606299213" header="0.31496062992125984" footer="0.31496062992125984"/>
  <pageSetup scale="70" fitToWidth="0" fitToHeight="0" orientation="portrait" r:id="rId1"/>
  <rowBreaks count="1" manualBreakCount="1">
    <brk id="65" max="1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EB9AA-8057-4E0D-8EC0-A7233BB89CD3}">
  <dimension ref="A1:U127"/>
  <sheetViews>
    <sheetView workbookViewId="0">
      <selection sqref="A1:E3"/>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1"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21" x14ac:dyDescent="0.25">
      <c r="A3" s="214"/>
      <c r="B3" s="215"/>
      <c r="C3" s="215"/>
      <c r="D3" s="215"/>
      <c r="E3" s="216"/>
      <c r="F3" s="217" t="s">
        <v>1</v>
      </c>
      <c r="G3" s="210"/>
      <c r="H3" s="217" t="s">
        <v>553</v>
      </c>
      <c r="I3" s="209"/>
      <c r="J3" s="209"/>
      <c r="K3" s="209"/>
      <c r="L3" s="209"/>
      <c r="M3" s="209"/>
      <c r="N3" s="210"/>
      <c r="O3" s="217" t="s">
        <v>4</v>
      </c>
      <c r="P3" s="209"/>
      <c r="Q3" s="209" t="str">
        <f>'0. CARTA RESPONSABILIDAD'!Q3</f>
        <v>R0</v>
      </c>
      <c r="R3" s="209"/>
      <c r="S3" s="209"/>
      <c r="T3" s="209"/>
      <c r="U3" s="210"/>
    </row>
    <row r="4" spans="1:21" ht="13.9" x14ac:dyDescent="0.25">
      <c r="A4" s="2"/>
      <c r="B4" s="3"/>
      <c r="C4" s="3"/>
      <c r="D4" s="3"/>
      <c r="E4" s="3"/>
      <c r="F4" s="3"/>
      <c r="G4" s="3"/>
      <c r="H4" s="3"/>
      <c r="I4" s="3"/>
      <c r="J4" s="3"/>
      <c r="K4" s="3"/>
      <c r="L4" s="3"/>
      <c r="M4" s="3"/>
      <c r="N4" s="3"/>
      <c r="O4" s="3"/>
      <c r="P4" s="3"/>
      <c r="Q4" s="3"/>
      <c r="R4" s="3"/>
      <c r="S4" s="3"/>
      <c r="T4" s="3"/>
      <c r="U4" s="4"/>
    </row>
    <row r="5" spans="1:21" ht="13.9" customHeight="1" x14ac:dyDescent="0.25">
      <c r="A5" s="5"/>
      <c r="B5" s="314" t="s">
        <v>562</v>
      </c>
      <c r="C5" s="314"/>
      <c r="D5" s="314"/>
      <c r="E5" s="314"/>
      <c r="F5" s="314"/>
      <c r="G5" s="314"/>
      <c r="H5" s="314"/>
      <c r="I5" s="314"/>
      <c r="J5" s="314"/>
      <c r="K5" s="314"/>
      <c r="L5" s="314"/>
      <c r="M5" s="314"/>
      <c r="N5" s="314"/>
      <c r="O5" s="314"/>
      <c r="P5" s="314"/>
      <c r="Q5" s="314"/>
      <c r="R5" s="314"/>
      <c r="S5" s="314"/>
      <c r="T5" s="314"/>
      <c r="U5" s="7"/>
    </row>
    <row r="6" spans="1:21" ht="13.9" customHeight="1" x14ac:dyDescent="0.25">
      <c r="A6" s="5"/>
      <c r="B6" s="314"/>
      <c r="C6" s="314"/>
      <c r="D6" s="314"/>
      <c r="E6" s="314"/>
      <c r="F6" s="314"/>
      <c r="G6" s="314"/>
      <c r="H6" s="314"/>
      <c r="I6" s="314"/>
      <c r="J6" s="314"/>
      <c r="K6" s="314"/>
      <c r="L6" s="314"/>
      <c r="M6" s="314"/>
      <c r="N6" s="314"/>
      <c r="O6" s="314"/>
      <c r="P6" s="314"/>
      <c r="Q6" s="314"/>
      <c r="R6" s="314"/>
      <c r="S6" s="314"/>
      <c r="T6" s="314"/>
      <c r="U6" s="7"/>
    </row>
    <row r="7" spans="1:21" x14ac:dyDescent="0.25">
      <c r="A7" s="5"/>
      <c r="B7" s="314"/>
      <c r="C7" s="314"/>
      <c r="D7" s="314"/>
      <c r="E7" s="314"/>
      <c r="F7" s="314"/>
      <c r="G7" s="314"/>
      <c r="H7" s="314"/>
      <c r="I7" s="314"/>
      <c r="J7" s="314"/>
      <c r="K7" s="314"/>
      <c r="L7" s="314"/>
      <c r="M7" s="314"/>
      <c r="N7" s="314"/>
      <c r="O7" s="314"/>
      <c r="P7" s="314"/>
      <c r="Q7" s="314"/>
      <c r="R7" s="314"/>
      <c r="S7" s="314"/>
      <c r="T7" s="314"/>
      <c r="U7" s="7"/>
    </row>
    <row r="8" spans="1:21" x14ac:dyDescent="0.25">
      <c r="A8" s="5"/>
      <c r="B8" s="314"/>
      <c r="C8" s="314"/>
      <c r="D8" s="314"/>
      <c r="E8" s="314"/>
      <c r="F8" s="314"/>
      <c r="G8" s="314"/>
      <c r="H8" s="314"/>
      <c r="I8" s="314"/>
      <c r="J8" s="314"/>
      <c r="K8" s="314"/>
      <c r="L8" s="314"/>
      <c r="M8" s="314"/>
      <c r="N8" s="314"/>
      <c r="O8" s="314"/>
      <c r="P8" s="314"/>
      <c r="Q8" s="314"/>
      <c r="R8" s="314"/>
      <c r="S8" s="314"/>
      <c r="T8" s="314"/>
      <c r="U8" s="7"/>
    </row>
    <row r="9" spans="1:21" ht="13.9" x14ac:dyDescent="0.25">
      <c r="A9" s="5"/>
      <c r="U9" s="7"/>
    </row>
    <row r="10" spans="1:21" ht="13.9" x14ac:dyDescent="0.25">
      <c r="A10" s="5"/>
      <c r="U10" s="7"/>
    </row>
    <row r="11" spans="1:21" ht="13.9" x14ac:dyDescent="0.25">
      <c r="A11" s="5"/>
      <c r="U11" s="7"/>
    </row>
    <row r="12" spans="1:21" ht="13.9" x14ac:dyDescent="0.25">
      <c r="A12" s="5"/>
      <c r="U12" s="7"/>
    </row>
    <row r="13" spans="1:21" ht="13.9" x14ac:dyDescent="0.25">
      <c r="A13" s="5"/>
      <c r="U13" s="7"/>
    </row>
    <row r="14" spans="1:21" ht="13.9" x14ac:dyDescent="0.25">
      <c r="A14" s="5"/>
      <c r="B14" s="6"/>
      <c r="U14" s="7"/>
    </row>
    <row r="15" spans="1:21" ht="13.9" x14ac:dyDescent="0.25">
      <c r="A15" s="5"/>
      <c r="U15" s="7"/>
    </row>
    <row r="16" spans="1:21" ht="13.9" x14ac:dyDescent="0.25">
      <c r="A16" s="5"/>
      <c r="U16" s="7"/>
    </row>
    <row r="17" spans="1:21" ht="13.9" x14ac:dyDescent="0.25">
      <c r="A17" s="5"/>
      <c r="U17" s="7"/>
    </row>
    <row r="18" spans="1:21" ht="13.9" x14ac:dyDescent="0.25">
      <c r="A18" s="5"/>
      <c r="U18" s="7"/>
    </row>
    <row r="19" spans="1:21" ht="13.9" x14ac:dyDescent="0.25">
      <c r="A19" s="5"/>
      <c r="U19" s="7"/>
    </row>
    <row r="20" spans="1:21" ht="13.9" x14ac:dyDescent="0.25">
      <c r="A20" s="5"/>
      <c r="U20" s="7"/>
    </row>
    <row r="21" spans="1:21" ht="13.9" x14ac:dyDescent="0.25">
      <c r="A21" s="5"/>
      <c r="U21" s="7"/>
    </row>
    <row r="22" spans="1:21" ht="13.9" x14ac:dyDescent="0.25">
      <c r="A22" s="5"/>
      <c r="U22" s="7"/>
    </row>
    <row r="23" spans="1:21" ht="13.9" x14ac:dyDescent="0.25">
      <c r="A23" s="5"/>
      <c r="U23" s="7"/>
    </row>
    <row r="24" spans="1:21" ht="13.9" x14ac:dyDescent="0.25">
      <c r="A24" s="5"/>
      <c r="B24" s="6"/>
      <c r="C24" s="6"/>
      <c r="D24" s="6"/>
      <c r="E24" s="6"/>
      <c r="F24" s="6"/>
      <c r="G24" s="6"/>
      <c r="H24" s="6"/>
      <c r="I24" s="6"/>
      <c r="J24" s="6"/>
      <c r="U24" s="7"/>
    </row>
    <row r="25" spans="1:21" ht="13.9" x14ac:dyDescent="0.25">
      <c r="A25" s="5"/>
      <c r="U25" s="7"/>
    </row>
    <row r="26" spans="1:21" ht="13.9" x14ac:dyDescent="0.25">
      <c r="A26" s="5"/>
      <c r="U26" s="7"/>
    </row>
    <row r="27" spans="1:21" ht="13.9" customHeight="1" x14ac:dyDescent="0.25">
      <c r="A27" s="5"/>
      <c r="B27" s="94"/>
      <c r="C27" s="94"/>
      <c r="D27" s="94"/>
      <c r="E27" s="94"/>
      <c r="F27" s="94"/>
      <c r="G27" s="94"/>
      <c r="H27" s="94"/>
      <c r="I27" s="94"/>
      <c r="J27" s="94"/>
      <c r="K27" s="94"/>
      <c r="L27" s="94"/>
      <c r="M27" s="94"/>
      <c r="N27" s="94"/>
      <c r="O27" s="94"/>
      <c r="P27" s="94"/>
      <c r="Q27" s="94"/>
      <c r="R27" s="94"/>
      <c r="S27" s="94"/>
      <c r="T27" s="94"/>
      <c r="U27" s="7"/>
    </row>
    <row r="28" spans="1:21" ht="13.9" customHeight="1" x14ac:dyDescent="0.25">
      <c r="A28" s="5"/>
      <c r="B28" s="94"/>
      <c r="C28" s="94"/>
      <c r="D28" s="94"/>
      <c r="E28" s="94"/>
      <c r="F28" s="94"/>
      <c r="G28" s="94"/>
      <c r="H28" s="94"/>
      <c r="I28" s="94"/>
      <c r="J28" s="94"/>
      <c r="K28" s="94"/>
      <c r="L28" s="94"/>
      <c r="M28" s="94"/>
      <c r="N28" s="94"/>
      <c r="O28" s="94"/>
      <c r="P28" s="94"/>
      <c r="Q28" s="94"/>
      <c r="R28" s="94"/>
      <c r="S28" s="94"/>
      <c r="T28" s="94"/>
      <c r="U28" s="7"/>
    </row>
    <row r="29" spans="1:21" ht="13.9" customHeight="1" x14ac:dyDescent="0.25">
      <c r="A29" s="5"/>
      <c r="B29" s="94"/>
      <c r="C29" s="94"/>
      <c r="D29" s="94"/>
      <c r="E29" s="94"/>
      <c r="F29" s="94"/>
      <c r="G29" s="94"/>
      <c r="H29" s="94"/>
      <c r="I29" s="94"/>
      <c r="J29" s="94"/>
      <c r="K29" s="94"/>
      <c r="L29" s="94"/>
      <c r="M29" s="94"/>
      <c r="N29" s="94"/>
      <c r="O29" s="94"/>
      <c r="P29" s="94"/>
      <c r="Q29" s="94"/>
      <c r="R29" s="94"/>
      <c r="S29" s="94"/>
      <c r="T29" s="94"/>
      <c r="U29" s="7"/>
    </row>
    <row r="30" spans="1:21" ht="13.9" customHeight="1" x14ac:dyDescent="0.25">
      <c r="A30" s="5"/>
      <c r="B30" s="94"/>
      <c r="C30" s="94"/>
      <c r="D30" s="94"/>
      <c r="E30" s="94"/>
      <c r="F30" s="94"/>
      <c r="G30" s="94"/>
      <c r="H30" s="94"/>
      <c r="I30" s="94"/>
      <c r="J30" s="94"/>
      <c r="K30" s="94"/>
      <c r="L30" s="94"/>
      <c r="M30" s="94"/>
      <c r="N30" s="94"/>
      <c r="O30" s="94"/>
      <c r="P30" s="94"/>
      <c r="Q30" s="94"/>
      <c r="R30" s="94"/>
      <c r="S30" s="94"/>
      <c r="T30" s="94"/>
      <c r="U30" s="7"/>
    </row>
    <row r="31" spans="1:21" ht="13.9" customHeight="1" x14ac:dyDescent="0.25">
      <c r="A31" s="5"/>
      <c r="B31" s="94"/>
      <c r="C31" s="94"/>
      <c r="D31" s="94"/>
      <c r="E31" s="94"/>
      <c r="F31" s="94"/>
      <c r="G31" s="94"/>
      <c r="H31" s="94"/>
      <c r="I31" s="94"/>
      <c r="J31" s="94"/>
      <c r="K31" s="94"/>
      <c r="L31" s="94"/>
      <c r="M31" s="94"/>
      <c r="N31" s="94"/>
      <c r="O31" s="94"/>
      <c r="P31" s="94"/>
      <c r="Q31" s="94"/>
      <c r="R31" s="94"/>
      <c r="S31" s="94"/>
      <c r="T31" s="94"/>
      <c r="U31" s="7"/>
    </row>
    <row r="32" spans="1:21" ht="13.9" customHeight="1" x14ac:dyDescent="0.25">
      <c r="A32" s="5"/>
      <c r="B32" s="94"/>
      <c r="C32" s="94"/>
      <c r="D32" s="94"/>
      <c r="E32" s="94"/>
      <c r="F32" s="94"/>
      <c r="G32" s="94"/>
      <c r="H32" s="94"/>
      <c r="I32" s="94"/>
      <c r="J32" s="94"/>
      <c r="K32" s="94"/>
      <c r="L32" s="94"/>
      <c r="M32" s="94"/>
      <c r="N32" s="94"/>
      <c r="O32" s="94"/>
      <c r="P32" s="94"/>
      <c r="Q32" s="94"/>
      <c r="R32" s="94"/>
      <c r="S32" s="94"/>
      <c r="T32" s="94"/>
      <c r="U32" s="7"/>
    </row>
    <row r="33" spans="1:21" ht="13.9" customHeight="1" x14ac:dyDescent="0.25">
      <c r="A33" s="5"/>
      <c r="B33" s="94"/>
      <c r="C33" s="94"/>
      <c r="D33" s="94"/>
      <c r="E33" s="94"/>
      <c r="F33" s="94"/>
      <c r="G33" s="94"/>
      <c r="H33" s="94"/>
      <c r="I33" s="94"/>
      <c r="J33" s="94"/>
      <c r="K33" s="94"/>
      <c r="L33" s="94"/>
      <c r="M33" s="94"/>
      <c r="N33" s="94"/>
      <c r="O33" s="94"/>
      <c r="P33" s="94"/>
      <c r="Q33" s="94"/>
      <c r="R33" s="94"/>
      <c r="S33" s="94"/>
      <c r="T33" s="94"/>
      <c r="U33" s="7"/>
    </row>
    <row r="34" spans="1:21" ht="13.9" customHeight="1" x14ac:dyDescent="0.25">
      <c r="A34" s="5"/>
      <c r="B34" s="94"/>
      <c r="C34" s="94"/>
      <c r="D34" s="94"/>
      <c r="E34" s="94"/>
      <c r="F34" s="94"/>
      <c r="G34" s="94"/>
      <c r="H34" s="94"/>
      <c r="I34" s="94"/>
      <c r="J34" s="94"/>
      <c r="K34" s="94"/>
      <c r="L34" s="94"/>
      <c r="M34" s="94"/>
      <c r="N34" s="94"/>
      <c r="O34" s="94"/>
      <c r="P34" s="94"/>
      <c r="Q34" s="94"/>
      <c r="R34" s="94"/>
      <c r="S34" s="94"/>
      <c r="T34" s="94"/>
      <c r="U34" s="7"/>
    </row>
    <row r="35" spans="1:21" ht="13.9" customHeight="1" x14ac:dyDescent="0.25">
      <c r="A35" s="5"/>
      <c r="B35" s="94"/>
      <c r="C35" s="94"/>
      <c r="D35" s="94"/>
      <c r="E35" s="94"/>
      <c r="F35" s="94"/>
      <c r="G35" s="94"/>
      <c r="H35" s="94"/>
      <c r="I35" s="94"/>
      <c r="J35" s="94"/>
      <c r="K35" s="94"/>
      <c r="L35" s="94"/>
      <c r="M35" s="94"/>
      <c r="N35" s="94"/>
      <c r="O35" s="94"/>
      <c r="P35" s="94"/>
      <c r="Q35" s="94"/>
      <c r="R35" s="94"/>
      <c r="S35" s="94"/>
      <c r="T35" s="94"/>
      <c r="U35" s="7"/>
    </row>
    <row r="36" spans="1:21" ht="13.9" customHeight="1" x14ac:dyDescent="0.25">
      <c r="A36" s="5"/>
      <c r="B36" s="94"/>
      <c r="C36" s="94"/>
      <c r="D36" s="94"/>
      <c r="E36" s="94"/>
      <c r="F36" s="94"/>
      <c r="G36" s="94"/>
      <c r="H36" s="94"/>
      <c r="I36" s="94"/>
      <c r="J36" s="94"/>
      <c r="K36" s="94"/>
      <c r="L36" s="94"/>
      <c r="M36" s="94"/>
      <c r="N36" s="94"/>
      <c r="O36" s="94"/>
      <c r="P36" s="94"/>
      <c r="Q36" s="94"/>
      <c r="R36" s="94"/>
      <c r="S36" s="94"/>
      <c r="T36" s="94"/>
      <c r="U36" s="7"/>
    </row>
    <row r="37" spans="1:21" ht="13.9" customHeight="1" x14ac:dyDescent="0.25">
      <c r="A37" s="5"/>
      <c r="B37" s="94"/>
      <c r="C37" s="94"/>
      <c r="D37" s="94"/>
      <c r="E37" s="94"/>
      <c r="F37" s="94"/>
      <c r="G37" s="94"/>
      <c r="H37" s="94"/>
      <c r="I37" s="94"/>
      <c r="J37" s="94"/>
      <c r="K37" s="94"/>
      <c r="L37" s="94"/>
      <c r="M37" s="94"/>
      <c r="N37" s="94"/>
      <c r="O37" s="94"/>
      <c r="P37" s="94"/>
      <c r="Q37" s="94"/>
      <c r="R37" s="94"/>
      <c r="S37" s="94"/>
      <c r="T37" s="94"/>
      <c r="U37" s="7"/>
    </row>
    <row r="38" spans="1:21" ht="13.9" customHeight="1" x14ac:dyDescent="0.25">
      <c r="A38" s="5"/>
      <c r="B38" s="94"/>
      <c r="C38" s="94"/>
      <c r="D38" s="94"/>
      <c r="E38" s="94"/>
      <c r="F38" s="94"/>
      <c r="G38" s="94"/>
      <c r="H38" s="94"/>
      <c r="I38" s="94"/>
      <c r="J38" s="94"/>
      <c r="K38" s="94"/>
      <c r="L38" s="94"/>
      <c r="M38" s="94"/>
      <c r="N38" s="94"/>
      <c r="O38" s="94"/>
      <c r="P38" s="94"/>
      <c r="Q38" s="94"/>
      <c r="R38" s="94"/>
      <c r="S38" s="94"/>
      <c r="T38" s="94"/>
      <c r="U38" s="7"/>
    </row>
    <row r="39" spans="1:21" ht="13.9" x14ac:dyDescent="0.25">
      <c r="A39" s="5"/>
      <c r="U39" s="7"/>
    </row>
    <row r="40" spans="1:21" ht="13.9" x14ac:dyDescent="0.25">
      <c r="A40" s="5"/>
      <c r="U40" s="7"/>
    </row>
    <row r="41" spans="1:21" ht="13.9" x14ac:dyDescent="0.25">
      <c r="A41" s="5"/>
      <c r="B41" s="6"/>
      <c r="C41" s="6"/>
      <c r="D41" s="6"/>
      <c r="E41" s="6"/>
      <c r="F41" s="6"/>
      <c r="G41" s="6"/>
      <c r="H41" s="6"/>
      <c r="I41" s="6"/>
      <c r="J41" s="6"/>
      <c r="U41" s="7"/>
    </row>
    <row r="42" spans="1:21" ht="13.9" x14ac:dyDescent="0.25">
      <c r="A42" s="5"/>
      <c r="C42" s="6"/>
      <c r="D42" s="6"/>
      <c r="E42" s="6"/>
      <c r="F42" s="6"/>
      <c r="G42" s="6"/>
      <c r="H42" s="6"/>
      <c r="I42" s="6"/>
      <c r="J42" s="6"/>
      <c r="U42" s="8"/>
    </row>
    <row r="43" spans="1:21" ht="13.9" x14ac:dyDescent="0.25">
      <c r="A43" s="5"/>
      <c r="B43" s="6"/>
      <c r="C43" s="6"/>
      <c r="D43" s="6"/>
      <c r="E43" s="6"/>
      <c r="F43" s="6"/>
      <c r="G43" s="6"/>
      <c r="H43" s="6"/>
      <c r="I43" s="6"/>
      <c r="J43" s="6"/>
      <c r="U43" s="7"/>
    </row>
    <row r="44" spans="1:21" ht="13.9" x14ac:dyDescent="0.25">
      <c r="A44" s="5"/>
      <c r="B44" s="6"/>
      <c r="C44" s="6"/>
      <c r="D44" s="6"/>
      <c r="E44" s="6"/>
      <c r="F44" s="6"/>
      <c r="G44" s="6"/>
      <c r="H44" s="6"/>
      <c r="I44" s="6"/>
      <c r="J44" s="6"/>
      <c r="U44" s="7"/>
    </row>
    <row r="45" spans="1:21" ht="13.9" x14ac:dyDescent="0.25">
      <c r="A45" s="5"/>
      <c r="B45" s="6"/>
      <c r="C45" s="6"/>
      <c r="D45" s="6"/>
      <c r="E45" s="6"/>
      <c r="F45" s="6"/>
      <c r="G45" s="6"/>
      <c r="H45" s="6"/>
      <c r="I45" s="6"/>
      <c r="J45" s="6"/>
      <c r="U45" s="7"/>
    </row>
    <row r="46" spans="1:21" ht="13.9" x14ac:dyDescent="0.25">
      <c r="A46" s="5"/>
      <c r="B46" s="6"/>
      <c r="C46" s="6"/>
      <c r="D46" s="6"/>
      <c r="E46" s="6"/>
      <c r="F46" s="6"/>
      <c r="G46" s="6"/>
      <c r="H46" s="6"/>
      <c r="I46" s="6"/>
      <c r="J46" s="6"/>
      <c r="U46" s="7"/>
    </row>
    <row r="47" spans="1:21" ht="13.9" x14ac:dyDescent="0.25">
      <c r="A47" s="5"/>
      <c r="B47" s="6"/>
      <c r="C47" s="6"/>
      <c r="D47" s="6"/>
      <c r="E47" s="6"/>
      <c r="F47" s="6"/>
      <c r="G47" s="6"/>
      <c r="H47" s="6"/>
      <c r="I47" s="6"/>
      <c r="J47" s="6"/>
      <c r="U47" s="7"/>
    </row>
    <row r="48" spans="1:21" ht="13.9" x14ac:dyDescent="0.25">
      <c r="A48" s="5"/>
      <c r="B48" s="6"/>
      <c r="C48" s="6"/>
      <c r="D48" s="6"/>
      <c r="E48" s="6"/>
      <c r="F48" s="6"/>
      <c r="G48" s="6"/>
      <c r="H48" s="6"/>
      <c r="I48" s="6"/>
      <c r="J48" s="6"/>
      <c r="U48" s="7"/>
    </row>
    <row r="49" spans="1:21" ht="13.9" x14ac:dyDescent="0.25">
      <c r="A49" s="5"/>
      <c r="B49" s="6"/>
      <c r="C49" s="6"/>
      <c r="D49" s="6"/>
      <c r="E49" s="6"/>
      <c r="F49" s="6"/>
      <c r="G49" s="6"/>
      <c r="H49" s="6"/>
      <c r="I49" s="6"/>
      <c r="J49" s="6"/>
      <c r="U49" s="7"/>
    </row>
    <row r="50" spans="1:21" ht="13.9" x14ac:dyDescent="0.25">
      <c r="A50" s="5"/>
      <c r="B50" s="6"/>
      <c r="C50" s="6"/>
      <c r="D50" s="6"/>
      <c r="E50" s="6"/>
      <c r="F50" s="6"/>
      <c r="G50" s="6"/>
      <c r="H50" s="6"/>
      <c r="I50" s="6"/>
      <c r="J50" s="6"/>
      <c r="U50" s="7"/>
    </row>
    <row r="51" spans="1:21" x14ac:dyDescent="0.25">
      <c r="A51" s="5"/>
      <c r="B51" s="6"/>
      <c r="C51" s="6"/>
      <c r="D51" s="6"/>
      <c r="E51" s="6"/>
      <c r="F51" s="6"/>
      <c r="G51" s="6"/>
      <c r="H51" s="6"/>
      <c r="I51" s="6"/>
      <c r="J51" s="6"/>
      <c r="U51" s="7"/>
    </row>
    <row r="52" spans="1:21" x14ac:dyDescent="0.25">
      <c r="A52" s="5"/>
      <c r="B52" s="6"/>
      <c r="C52" s="6"/>
      <c r="D52" s="6"/>
      <c r="E52" s="6"/>
      <c r="F52" s="6"/>
      <c r="G52" s="6"/>
      <c r="H52" s="6"/>
      <c r="I52" s="6"/>
      <c r="J52" s="6"/>
      <c r="U52" s="7"/>
    </row>
    <row r="53" spans="1:21" x14ac:dyDescent="0.25">
      <c r="A53" s="5"/>
      <c r="B53" s="6"/>
      <c r="C53" s="6"/>
      <c r="D53" s="6"/>
      <c r="E53" s="6"/>
      <c r="F53" s="6"/>
      <c r="G53" s="6"/>
      <c r="H53" s="6"/>
      <c r="I53" s="6"/>
      <c r="J53" s="6"/>
      <c r="U53" s="7"/>
    </row>
    <row r="54" spans="1:21" x14ac:dyDescent="0.25">
      <c r="A54" s="5"/>
      <c r="B54" s="6"/>
      <c r="C54" s="6"/>
      <c r="D54" s="6"/>
      <c r="E54" s="6"/>
      <c r="F54" s="6"/>
      <c r="G54" s="6"/>
      <c r="H54" s="6"/>
      <c r="I54" s="6"/>
      <c r="J54" s="6"/>
      <c r="U54" s="7"/>
    </row>
    <row r="55" spans="1:21" x14ac:dyDescent="0.25">
      <c r="A55" s="5"/>
      <c r="B55" s="6"/>
      <c r="C55" s="6"/>
      <c r="D55" s="6"/>
      <c r="E55" s="6"/>
      <c r="F55" s="6"/>
      <c r="G55" s="6"/>
      <c r="H55" s="6"/>
      <c r="I55" s="6"/>
      <c r="J55" s="6"/>
      <c r="U55" s="7"/>
    </row>
    <row r="56" spans="1:21" x14ac:dyDescent="0.25">
      <c r="A56" s="5"/>
      <c r="B56" s="6"/>
      <c r="C56" s="6"/>
      <c r="D56" s="6"/>
      <c r="E56" s="6"/>
      <c r="F56" s="6"/>
      <c r="G56" s="6"/>
      <c r="H56" s="6"/>
      <c r="I56" s="6"/>
      <c r="J56" s="6"/>
      <c r="U56" s="7"/>
    </row>
    <row r="57" spans="1:21" x14ac:dyDescent="0.25">
      <c r="A57" s="5"/>
      <c r="B57" s="6"/>
      <c r="C57" s="6"/>
      <c r="D57" s="6"/>
      <c r="E57" s="6"/>
      <c r="F57" s="6"/>
      <c r="G57" s="6"/>
      <c r="H57" s="6"/>
      <c r="I57" s="6"/>
      <c r="J57" s="6"/>
      <c r="U57" s="7"/>
    </row>
    <row r="58" spans="1:21" x14ac:dyDescent="0.25">
      <c r="A58" s="5"/>
      <c r="B58" s="6"/>
      <c r="C58" s="6"/>
      <c r="D58" s="6"/>
      <c r="E58" s="6"/>
      <c r="F58" s="6"/>
      <c r="G58" s="6"/>
      <c r="H58" s="6"/>
      <c r="I58" s="6"/>
      <c r="J58" s="6"/>
      <c r="U58" s="7"/>
    </row>
    <row r="59" spans="1:21" x14ac:dyDescent="0.25">
      <c r="A59" s="5"/>
      <c r="U59" s="7"/>
    </row>
    <row r="60" spans="1:21" x14ac:dyDescent="0.25">
      <c r="A60" s="5"/>
      <c r="U60" s="7"/>
    </row>
    <row r="61" spans="1:21" x14ac:dyDescent="0.25">
      <c r="A61" s="5"/>
      <c r="U61" s="7"/>
    </row>
    <row r="62" spans="1:21" x14ac:dyDescent="0.25">
      <c r="A62" s="5"/>
      <c r="B62" s="6"/>
      <c r="C62" s="6"/>
      <c r="D62" s="6"/>
      <c r="E62" s="6"/>
      <c r="F62" s="6"/>
      <c r="G62" s="6"/>
      <c r="H62" s="6"/>
      <c r="I62" s="6"/>
      <c r="J62" s="6"/>
      <c r="U62" s="7"/>
    </row>
    <row r="63" spans="1:21" x14ac:dyDescent="0.25">
      <c r="A63" s="5"/>
      <c r="B63" s="6"/>
      <c r="C63" s="6"/>
      <c r="D63" s="6"/>
      <c r="E63" s="6"/>
      <c r="F63" s="6"/>
      <c r="G63" s="6"/>
      <c r="H63" s="6"/>
      <c r="I63" s="6"/>
      <c r="J63" s="6"/>
      <c r="U63" s="7"/>
    </row>
    <row r="64" spans="1:21" x14ac:dyDescent="0.25">
      <c r="A64" s="5"/>
      <c r="B64" s="6"/>
      <c r="C64" s="6"/>
      <c r="D64" s="6"/>
      <c r="E64" s="6"/>
      <c r="F64" s="6"/>
      <c r="G64" s="6"/>
      <c r="H64" s="6"/>
      <c r="I64" s="6"/>
      <c r="J64" s="6"/>
      <c r="U64" s="7"/>
    </row>
    <row r="65" spans="1:21" x14ac:dyDescent="0.25">
      <c r="A65" s="9"/>
      <c r="B65" s="10"/>
      <c r="C65" s="10"/>
      <c r="D65" s="10"/>
      <c r="E65" s="10"/>
      <c r="F65" s="10"/>
      <c r="G65" s="10"/>
      <c r="H65" s="10"/>
      <c r="I65" s="10"/>
      <c r="J65" s="10"/>
      <c r="K65" s="10"/>
      <c r="L65" s="10"/>
      <c r="M65" s="10"/>
      <c r="N65" s="10"/>
      <c r="O65" s="10"/>
      <c r="P65" s="10"/>
      <c r="Q65" s="10"/>
      <c r="R65" s="10"/>
      <c r="S65" s="10"/>
      <c r="T65" s="10"/>
      <c r="U65" s="11"/>
    </row>
    <row r="66" spans="1:21" x14ac:dyDescent="0.25">
      <c r="A66" s="2"/>
      <c r="B66" s="3"/>
      <c r="C66" s="3"/>
      <c r="D66" s="3"/>
      <c r="E66" s="3"/>
      <c r="F66" s="3"/>
      <c r="G66" s="3"/>
      <c r="H66" s="3"/>
      <c r="I66" s="3"/>
      <c r="J66" s="3"/>
      <c r="K66" s="3"/>
      <c r="L66" s="3"/>
      <c r="M66" s="3"/>
      <c r="N66" s="3"/>
      <c r="O66" s="3"/>
      <c r="P66" s="3"/>
      <c r="Q66" s="3"/>
      <c r="R66" s="3"/>
      <c r="S66" s="3"/>
      <c r="T66" s="3"/>
      <c r="U66" s="4"/>
    </row>
    <row r="67" spans="1:21" ht="13.9" customHeight="1" x14ac:dyDescent="0.25">
      <c r="A67" s="5"/>
      <c r="U67" s="7"/>
    </row>
    <row r="68" spans="1:21" ht="13.9" customHeight="1" x14ac:dyDescent="0.25">
      <c r="A68" s="5"/>
      <c r="U68" s="7"/>
    </row>
    <row r="69" spans="1:21" ht="13.9" customHeight="1" x14ac:dyDescent="0.25">
      <c r="A69" s="5"/>
      <c r="U69" s="7"/>
    </row>
    <row r="70" spans="1:21" ht="13.9" customHeight="1" x14ac:dyDescent="0.25">
      <c r="A70" s="5"/>
      <c r="U70" s="7"/>
    </row>
    <row r="71" spans="1:21" x14ac:dyDescent="0.25">
      <c r="A71" s="5"/>
      <c r="B71" s="6"/>
      <c r="U71" s="7"/>
    </row>
    <row r="72" spans="1:21" x14ac:dyDescent="0.25">
      <c r="A72" s="5"/>
      <c r="U72" s="7"/>
    </row>
    <row r="73" spans="1:21" x14ac:dyDescent="0.25">
      <c r="A73" s="5"/>
      <c r="U73" s="7"/>
    </row>
    <row r="74" spans="1:21" x14ac:dyDescent="0.25">
      <c r="A74" s="5"/>
      <c r="U74" s="7"/>
    </row>
    <row r="75" spans="1:21" x14ac:dyDescent="0.25">
      <c r="A75" s="5"/>
      <c r="U75" s="7"/>
    </row>
    <row r="76" spans="1:21" x14ac:dyDescent="0.25">
      <c r="A76" s="5"/>
      <c r="U76" s="7"/>
    </row>
    <row r="77" spans="1:21" x14ac:dyDescent="0.25">
      <c r="A77" s="5"/>
      <c r="U77" s="7"/>
    </row>
    <row r="78" spans="1:21" x14ac:dyDescent="0.25">
      <c r="A78" s="5"/>
      <c r="U78" s="7"/>
    </row>
    <row r="79" spans="1:21" x14ac:dyDescent="0.25">
      <c r="A79" s="5"/>
      <c r="U79" s="7"/>
    </row>
    <row r="80" spans="1:21" x14ac:dyDescent="0.25">
      <c r="A80" s="5"/>
      <c r="U80" s="7"/>
    </row>
    <row r="81" spans="1:21" x14ac:dyDescent="0.25">
      <c r="A81" s="5"/>
      <c r="U81" s="7"/>
    </row>
    <row r="82" spans="1:21" x14ac:dyDescent="0.25">
      <c r="A82" s="5"/>
      <c r="U82" s="7"/>
    </row>
    <row r="83" spans="1:21" x14ac:dyDescent="0.25">
      <c r="A83" s="5"/>
      <c r="U83" s="7"/>
    </row>
    <row r="84" spans="1:21" x14ac:dyDescent="0.25">
      <c r="A84" s="5"/>
      <c r="U84" s="7"/>
    </row>
    <row r="85" spans="1:21" x14ac:dyDescent="0.25">
      <c r="A85" s="5"/>
      <c r="U85" s="7"/>
    </row>
    <row r="86" spans="1:21" x14ac:dyDescent="0.25">
      <c r="A86" s="5"/>
      <c r="U86" s="7"/>
    </row>
    <row r="87" spans="1:21" x14ac:dyDescent="0.25">
      <c r="A87" s="5"/>
      <c r="U87" s="7"/>
    </row>
    <row r="88" spans="1:21" x14ac:dyDescent="0.25">
      <c r="A88" s="5"/>
      <c r="U88" s="7"/>
    </row>
    <row r="89" spans="1:21" x14ac:dyDescent="0.25">
      <c r="A89" s="5"/>
      <c r="U89" s="7"/>
    </row>
    <row r="90" spans="1:21" x14ac:dyDescent="0.25">
      <c r="A90" s="5"/>
      <c r="U90" s="7"/>
    </row>
    <row r="91" spans="1:21" x14ac:dyDescent="0.25">
      <c r="A91" s="5"/>
      <c r="U91" s="7"/>
    </row>
    <row r="92" spans="1:21" x14ac:dyDescent="0.25">
      <c r="A92" s="5"/>
      <c r="U92" s="7"/>
    </row>
    <row r="93" spans="1:21" x14ac:dyDescent="0.25">
      <c r="A93" s="5"/>
      <c r="U93" s="7"/>
    </row>
    <row r="94" spans="1:21" x14ac:dyDescent="0.25">
      <c r="A94" s="5"/>
      <c r="U94" s="7"/>
    </row>
    <row r="95" spans="1:21" x14ac:dyDescent="0.25">
      <c r="A95" s="5"/>
      <c r="U95" s="7"/>
    </row>
    <row r="96" spans="1:21" x14ac:dyDescent="0.25">
      <c r="A96" s="5"/>
      <c r="U96" s="7"/>
    </row>
    <row r="97" spans="1:21" x14ac:dyDescent="0.25">
      <c r="A97" s="5"/>
      <c r="U97" s="7"/>
    </row>
    <row r="98" spans="1:21" x14ac:dyDescent="0.25">
      <c r="A98" s="5"/>
      <c r="B98" s="1" t="s">
        <v>594</v>
      </c>
      <c r="U98" s="7"/>
    </row>
    <row r="99" spans="1:21" x14ac:dyDescent="0.25">
      <c r="A99" s="5"/>
      <c r="U99" s="7"/>
    </row>
    <row r="100" spans="1:21" x14ac:dyDescent="0.25">
      <c r="A100" s="5"/>
      <c r="U100" s="7"/>
    </row>
    <row r="101" spans="1:21" x14ac:dyDescent="0.25">
      <c r="A101" s="5"/>
      <c r="U101" s="7"/>
    </row>
    <row r="102" spans="1:21" x14ac:dyDescent="0.25">
      <c r="A102" s="5"/>
      <c r="U102" s="7"/>
    </row>
    <row r="103" spans="1:21" x14ac:dyDescent="0.25">
      <c r="A103" s="5"/>
      <c r="U103" s="7"/>
    </row>
    <row r="104" spans="1:21" x14ac:dyDescent="0.25">
      <c r="A104" s="5"/>
      <c r="U104" s="7"/>
    </row>
    <row r="105" spans="1:21" x14ac:dyDescent="0.25">
      <c r="A105" s="5"/>
      <c r="U105" s="7"/>
    </row>
    <row r="106" spans="1:21" x14ac:dyDescent="0.25">
      <c r="A106" s="5"/>
      <c r="U106" s="7"/>
    </row>
    <row r="107" spans="1:21" x14ac:dyDescent="0.25">
      <c r="A107" s="5"/>
      <c r="U107" s="7"/>
    </row>
    <row r="108" spans="1:21" x14ac:dyDescent="0.25">
      <c r="A108" s="5"/>
      <c r="U108" s="7"/>
    </row>
    <row r="109" spans="1:21" x14ac:dyDescent="0.25">
      <c r="A109" s="5"/>
      <c r="U109" s="7"/>
    </row>
    <row r="110" spans="1:21" x14ac:dyDescent="0.25">
      <c r="A110" s="5"/>
      <c r="U110" s="7"/>
    </row>
    <row r="111" spans="1:21" x14ac:dyDescent="0.25">
      <c r="A111" s="5"/>
      <c r="U111" s="7"/>
    </row>
    <row r="112" spans="1:21" x14ac:dyDescent="0.25">
      <c r="A112" s="5"/>
      <c r="U112" s="7"/>
    </row>
    <row r="113" spans="1:21" x14ac:dyDescent="0.25">
      <c r="A113" s="5"/>
      <c r="U113" s="7"/>
    </row>
    <row r="114" spans="1:21" x14ac:dyDescent="0.25">
      <c r="A114" s="5"/>
      <c r="U114" s="7"/>
    </row>
    <row r="115" spans="1:21" x14ac:dyDescent="0.25">
      <c r="A115" s="5"/>
      <c r="U115" s="7"/>
    </row>
    <row r="116" spans="1:21" x14ac:dyDescent="0.25">
      <c r="A116" s="5"/>
      <c r="U116" s="7"/>
    </row>
    <row r="117" spans="1:21" x14ac:dyDescent="0.25">
      <c r="A117" s="5"/>
      <c r="U117" s="7"/>
    </row>
    <row r="118" spans="1:21" x14ac:dyDescent="0.25">
      <c r="A118" s="5"/>
      <c r="U118" s="7"/>
    </row>
    <row r="119" spans="1:21" x14ac:dyDescent="0.25">
      <c r="A119" s="5"/>
      <c r="U119" s="7"/>
    </row>
    <row r="120" spans="1:21" x14ac:dyDescent="0.25">
      <c r="A120" s="5"/>
      <c r="U120" s="7"/>
    </row>
    <row r="121" spans="1:21" x14ac:dyDescent="0.25">
      <c r="A121" s="5"/>
      <c r="U121" s="7"/>
    </row>
    <row r="122" spans="1:21" x14ac:dyDescent="0.25">
      <c r="A122" s="5"/>
      <c r="U122" s="7"/>
    </row>
    <row r="123" spans="1:21" x14ac:dyDescent="0.25">
      <c r="A123" s="5"/>
      <c r="U123" s="7"/>
    </row>
    <row r="124" spans="1:21" x14ac:dyDescent="0.25">
      <c r="A124" s="5"/>
      <c r="U124" s="7"/>
    </row>
    <row r="125" spans="1:21" x14ac:dyDescent="0.25">
      <c r="A125" s="5"/>
      <c r="U125" s="7"/>
    </row>
    <row r="126" spans="1:21" x14ac:dyDescent="0.25">
      <c r="A126" s="5"/>
      <c r="U126" s="7"/>
    </row>
    <row r="127" spans="1:21" x14ac:dyDescent="0.25">
      <c r="A127" s="9"/>
      <c r="B127" s="10"/>
      <c r="C127" s="10"/>
      <c r="D127" s="10"/>
      <c r="E127" s="10"/>
      <c r="F127" s="10"/>
      <c r="G127" s="10"/>
      <c r="H127" s="10"/>
      <c r="I127" s="10"/>
      <c r="J127" s="10"/>
      <c r="K127" s="10"/>
      <c r="L127" s="10"/>
      <c r="M127" s="10"/>
      <c r="N127" s="10"/>
      <c r="O127" s="10"/>
      <c r="P127" s="10"/>
      <c r="Q127" s="10"/>
      <c r="R127" s="10"/>
      <c r="S127" s="10"/>
      <c r="T127" s="10"/>
      <c r="U127" s="11"/>
    </row>
  </sheetData>
  <mergeCells count="12">
    <mergeCell ref="B5:T8"/>
    <mergeCell ref="Q3:U3"/>
    <mergeCell ref="A1:E3"/>
    <mergeCell ref="F1:G2"/>
    <mergeCell ref="H1:N2"/>
    <mergeCell ref="O1:P1"/>
    <mergeCell ref="Q1:U1"/>
    <mergeCell ref="O2:P2"/>
    <mergeCell ref="Q2:U2"/>
    <mergeCell ref="F3:G3"/>
    <mergeCell ref="H3:N3"/>
    <mergeCell ref="O3:P3"/>
  </mergeCells>
  <printOptions horizontalCentered="1" verticalCentered="1"/>
  <pageMargins left="0.70866141732283472" right="0.70866141732283472" top="0.74803149606299213" bottom="0.74803149606299213" header="0.31496062992125984" footer="0.31496062992125984"/>
  <pageSetup scale="75" fitToWidth="0"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7BE3A-802C-4B19-9D2B-71483334F777}">
  <dimension ref="A1:U65"/>
  <sheetViews>
    <sheetView workbookViewId="0">
      <selection sqref="A1:E3"/>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1"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21" x14ac:dyDescent="0.25">
      <c r="A3" s="214"/>
      <c r="B3" s="215"/>
      <c r="C3" s="215"/>
      <c r="D3" s="215"/>
      <c r="E3" s="216"/>
      <c r="F3" s="217" t="s">
        <v>1</v>
      </c>
      <c r="G3" s="210"/>
      <c r="H3" s="217" t="s">
        <v>553</v>
      </c>
      <c r="I3" s="209"/>
      <c r="J3" s="209"/>
      <c r="K3" s="209"/>
      <c r="L3" s="209"/>
      <c r="M3" s="209"/>
      <c r="N3" s="210"/>
      <c r="O3" s="217" t="s">
        <v>4</v>
      </c>
      <c r="P3" s="209"/>
      <c r="Q3" s="209" t="str">
        <f>'0. CARTA RESPONSABILIDAD'!Q3</f>
        <v>R0</v>
      </c>
      <c r="R3" s="209"/>
      <c r="S3" s="209"/>
      <c r="T3" s="209"/>
      <c r="U3" s="210"/>
    </row>
    <row r="4" spans="1:21" ht="13.9" x14ac:dyDescent="0.25">
      <c r="A4" s="2"/>
      <c r="B4" s="3"/>
      <c r="C4" s="3"/>
      <c r="D4" s="3"/>
      <c r="E4" s="3"/>
      <c r="F4" s="3"/>
      <c r="G4" s="3"/>
      <c r="H4" s="3"/>
      <c r="I4" s="3"/>
      <c r="J4" s="3"/>
      <c r="K4" s="3"/>
      <c r="L4" s="3"/>
      <c r="M4" s="3"/>
      <c r="N4" s="3"/>
      <c r="O4" s="3"/>
      <c r="P4" s="3"/>
      <c r="Q4" s="3"/>
      <c r="R4" s="3"/>
      <c r="S4" s="3"/>
      <c r="T4" s="3"/>
      <c r="U4" s="4"/>
    </row>
    <row r="5" spans="1:21" ht="13.9" customHeight="1" x14ac:dyDescent="0.25">
      <c r="A5" s="5"/>
      <c r="B5" s="314" t="s">
        <v>563</v>
      </c>
      <c r="C5" s="314"/>
      <c r="D5" s="314"/>
      <c r="E5" s="314"/>
      <c r="F5" s="314"/>
      <c r="G5" s="314"/>
      <c r="H5" s="314"/>
      <c r="I5" s="314"/>
      <c r="J5" s="314"/>
      <c r="K5" s="314"/>
      <c r="L5" s="314"/>
      <c r="M5" s="314"/>
      <c r="N5" s="314"/>
      <c r="O5" s="314"/>
      <c r="P5" s="314"/>
      <c r="Q5" s="314"/>
      <c r="R5" s="314"/>
      <c r="S5" s="314"/>
      <c r="T5" s="314"/>
      <c r="U5" s="7"/>
    </row>
    <row r="6" spans="1:21" ht="13.9" customHeight="1" x14ac:dyDescent="0.25">
      <c r="A6" s="5"/>
      <c r="B6" s="314"/>
      <c r="C6" s="314"/>
      <c r="D6" s="314"/>
      <c r="E6" s="314"/>
      <c r="F6" s="314"/>
      <c r="G6" s="314"/>
      <c r="H6" s="314"/>
      <c r="I6" s="314"/>
      <c r="J6" s="314"/>
      <c r="K6" s="314"/>
      <c r="L6" s="314"/>
      <c r="M6" s="314"/>
      <c r="N6" s="314"/>
      <c r="O6" s="314"/>
      <c r="P6" s="314"/>
      <c r="Q6" s="314"/>
      <c r="R6" s="314"/>
      <c r="S6" s="314"/>
      <c r="T6" s="314"/>
      <c r="U6" s="7"/>
    </row>
    <row r="7" spans="1:21" ht="13.9" customHeight="1" x14ac:dyDescent="0.25">
      <c r="A7" s="5"/>
      <c r="B7" s="106"/>
      <c r="C7" s="106"/>
      <c r="D7" s="106"/>
      <c r="E7" s="106"/>
      <c r="F7" s="106"/>
      <c r="G7" s="106"/>
      <c r="H7" s="106"/>
      <c r="I7" s="106"/>
      <c r="J7" s="106"/>
      <c r="K7" s="106"/>
      <c r="L7" s="106"/>
      <c r="M7" s="106"/>
      <c r="N7" s="106"/>
      <c r="O7" s="106"/>
      <c r="P7" s="106"/>
      <c r="Q7" s="106"/>
      <c r="R7" s="106"/>
      <c r="S7" s="106"/>
      <c r="T7" s="106"/>
      <c r="U7" s="7"/>
    </row>
    <row r="8" spans="1:21" ht="13.9" customHeight="1" x14ac:dyDescent="0.25">
      <c r="A8" s="5"/>
      <c r="B8" s="6" t="s">
        <v>554</v>
      </c>
      <c r="C8" s="106"/>
      <c r="D8" s="106"/>
      <c r="E8" s="106"/>
      <c r="F8" s="106"/>
      <c r="G8" s="106"/>
      <c r="H8" s="106"/>
      <c r="I8" s="106"/>
      <c r="J8" s="106"/>
      <c r="K8" s="106"/>
      <c r="L8" s="106"/>
      <c r="M8" s="106"/>
      <c r="N8" s="106"/>
      <c r="O8" s="106"/>
      <c r="P8" s="106"/>
      <c r="Q8" s="106"/>
      <c r="R8" s="106"/>
      <c r="S8" s="106"/>
      <c r="T8" s="106"/>
      <c r="U8" s="7"/>
    </row>
    <row r="9" spans="1:21" ht="13.9" x14ac:dyDescent="0.25">
      <c r="A9" s="5"/>
      <c r="B9" s="1" t="s">
        <v>555</v>
      </c>
      <c r="U9" s="7"/>
    </row>
    <row r="10" spans="1:21" ht="13.9" x14ac:dyDescent="0.25">
      <c r="A10" s="5"/>
      <c r="B10" s="1" t="s">
        <v>556</v>
      </c>
      <c r="U10" s="7"/>
    </row>
    <row r="11" spans="1:21" ht="13.9" x14ac:dyDescent="0.25">
      <c r="A11" s="5"/>
      <c r="U11" s="7"/>
    </row>
    <row r="12" spans="1:21" ht="13.9" x14ac:dyDescent="0.25">
      <c r="A12" s="5"/>
      <c r="U12" s="7"/>
    </row>
    <row r="13" spans="1:21" ht="13.9" x14ac:dyDescent="0.25">
      <c r="A13" s="5"/>
      <c r="U13" s="7"/>
    </row>
    <row r="14" spans="1:21" ht="13.9" x14ac:dyDescent="0.25">
      <c r="A14" s="5"/>
      <c r="U14" s="7"/>
    </row>
    <row r="15" spans="1:21" ht="13.9" x14ac:dyDescent="0.25">
      <c r="A15" s="5"/>
      <c r="U15" s="7"/>
    </row>
    <row r="16" spans="1:21" ht="13.9" x14ac:dyDescent="0.25">
      <c r="A16" s="5"/>
      <c r="U16" s="7"/>
    </row>
    <row r="17" spans="1:21" ht="13.9" x14ac:dyDescent="0.25">
      <c r="A17" s="5"/>
      <c r="U17" s="7"/>
    </row>
    <row r="18" spans="1:21" ht="13.9" x14ac:dyDescent="0.25">
      <c r="A18" s="5"/>
      <c r="U18" s="7"/>
    </row>
    <row r="19" spans="1:21" ht="13.9" x14ac:dyDescent="0.25">
      <c r="A19" s="5"/>
      <c r="U19" s="7"/>
    </row>
    <row r="20" spans="1:21" ht="13.9" x14ac:dyDescent="0.25">
      <c r="A20" s="5"/>
      <c r="U20" s="7"/>
    </row>
    <row r="21" spans="1:21" ht="13.9" x14ac:dyDescent="0.25">
      <c r="A21" s="5"/>
      <c r="U21" s="7"/>
    </row>
    <row r="22" spans="1:21" ht="13.9" x14ac:dyDescent="0.25">
      <c r="A22" s="5"/>
      <c r="U22" s="7"/>
    </row>
    <row r="23" spans="1:21" ht="13.9" x14ac:dyDescent="0.25">
      <c r="A23" s="5"/>
      <c r="U23" s="7"/>
    </row>
    <row r="24" spans="1:21" ht="13.9" x14ac:dyDescent="0.25">
      <c r="A24" s="5"/>
      <c r="B24" s="6"/>
      <c r="C24" s="6"/>
      <c r="D24" s="6"/>
      <c r="E24" s="6"/>
      <c r="F24" s="6"/>
      <c r="G24" s="6"/>
      <c r="H24" s="6"/>
      <c r="I24" s="6"/>
      <c r="J24" s="6"/>
      <c r="U24" s="7"/>
    </row>
    <row r="25" spans="1:21" ht="13.9" x14ac:dyDescent="0.25">
      <c r="A25" s="5"/>
      <c r="U25" s="7"/>
    </row>
    <row r="26" spans="1:21" ht="13.9" x14ac:dyDescent="0.25">
      <c r="A26" s="5"/>
      <c r="U26" s="7"/>
    </row>
    <row r="27" spans="1:21" ht="13.9" customHeight="1" x14ac:dyDescent="0.25">
      <c r="A27" s="5"/>
      <c r="B27" s="94"/>
      <c r="C27" s="94"/>
      <c r="D27" s="94"/>
      <c r="E27" s="94"/>
      <c r="F27" s="94"/>
      <c r="G27" s="94"/>
      <c r="H27" s="94"/>
      <c r="I27" s="94"/>
      <c r="J27" s="94"/>
      <c r="K27" s="94"/>
      <c r="L27" s="94"/>
      <c r="M27" s="94"/>
      <c r="N27" s="94"/>
      <c r="O27" s="94"/>
      <c r="P27" s="94"/>
      <c r="Q27" s="94"/>
      <c r="R27" s="94"/>
      <c r="S27" s="94"/>
      <c r="T27" s="94"/>
      <c r="U27" s="7"/>
    </row>
    <row r="28" spans="1:21" ht="13.9" customHeight="1" x14ac:dyDescent="0.25">
      <c r="A28" s="5"/>
      <c r="B28" s="94"/>
      <c r="C28" s="94"/>
      <c r="D28" s="94"/>
      <c r="E28" s="94"/>
      <c r="F28" s="94"/>
      <c r="G28" s="94"/>
      <c r="H28" s="94"/>
      <c r="I28" s="94"/>
      <c r="J28" s="94"/>
      <c r="K28" s="94"/>
      <c r="L28" s="94"/>
      <c r="M28" s="94"/>
      <c r="N28" s="94"/>
      <c r="O28" s="94"/>
      <c r="P28" s="94"/>
      <c r="Q28" s="94"/>
      <c r="R28" s="94"/>
      <c r="S28" s="94"/>
      <c r="T28" s="94"/>
      <c r="U28" s="7"/>
    </row>
    <row r="29" spans="1:21" ht="13.9" customHeight="1" x14ac:dyDescent="0.25">
      <c r="A29" s="5"/>
      <c r="B29" s="94"/>
      <c r="C29" s="94"/>
      <c r="D29" s="94"/>
      <c r="E29" s="94"/>
      <c r="F29" s="94"/>
      <c r="G29" s="94"/>
      <c r="H29" s="94"/>
      <c r="I29" s="94"/>
      <c r="J29" s="94"/>
      <c r="K29" s="94"/>
      <c r="L29" s="94"/>
      <c r="M29" s="94"/>
      <c r="N29" s="94"/>
      <c r="O29" s="94"/>
      <c r="P29" s="94"/>
      <c r="Q29" s="94"/>
      <c r="R29" s="94"/>
      <c r="S29" s="94"/>
      <c r="T29" s="94"/>
      <c r="U29" s="7"/>
    </row>
    <row r="30" spans="1:21" ht="13.9" customHeight="1" x14ac:dyDescent="0.25">
      <c r="A30" s="5"/>
      <c r="B30" s="94"/>
      <c r="C30" s="94"/>
      <c r="D30" s="94"/>
      <c r="E30" s="94"/>
      <c r="F30" s="94"/>
      <c r="G30" s="94"/>
      <c r="H30" s="94"/>
      <c r="I30" s="94"/>
      <c r="J30" s="94"/>
      <c r="K30" s="94"/>
      <c r="L30" s="94"/>
      <c r="M30" s="94"/>
      <c r="N30" s="94"/>
      <c r="O30" s="94"/>
      <c r="P30" s="94"/>
      <c r="Q30" s="94"/>
      <c r="R30" s="94"/>
      <c r="S30" s="94"/>
      <c r="T30" s="94"/>
      <c r="U30" s="7"/>
    </row>
    <row r="31" spans="1:21" ht="13.9" customHeight="1" x14ac:dyDescent="0.25">
      <c r="A31" s="5"/>
      <c r="B31" s="94"/>
      <c r="C31" s="94"/>
      <c r="D31" s="94"/>
      <c r="E31" s="94"/>
      <c r="F31" s="94"/>
      <c r="G31" s="94"/>
      <c r="H31" s="94"/>
      <c r="I31" s="94"/>
      <c r="J31" s="94"/>
      <c r="K31" s="94"/>
      <c r="L31" s="94"/>
      <c r="M31" s="94"/>
      <c r="N31" s="94"/>
      <c r="O31" s="94"/>
      <c r="P31" s="94"/>
      <c r="Q31" s="94"/>
      <c r="R31" s="94"/>
      <c r="S31" s="94"/>
      <c r="T31" s="94"/>
      <c r="U31" s="7"/>
    </row>
    <row r="32" spans="1:21" ht="13.9" customHeight="1" x14ac:dyDescent="0.25">
      <c r="A32" s="5"/>
      <c r="B32" s="94"/>
      <c r="C32" s="94"/>
      <c r="D32" s="94"/>
      <c r="E32" s="94"/>
      <c r="F32" s="94"/>
      <c r="G32" s="94"/>
      <c r="H32" s="94"/>
      <c r="I32" s="94"/>
      <c r="J32" s="94"/>
      <c r="K32" s="94"/>
      <c r="L32" s="94"/>
      <c r="M32" s="94"/>
      <c r="N32" s="94"/>
      <c r="O32" s="94"/>
      <c r="P32" s="94"/>
      <c r="Q32" s="94"/>
      <c r="R32" s="94"/>
      <c r="S32" s="94"/>
      <c r="T32" s="94"/>
      <c r="U32" s="7"/>
    </row>
    <row r="33" spans="1:21" ht="13.9" customHeight="1" x14ac:dyDescent="0.25">
      <c r="A33" s="5"/>
      <c r="B33" s="94"/>
      <c r="C33" s="94"/>
      <c r="D33" s="94"/>
      <c r="E33" s="94"/>
      <c r="F33" s="94"/>
      <c r="G33" s="94"/>
      <c r="H33" s="94"/>
      <c r="I33" s="94"/>
      <c r="J33" s="94"/>
      <c r="K33" s="94"/>
      <c r="L33" s="94"/>
      <c r="M33" s="94"/>
      <c r="N33" s="94"/>
      <c r="O33" s="94"/>
      <c r="P33" s="94"/>
      <c r="Q33" s="94"/>
      <c r="R33" s="94"/>
      <c r="S33" s="94"/>
      <c r="T33" s="94"/>
      <c r="U33" s="7"/>
    </row>
    <row r="34" spans="1:21" ht="13.9" customHeight="1" x14ac:dyDescent="0.25">
      <c r="A34" s="5"/>
      <c r="B34" s="94"/>
      <c r="C34" s="94"/>
      <c r="D34" s="94"/>
      <c r="E34" s="94"/>
      <c r="F34" s="94"/>
      <c r="G34" s="94"/>
      <c r="H34" s="94"/>
      <c r="I34" s="94"/>
      <c r="J34" s="94"/>
      <c r="K34" s="94"/>
      <c r="L34" s="94"/>
      <c r="M34" s="94"/>
      <c r="N34" s="94"/>
      <c r="O34" s="94"/>
      <c r="P34" s="94"/>
      <c r="Q34" s="94"/>
      <c r="R34" s="94"/>
      <c r="S34" s="94"/>
      <c r="T34" s="94"/>
      <c r="U34" s="7"/>
    </row>
    <row r="35" spans="1:21" ht="13.9" customHeight="1" x14ac:dyDescent="0.25">
      <c r="A35" s="5"/>
      <c r="B35" s="94"/>
      <c r="C35" s="94"/>
      <c r="D35" s="94"/>
      <c r="E35" s="94"/>
      <c r="F35" s="94"/>
      <c r="G35" s="94"/>
      <c r="H35" s="94"/>
      <c r="I35" s="94"/>
      <c r="J35" s="94"/>
      <c r="K35" s="94"/>
      <c r="L35" s="94"/>
      <c r="M35" s="94"/>
      <c r="N35" s="94"/>
      <c r="O35" s="94"/>
      <c r="P35" s="94"/>
      <c r="Q35" s="94"/>
      <c r="R35" s="94"/>
      <c r="S35" s="94"/>
      <c r="T35" s="94"/>
      <c r="U35" s="7"/>
    </row>
    <row r="36" spans="1:21" ht="13.9" customHeight="1" x14ac:dyDescent="0.25">
      <c r="A36" s="5"/>
      <c r="B36" s="94"/>
      <c r="C36" s="94"/>
      <c r="D36" s="94"/>
      <c r="E36" s="94"/>
      <c r="F36" s="94"/>
      <c r="G36" s="94"/>
      <c r="H36" s="94"/>
      <c r="I36" s="94"/>
      <c r="J36" s="94"/>
      <c r="K36" s="94"/>
      <c r="L36" s="94"/>
      <c r="M36" s="94"/>
      <c r="N36" s="94"/>
      <c r="O36" s="94"/>
      <c r="P36" s="94"/>
      <c r="Q36" s="94"/>
      <c r="R36" s="94"/>
      <c r="S36" s="94"/>
      <c r="T36" s="94"/>
      <c r="U36" s="7"/>
    </row>
    <row r="37" spans="1:21" ht="13.9" customHeight="1" x14ac:dyDescent="0.25">
      <c r="A37" s="5"/>
      <c r="B37" s="94"/>
      <c r="C37" s="94"/>
      <c r="D37" s="94"/>
      <c r="E37" s="94"/>
      <c r="F37" s="94"/>
      <c r="G37" s="94"/>
      <c r="H37" s="94"/>
      <c r="I37" s="94"/>
      <c r="J37" s="94"/>
      <c r="K37" s="94"/>
      <c r="L37" s="94"/>
      <c r="M37" s="94"/>
      <c r="N37" s="94"/>
      <c r="O37" s="94"/>
      <c r="P37" s="94"/>
      <c r="Q37" s="94"/>
      <c r="R37" s="94"/>
      <c r="S37" s="94"/>
      <c r="T37" s="94"/>
      <c r="U37" s="7"/>
    </row>
    <row r="38" spans="1:21" ht="13.9" customHeight="1" x14ac:dyDescent="0.25">
      <c r="A38" s="5"/>
      <c r="B38" s="94"/>
      <c r="C38" s="94"/>
      <c r="D38" s="94"/>
      <c r="E38" s="94"/>
      <c r="F38" s="94"/>
      <c r="G38" s="94"/>
      <c r="H38" s="94"/>
      <c r="I38" s="94"/>
      <c r="J38" s="94"/>
      <c r="K38" s="94"/>
      <c r="L38" s="94"/>
      <c r="M38" s="94"/>
      <c r="N38" s="94"/>
      <c r="O38" s="94"/>
      <c r="P38" s="94"/>
      <c r="Q38" s="94"/>
      <c r="R38" s="94"/>
      <c r="S38" s="94"/>
      <c r="T38" s="94"/>
      <c r="U38" s="7"/>
    </row>
    <row r="39" spans="1:21" ht="13.9" x14ac:dyDescent="0.25">
      <c r="A39" s="5"/>
      <c r="U39" s="7"/>
    </row>
    <row r="40" spans="1:21" ht="13.9" x14ac:dyDescent="0.25">
      <c r="A40" s="5"/>
      <c r="U40" s="7"/>
    </row>
    <row r="41" spans="1:21" ht="13.9" x14ac:dyDescent="0.25">
      <c r="A41" s="5"/>
      <c r="B41" s="6"/>
      <c r="C41" s="6"/>
      <c r="D41" s="6"/>
      <c r="E41" s="6"/>
      <c r="F41" s="6"/>
      <c r="G41" s="6"/>
      <c r="H41" s="6"/>
      <c r="I41" s="6"/>
      <c r="J41" s="6"/>
      <c r="U41" s="7"/>
    </row>
    <row r="42" spans="1:21" ht="13.9" x14ac:dyDescent="0.25">
      <c r="A42" s="5"/>
      <c r="B42" s="6"/>
      <c r="C42" s="6"/>
      <c r="D42" s="6"/>
      <c r="E42" s="6"/>
      <c r="F42" s="6"/>
      <c r="G42" s="6"/>
      <c r="H42" s="6"/>
      <c r="I42" s="6"/>
      <c r="J42" s="6"/>
      <c r="U42" s="8"/>
    </row>
    <row r="43" spans="1:21" ht="13.9" x14ac:dyDescent="0.25">
      <c r="A43" s="5"/>
      <c r="B43" s="6"/>
      <c r="C43" s="6"/>
      <c r="D43" s="6"/>
      <c r="E43" s="6"/>
      <c r="F43" s="6"/>
      <c r="G43" s="6"/>
      <c r="H43" s="6"/>
      <c r="I43" s="6"/>
      <c r="J43" s="6"/>
      <c r="U43" s="7"/>
    </row>
    <row r="44" spans="1:21" ht="13.9" x14ac:dyDescent="0.25">
      <c r="A44" s="5"/>
      <c r="B44" s="6"/>
      <c r="C44" s="6"/>
      <c r="D44" s="6"/>
      <c r="E44" s="6"/>
      <c r="F44" s="6"/>
      <c r="G44" s="6"/>
      <c r="H44" s="6"/>
      <c r="I44" s="6"/>
      <c r="J44" s="6"/>
      <c r="U44" s="7"/>
    </row>
    <row r="45" spans="1:21" ht="13.9" x14ac:dyDescent="0.25">
      <c r="A45" s="5"/>
      <c r="B45" s="6"/>
      <c r="C45" s="6"/>
      <c r="D45" s="6"/>
      <c r="E45" s="6"/>
      <c r="F45" s="6"/>
      <c r="G45" s="6"/>
      <c r="H45" s="6"/>
      <c r="I45" s="6"/>
      <c r="J45" s="6"/>
      <c r="U45" s="7"/>
    </row>
    <row r="46" spans="1:21" ht="13.9" x14ac:dyDescent="0.25">
      <c r="A46" s="5"/>
      <c r="B46" s="6"/>
      <c r="C46" s="6"/>
      <c r="D46" s="6"/>
      <c r="E46" s="6"/>
      <c r="F46" s="6"/>
      <c r="G46" s="6"/>
      <c r="H46" s="6"/>
      <c r="I46" s="6"/>
      <c r="J46" s="6"/>
      <c r="U46" s="7"/>
    </row>
    <row r="47" spans="1:21" ht="13.9" x14ac:dyDescent="0.25">
      <c r="A47" s="5"/>
      <c r="B47" s="6"/>
      <c r="C47" s="6"/>
      <c r="D47" s="6"/>
      <c r="E47" s="6"/>
      <c r="F47" s="6"/>
      <c r="G47" s="6"/>
      <c r="H47" s="6"/>
      <c r="I47" s="6"/>
      <c r="J47" s="6"/>
      <c r="U47" s="7"/>
    </row>
    <row r="48" spans="1:21" ht="13.9" x14ac:dyDescent="0.25">
      <c r="A48" s="5"/>
      <c r="B48" s="6"/>
      <c r="C48" s="6"/>
      <c r="D48" s="6"/>
      <c r="E48" s="6"/>
      <c r="F48" s="6"/>
      <c r="G48" s="6"/>
      <c r="H48" s="6"/>
      <c r="I48" s="6"/>
      <c r="J48" s="6"/>
      <c r="U48" s="7"/>
    </row>
    <row r="49" spans="1:21" ht="13.9" x14ac:dyDescent="0.25">
      <c r="A49" s="5"/>
      <c r="B49" s="6"/>
      <c r="C49" s="6"/>
      <c r="D49" s="6"/>
      <c r="E49" s="6"/>
      <c r="F49" s="6"/>
      <c r="G49" s="6"/>
      <c r="H49" s="6"/>
      <c r="I49" s="6"/>
      <c r="J49" s="6"/>
      <c r="U49" s="7"/>
    </row>
    <row r="50" spans="1:21" ht="13.9" x14ac:dyDescent="0.25">
      <c r="A50" s="5"/>
      <c r="B50" s="6"/>
      <c r="C50" s="6"/>
      <c r="D50" s="6"/>
      <c r="E50" s="6"/>
      <c r="F50" s="6"/>
      <c r="G50" s="6"/>
      <c r="H50" s="6"/>
      <c r="I50" s="6"/>
      <c r="J50" s="6"/>
      <c r="U50" s="7"/>
    </row>
    <row r="51" spans="1:21" x14ac:dyDescent="0.25">
      <c r="A51" s="5"/>
      <c r="B51" s="6"/>
      <c r="C51" s="6"/>
      <c r="D51" s="6"/>
      <c r="E51" s="6"/>
      <c r="F51" s="6"/>
      <c r="G51" s="6"/>
      <c r="H51" s="6"/>
      <c r="I51" s="6"/>
      <c r="J51" s="6"/>
      <c r="U51" s="7"/>
    </row>
    <row r="52" spans="1:21" x14ac:dyDescent="0.25">
      <c r="A52" s="5"/>
      <c r="B52" s="6"/>
      <c r="C52" s="6"/>
      <c r="D52" s="6"/>
      <c r="E52" s="6"/>
      <c r="F52" s="6"/>
      <c r="G52" s="6"/>
      <c r="H52" s="6"/>
      <c r="I52" s="6"/>
      <c r="J52" s="6"/>
      <c r="U52" s="7"/>
    </row>
    <row r="53" spans="1:21" x14ac:dyDescent="0.25">
      <c r="A53" s="5"/>
      <c r="B53" s="6"/>
      <c r="C53" s="6"/>
      <c r="D53" s="6"/>
      <c r="E53" s="6"/>
      <c r="F53" s="6"/>
      <c r="G53" s="6"/>
      <c r="H53" s="6"/>
      <c r="I53" s="6"/>
      <c r="J53" s="6"/>
      <c r="U53" s="7"/>
    </row>
    <row r="54" spans="1:21" x14ac:dyDescent="0.25">
      <c r="A54" s="5"/>
      <c r="B54" s="6"/>
      <c r="C54" s="6"/>
      <c r="D54" s="6"/>
      <c r="E54" s="6"/>
      <c r="F54" s="6"/>
      <c r="G54" s="6"/>
      <c r="H54" s="6"/>
      <c r="I54" s="6"/>
      <c r="J54" s="6"/>
      <c r="U54" s="7"/>
    </row>
    <row r="55" spans="1:21" x14ac:dyDescent="0.25">
      <c r="A55" s="5"/>
      <c r="B55" s="6"/>
      <c r="C55" s="6"/>
      <c r="D55" s="6"/>
      <c r="E55" s="6"/>
      <c r="F55" s="6"/>
      <c r="G55" s="6"/>
      <c r="H55" s="6"/>
      <c r="I55" s="6"/>
      <c r="J55" s="6"/>
      <c r="U55" s="7"/>
    </row>
    <row r="56" spans="1:21" x14ac:dyDescent="0.25">
      <c r="A56" s="5"/>
      <c r="B56" s="6"/>
      <c r="C56" s="6"/>
      <c r="D56" s="6"/>
      <c r="E56" s="6"/>
      <c r="F56" s="6"/>
      <c r="G56" s="6"/>
      <c r="H56" s="6"/>
      <c r="I56" s="6"/>
      <c r="J56" s="6"/>
      <c r="U56" s="7"/>
    </row>
    <row r="57" spans="1:21" x14ac:dyDescent="0.25">
      <c r="A57" s="5"/>
      <c r="B57" s="6"/>
      <c r="C57" s="6"/>
      <c r="D57" s="6"/>
      <c r="E57" s="6"/>
      <c r="F57" s="6"/>
      <c r="G57" s="6"/>
      <c r="H57" s="6"/>
      <c r="I57" s="6"/>
      <c r="J57" s="6"/>
      <c r="U57" s="7"/>
    </row>
    <row r="58" spans="1:21" x14ac:dyDescent="0.25">
      <c r="A58" s="5"/>
      <c r="B58" s="6"/>
      <c r="C58" s="6"/>
      <c r="D58" s="6"/>
      <c r="E58" s="6"/>
      <c r="F58" s="6"/>
      <c r="G58" s="6"/>
      <c r="H58" s="6"/>
      <c r="I58" s="6"/>
      <c r="J58" s="6"/>
      <c r="U58" s="7"/>
    </row>
    <row r="59" spans="1:21" x14ac:dyDescent="0.25">
      <c r="A59" s="5"/>
      <c r="U59" s="7"/>
    </row>
    <row r="60" spans="1:21" x14ac:dyDescent="0.25">
      <c r="A60" s="5"/>
      <c r="U60" s="7"/>
    </row>
    <row r="61" spans="1:21" x14ac:dyDescent="0.25">
      <c r="A61" s="5"/>
      <c r="U61" s="7"/>
    </row>
    <row r="62" spans="1:21" x14ac:dyDescent="0.25">
      <c r="A62" s="5"/>
      <c r="B62" s="6"/>
      <c r="C62" s="6"/>
      <c r="D62" s="6"/>
      <c r="E62" s="6"/>
      <c r="F62" s="6"/>
      <c r="G62" s="6"/>
      <c r="H62" s="6"/>
      <c r="I62" s="6"/>
      <c r="J62" s="6"/>
      <c r="U62" s="7"/>
    </row>
    <row r="63" spans="1:21" x14ac:dyDescent="0.25">
      <c r="A63" s="5"/>
      <c r="B63" s="6"/>
      <c r="C63" s="6"/>
      <c r="D63" s="6"/>
      <c r="E63" s="6"/>
      <c r="F63" s="6"/>
      <c r="G63" s="6"/>
      <c r="H63" s="6"/>
      <c r="I63" s="6"/>
      <c r="J63" s="6"/>
      <c r="U63" s="7"/>
    </row>
    <row r="64" spans="1:21" x14ac:dyDescent="0.25">
      <c r="A64" s="5"/>
      <c r="B64" s="6"/>
      <c r="C64" s="6"/>
      <c r="D64" s="6"/>
      <c r="E64" s="6"/>
      <c r="F64" s="6"/>
      <c r="G64" s="6"/>
      <c r="H64" s="6"/>
      <c r="I64" s="6"/>
      <c r="J64" s="6"/>
      <c r="U64" s="7"/>
    </row>
    <row r="65" spans="1:21" x14ac:dyDescent="0.25">
      <c r="A65" s="9"/>
      <c r="B65" s="10"/>
      <c r="C65" s="10"/>
      <c r="D65" s="10"/>
      <c r="E65" s="10"/>
      <c r="F65" s="10"/>
      <c r="G65" s="10"/>
      <c r="H65" s="10"/>
      <c r="I65" s="10"/>
      <c r="J65" s="10"/>
      <c r="K65" s="10"/>
      <c r="L65" s="10"/>
      <c r="M65" s="10"/>
      <c r="N65" s="10"/>
      <c r="O65" s="10"/>
      <c r="P65" s="10"/>
      <c r="Q65" s="10"/>
      <c r="R65" s="10"/>
      <c r="S65" s="10"/>
      <c r="T65" s="10"/>
      <c r="U65" s="11"/>
    </row>
  </sheetData>
  <mergeCells count="12">
    <mergeCell ref="Q3:U3"/>
    <mergeCell ref="B5:T6"/>
    <mergeCell ref="A1:E3"/>
    <mergeCell ref="F1:G2"/>
    <mergeCell ref="H1:N2"/>
    <mergeCell ref="O1:P1"/>
    <mergeCell ref="Q1:U1"/>
    <mergeCell ref="O2:P2"/>
    <mergeCell ref="Q2:U2"/>
    <mergeCell ref="F3:G3"/>
    <mergeCell ref="H3:N3"/>
    <mergeCell ref="O3:P3"/>
  </mergeCells>
  <pageMargins left="0.7" right="0.7" top="0.75" bottom="0.75" header="0.3" footer="0.3"/>
  <pageSetup scale="75" fitToWidth="0"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B348E-D8E5-4C65-B7A9-41A9FA44B255}">
  <dimension ref="A1:U65"/>
  <sheetViews>
    <sheetView workbookViewId="0">
      <selection sqref="A1:E3"/>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1"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21" x14ac:dyDescent="0.25">
      <c r="A3" s="214"/>
      <c r="B3" s="215"/>
      <c r="C3" s="215"/>
      <c r="D3" s="215"/>
      <c r="E3" s="216"/>
      <c r="F3" s="217" t="s">
        <v>1</v>
      </c>
      <c r="G3" s="210"/>
      <c r="H3" s="217" t="s">
        <v>94</v>
      </c>
      <c r="I3" s="209"/>
      <c r="J3" s="209"/>
      <c r="K3" s="209"/>
      <c r="L3" s="209"/>
      <c r="M3" s="209"/>
      <c r="N3" s="210"/>
      <c r="O3" s="217" t="s">
        <v>4</v>
      </c>
      <c r="P3" s="209"/>
      <c r="Q3" s="209" t="str">
        <f>'0. CARTA RESPONSABILIDAD'!Q3</f>
        <v>R0</v>
      </c>
      <c r="R3" s="209"/>
      <c r="S3" s="209"/>
      <c r="T3" s="209"/>
      <c r="U3" s="210"/>
    </row>
    <row r="4" spans="1:21" ht="13.9" x14ac:dyDescent="0.25">
      <c r="A4" s="2"/>
      <c r="B4" s="3"/>
      <c r="C4" s="3"/>
      <c r="D4" s="3"/>
      <c r="E4" s="3"/>
      <c r="F4" s="3"/>
      <c r="G4" s="3"/>
      <c r="H4" s="3"/>
      <c r="I4" s="3"/>
      <c r="J4" s="3"/>
      <c r="K4" s="3"/>
      <c r="L4" s="3"/>
      <c r="M4" s="3"/>
      <c r="N4" s="3"/>
      <c r="O4" s="3"/>
      <c r="P4" s="3"/>
      <c r="Q4" s="3"/>
      <c r="R4" s="3"/>
      <c r="S4" s="3"/>
      <c r="T4" s="3"/>
      <c r="U4" s="4"/>
    </row>
    <row r="5" spans="1:21" ht="13.9" customHeight="1" x14ac:dyDescent="0.25">
      <c r="A5" s="5"/>
      <c r="U5" s="7"/>
    </row>
    <row r="6" spans="1:21" ht="13.9" customHeight="1" x14ac:dyDescent="0.25">
      <c r="A6" s="5"/>
      <c r="U6" s="7"/>
    </row>
    <row r="7" spans="1:21" ht="13.9" customHeight="1" x14ac:dyDescent="0.25">
      <c r="A7" s="5"/>
      <c r="B7" s="106"/>
      <c r="C7" s="106"/>
      <c r="D7" s="106"/>
      <c r="E7" s="106"/>
      <c r="F7" s="106"/>
      <c r="G7" s="106"/>
      <c r="H7" s="106"/>
      <c r="I7" s="106"/>
      <c r="J7" s="106"/>
      <c r="K7" s="106"/>
      <c r="L7" s="106"/>
      <c r="M7" s="106"/>
      <c r="N7" s="106"/>
      <c r="O7" s="106"/>
      <c r="P7" s="106"/>
      <c r="Q7" s="106"/>
      <c r="R7" s="106"/>
      <c r="S7" s="106"/>
      <c r="T7" s="106"/>
      <c r="U7" s="7"/>
    </row>
    <row r="8" spans="1:21" ht="13.9" customHeight="1" x14ac:dyDescent="0.25">
      <c r="A8" s="5"/>
      <c r="B8" s="6"/>
      <c r="C8" s="106"/>
      <c r="D8" s="106"/>
      <c r="E8" s="106"/>
      <c r="F8" s="106"/>
      <c r="G8" s="106"/>
      <c r="H8" s="106"/>
      <c r="I8" s="106"/>
      <c r="J8" s="106"/>
      <c r="K8" s="106"/>
      <c r="L8" s="106"/>
      <c r="M8" s="106"/>
      <c r="N8" s="106"/>
      <c r="O8" s="106"/>
      <c r="P8" s="106"/>
      <c r="Q8" s="106"/>
      <c r="R8" s="106"/>
      <c r="S8" s="106"/>
      <c r="T8" s="106"/>
      <c r="U8" s="7"/>
    </row>
    <row r="9" spans="1:21" ht="13.9" x14ac:dyDescent="0.25">
      <c r="A9" s="5"/>
      <c r="U9" s="7"/>
    </row>
    <row r="10" spans="1:21" ht="13.9" x14ac:dyDescent="0.25">
      <c r="A10" s="5"/>
      <c r="U10" s="7"/>
    </row>
    <row r="11" spans="1:21" ht="13.9" x14ac:dyDescent="0.25">
      <c r="A11" s="5"/>
      <c r="U11" s="7"/>
    </row>
    <row r="12" spans="1:21" ht="13.9" x14ac:dyDescent="0.25">
      <c r="A12" s="5"/>
      <c r="U12" s="7"/>
    </row>
    <row r="13" spans="1:21" ht="13.9" x14ac:dyDescent="0.25">
      <c r="A13" s="5"/>
      <c r="U13" s="7"/>
    </row>
    <row r="14" spans="1:21" ht="13.9" x14ac:dyDescent="0.25">
      <c r="A14" s="5"/>
      <c r="U14" s="7"/>
    </row>
    <row r="15" spans="1:21" ht="13.9" x14ac:dyDescent="0.25">
      <c r="A15" s="5"/>
      <c r="U15" s="7"/>
    </row>
    <row r="16" spans="1:21" ht="13.9" x14ac:dyDescent="0.25">
      <c r="A16" s="5"/>
      <c r="U16" s="7"/>
    </row>
    <row r="17" spans="1:21" ht="13.9" x14ac:dyDescent="0.25">
      <c r="A17" s="5"/>
      <c r="U17" s="7"/>
    </row>
    <row r="18" spans="1:21" ht="13.9" x14ac:dyDescent="0.25">
      <c r="A18" s="5"/>
      <c r="U18" s="7"/>
    </row>
    <row r="19" spans="1:21" ht="13.9" x14ac:dyDescent="0.25">
      <c r="A19" s="5"/>
      <c r="U19" s="7"/>
    </row>
    <row r="20" spans="1:21" ht="13.9" x14ac:dyDescent="0.25">
      <c r="A20" s="5"/>
      <c r="U20" s="7"/>
    </row>
    <row r="21" spans="1:21" ht="13.9" x14ac:dyDescent="0.25">
      <c r="A21" s="5"/>
      <c r="U21" s="7"/>
    </row>
    <row r="22" spans="1:21" ht="13.9" x14ac:dyDescent="0.25">
      <c r="A22" s="5"/>
      <c r="U22" s="7"/>
    </row>
    <row r="23" spans="1:21" ht="13.9" x14ac:dyDescent="0.25">
      <c r="A23" s="5"/>
      <c r="U23" s="7"/>
    </row>
    <row r="24" spans="1:21" ht="13.9" x14ac:dyDescent="0.25">
      <c r="A24" s="5"/>
      <c r="B24" s="6"/>
      <c r="C24" s="6"/>
      <c r="D24" s="6"/>
      <c r="E24" s="6"/>
      <c r="F24" s="6"/>
      <c r="G24" s="6"/>
      <c r="H24" s="6"/>
      <c r="I24" s="6"/>
      <c r="J24" s="6"/>
      <c r="U24" s="7"/>
    </row>
    <row r="25" spans="1:21" ht="13.9" x14ac:dyDescent="0.25">
      <c r="A25" s="5"/>
      <c r="U25" s="7"/>
    </row>
    <row r="26" spans="1:21" ht="13.9" x14ac:dyDescent="0.25">
      <c r="A26" s="5"/>
      <c r="U26" s="7"/>
    </row>
    <row r="27" spans="1:21" ht="13.9" customHeight="1" x14ac:dyDescent="0.25">
      <c r="A27" s="5"/>
      <c r="B27" s="94"/>
      <c r="C27" s="94"/>
      <c r="D27" s="94"/>
      <c r="E27" s="94"/>
      <c r="F27" s="94"/>
      <c r="G27" s="94"/>
      <c r="H27" s="94"/>
      <c r="I27" s="94"/>
      <c r="J27" s="94"/>
      <c r="K27" s="94"/>
      <c r="L27" s="94"/>
      <c r="M27" s="94"/>
      <c r="N27" s="94"/>
      <c r="O27" s="94"/>
      <c r="P27" s="94"/>
      <c r="Q27" s="94"/>
      <c r="R27" s="94"/>
      <c r="S27" s="94"/>
      <c r="T27" s="94"/>
      <c r="U27" s="7"/>
    </row>
    <row r="28" spans="1:21" ht="13.9" customHeight="1" x14ac:dyDescent="0.25">
      <c r="A28" s="5"/>
      <c r="B28" s="94"/>
      <c r="C28" s="94"/>
      <c r="D28" s="94"/>
      <c r="E28" s="94"/>
      <c r="F28" s="94"/>
      <c r="G28" s="94"/>
      <c r="H28" s="94"/>
      <c r="I28" s="94"/>
      <c r="J28" s="94"/>
      <c r="K28" s="94"/>
      <c r="L28" s="94"/>
      <c r="M28" s="94"/>
      <c r="N28" s="94"/>
      <c r="O28" s="94"/>
      <c r="P28" s="94"/>
      <c r="Q28" s="94"/>
      <c r="R28" s="94"/>
      <c r="S28" s="94"/>
      <c r="T28" s="94"/>
      <c r="U28" s="7"/>
    </row>
    <row r="29" spans="1:21" ht="13.9" customHeight="1" x14ac:dyDescent="0.25">
      <c r="A29" s="5"/>
      <c r="B29" s="94"/>
      <c r="C29" s="94"/>
      <c r="D29" s="94"/>
      <c r="E29" s="94"/>
      <c r="F29" s="94"/>
      <c r="G29" s="94"/>
      <c r="H29" s="94"/>
      <c r="I29" s="94"/>
      <c r="J29" s="94"/>
      <c r="K29" s="94"/>
      <c r="L29" s="94"/>
      <c r="M29" s="94"/>
      <c r="N29" s="94"/>
      <c r="O29" s="94"/>
      <c r="P29" s="94"/>
      <c r="Q29" s="94"/>
      <c r="R29" s="94"/>
      <c r="S29" s="94"/>
      <c r="T29" s="94"/>
      <c r="U29" s="7"/>
    </row>
    <row r="30" spans="1:21" ht="13.9" customHeight="1" x14ac:dyDescent="0.25">
      <c r="A30" s="5"/>
      <c r="B30" s="94"/>
      <c r="C30" s="94"/>
      <c r="D30" s="94"/>
      <c r="E30" s="94"/>
      <c r="F30" s="94"/>
      <c r="G30" s="94"/>
      <c r="H30" s="94"/>
      <c r="I30" s="94"/>
      <c r="J30" s="94"/>
      <c r="K30" s="94"/>
      <c r="L30" s="94"/>
      <c r="M30" s="94"/>
      <c r="N30" s="94"/>
      <c r="O30" s="94"/>
      <c r="P30" s="94"/>
      <c r="Q30" s="94"/>
      <c r="R30" s="94"/>
      <c r="S30" s="94"/>
      <c r="T30" s="94"/>
      <c r="U30" s="7"/>
    </row>
    <row r="31" spans="1:21" ht="13.9" customHeight="1" x14ac:dyDescent="0.25">
      <c r="A31" s="5"/>
      <c r="B31" s="94"/>
      <c r="C31" s="94"/>
      <c r="D31" s="94"/>
      <c r="E31" s="94"/>
      <c r="F31" s="94"/>
      <c r="G31" s="94"/>
      <c r="H31" s="94"/>
      <c r="I31" s="94"/>
      <c r="J31" s="94"/>
      <c r="K31" s="94"/>
      <c r="L31" s="94"/>
      <c r="M31" s="94"/>
      <c r="N31" s="94"/>
      <c r="O31" s="94"/>
      <c r="P31" s="94"/>
      <c r="Q31" s="94"/>
      <c r="R31" s="94"/>
      <c r="S31" s="94"/>
      <c r="T31" s="94"/>
      <c r="U31" s="7"/>
    </row>
    <row r="32" spans="1:21" ht="13.9" customHeight="1" x14ac:dyDescent="0.25">
      <c r="A32" s="5"/>
      <c r="B32" s="314" t="s">
        <v>592</v>
      </c>
      <c r="C32" s="314"/>
      <c r="D32" s="314"/>
      <c r="E32" s="314"/>
      <c r="F32" s="314"/>
      <c r="G32" s="314"/>
      <c r="H32" s="314"/>
      <c r="I32" s="314"/>
      <c r="J32" s="314"/>
      <c r="K32" s="314"/>
      <c r="L32" s="314"/>
      <c r="M32" s="314"/>
      <c r="N32" s="314"/>
      <c r="O32" s="314"/>
      <c r="P32" s="314"/>
      <c r="Q32" s="314"/>
      <c r="R32" s="314"/>
      <c r="S32" s="314"/>
      <c r="T32" s="314"/>
      <c r="U32" s="7"/>
    </row>
    <row r="33" spans="1:21" ht="13.9" customHeight="1" x14ac:dyDescent="0.25">
      <c r="A33" s="5"/>
      <c r="B33" s="314"/>
      <c r="C33" s="314"/>
      <c r="D33" s="314"/>
      <c r="E33" s="314"/>
      <c r="F33" s="314"/>
      <c r="G33" s="314"/>
      <c r="H33" s="314"/>
      <c r="I33" s="314"/>
      <c r="J33" s="314"/>
      <c r="K33" s="314"/>
      <c r="L33" s="314"/>
      <c r="M33" s="314"/>
      <c r="N33" s="314"/>
      <c r="O33" s="314"/>
      <c r="P33" s="314"/>
      <c r="Q33" s="314"/>
      <c r="R33" s="314"/>
      <c r="S33" s="314"/>
      <c r="T33" s="314"/>
      <c r="U33" s="7"/>
    </row>
    <row r="34" spans="1:21" ht="13.9" customHeight="1" x14ac:dyDescent="0.25">
      <c r="A34" s="5"/>
      <c r="B34" s="94"/>
      <c r="C34" s="94"/>
      <c r="D34" s="94"/>
      <c r="E34" s="94"/>
      <c r="F34" s="94"/>
      <c r="G34" s="94"/>
      <c r="H34" s="94"/>
      <c r="I34" s="94"/>
      <c r="J34" s="94"/>
      <c r="K34" s="94"/>
      <c r="L34" s="94"/>
      <c r="M34" s="94"/>
      <c r="N34" s="94"/>
      <c r="O34" s="94"/>
      <c r="P34" s="94"/>
      <c r="Q34" s="94"/>
      <c r="R34" s="94"/>
      <c r="S34" s="94"/>
      <c r="T34" s="94"/>
      <c r="U34" s="7"/>
    </row>
    <row r="35" spans="1:21" ht="13.9" customHeight="1" x14ac:dyDescent="0.25">
      <c r="A35" s="5"/>
      <c r="B35" s="94"/>
      <c r="C35" s="94"/>
      <c r="D35" s="94"/>
      <c r="E35" s="94"/>
      <c r="F35" s="94"/>
      <c r="G35" s="94"/>
      <c r="H35" s="94"/>
      <c r="I35" s="94"/>
      <c r="J35" s="94"/>
      <c r="K35" s="94"/>
      <c r="L35" s="94"/>
      <c r="M35" s="94"/>
      <c r="N35" s="94"/>
      <c r="O35" s="94"/>
      <c r="P35" s="94"/>
      <c r="Q35" s="94"/>
      <c r="R35" s="94"/>
      <c r="S35" s="94"/>
      <c r="T35" s="94"/>
      <c r="U35" s="7"/>
    </row>
    <row r="36" spans="1:21" ht="13.9" customHeight="1" x14ac:dyDescent="0.25">
      <c r="A36" s="5"/>
      <c r="B36" s="94"/>
      <c r="C36" s="94"/>
      <c r="D36" s="94"/>
      <c r="E36" s="94"/>
      <c r="F36" s="94"/>
      <c r="G36" s="94"/>
      <c r="H36" s="94"/>
      <c r="I36" s="94"/>
      <c r="J36" s="94"/>
      <c r="K36" s="94"/>
      <c r="L36" s="94"/>
      <c r="M36" s="94"/>
      <c r="N36" s="94"/>
      <c r="O36" s="94"/>
      <c r="P36" s="94"/>
      <c r="Q36" s="94"/>
      <c r="R36" s="94"/>
      <c r="S36" s="94"/>
      <c r="T36" s="94"/>
      <c r="U36" s="7"/>
    </row>
    <row r="37" spans="1:21" ht="13.9" customHeight="1" x14ac:dyDescent="0.25">
      <c r="A37" s="5"/>
      <c r="B37" s="94"/>
      <c r="C37" s="94"/>
      <c r="D37" s="94"/>
      <c r="E37" s="94"/>
      <c r="F37" s="94"/>
      <c r="G37" s="94"/>
      <c r="H37" s="94"/>
      <c r="I37" s="94"/>
      <c r="J37" s="94"/>
      <c r="K37" s="94"/>
      <c r="L37" s="94"/>
      <c r="M37" s="94"/>
      <c r="N37" s="94"/>
      <c r="O37" s="94"/>
      <c r="P37" s="94"/>
      <c r="Q37" s="94"/>
      <c r="R37" s="94"/>
      <c r="S37" s="94"/>
      <c r="T37" s="94"/>
      <c r="U37" s="7"/>
    </row>
    <row r="38" spans="1:21" ht="13.9" customHeight="1" x14ac:dyDescent="0.25">
      <c r="A38" s="5"/>
      <c r="B38" s="94"/>
      <c r="C38" s="94"/>
      <c r="D38" s="94"/>
      <c r="E38" s="94"/>
      <c r="F38" s="94"/>
      <c r="G38" s="94"/>
      <c r="H38" s="94"/>
      <c r="I38" s="94"/>
      <c r="J38" s="94"/>
      <c r="K38" s="94"/>
      <c r="L38" s="94"/>
      <c r="M38" s="94"/>
      <c r="N38" s="94"/>
      <c r="O38" s="94"/>
      <c r="P38" s="94"/>
      <c r="Q38" s="94"/>
      <c r="R38" s="94"/>
      <c r="S38" s="94"/>
      <c r="T38" s="94"/>
      <c r="U38" s="7"/>
    </row>
    <row r="39" spans="1:21" ht="13.9" x14ac:dyDescent="0.25">
      <c r="A39" s="5"/>
      <c r="U39" s="7"/>
    </row>
    <row r="40" spans="1:21" ht="13.9" x14ac:dyDescent="0.25">
      <c r="A40" s="5"/>
      <c r="U40" s="7"/>
    </row>
    <row r="41" spans="1:21" ht="13.9" x14ac:dyDescent="0.25">
      <c r="A41" s="5"/>
      <c r="B41" s="6"/>
      <c r="C41" s="6"/>
      <c r="D41" s="6"/>
      <c r="E41" s="6"/>
      <c r="F41" s="6"/>
      <c r="G41" s="6"/>
      <c r="H41" s="6"/>
      <c r="I41" s="6"/>
      <c r="J41" s="6"/>
      <c r="U41" s="7"/>
    </row>
    <row r="42" spans="1:21" ht="13.9" x14ac:dyDescent="0.25">
      <c r="A42" s="5"/>
      <c r="B42" s="6"/>
      <c r="C42" s="6"/>
      <c r="D42" s="6"/>
      <c r="E42" s="6"/>
      <c r="F42" s="6"/>
      <c r="G42" s="6"/>
      <c r="H42" s="6"/>
      <c r="I42" s="6"/>
      <c r="J42" s="6"/>
      <c r="U42" s="8"/>
    </row>
    <row r="43" spans="1:21" ht="13.9" x14ac:dyDescent="0.25">
      <c r="A43" s="5"/>
      <c r="B43" s="6"/>
      <c r="C43" s="6"/>
      <c r="D43" s="6"/>
      <c r="E43" s="6"/>
      <c r="F43" s="6"/>
      <c r="G43" s="6"/>
      <c r="H43" s="6"/>
      <c r="I43" s="6"/>
      <c r="J43" s="6"/>
      <c r="U43" s="7"/>
    </row>
    <row r="44" spans="1:21" ht="13.9" x14ac:dyDescent="0.25">
      <c r="A44" s="5"/>
      <c r="B44" s="6"/>
      <c r="C44" s="6"/>
      <c r="D44" s="6"/>
      <c r="E44" s="6"/>
      <c r="F44" s="6"/>
      <c r="G44" s="6"/>
      <c r="H44" s="6"/>
      <c r="I44" s="6"/>
      <c r="J44" s="6"/>
      <c r="U44" s="7"/>
    </row>
    <row r="45" spans="1:21" ht="13.9" x14ac:dyDescent="0.25">
      <c r="A45" s="5"/>
      <c r="B45" s="6"/>
      <c r="C45" s="6"/>
      <c r="D45" s="6"/>
      <c r="E45" s="6"/>
      <c r="F45" s="6"/>
      <c r="G45" s="6"/>
      <c r="H45" s="6"/>
      <c r="I45" s="6"/>
      <c r="J45" s="6"/>
      <c r="U45" s="7"/>
    </row>
    <row r="46" spans="1:21" ht="13.9" x14ac:dyDescent="0.25">
      <c r="A46" s="5"/>
      <c r="B46" s="6"/>
      <c r="C46" s="6"/>
      <c r="D46" s="6"/>
      <c r="E46" s="6"/>
      <c r="F46" s="6"/>
      <c r="G46" s="6"/>
      <c r="H46" s="6"/>
      <c r="I46" s="6"/>
      <c r="J46" s="6"/>
      <c r="U46" s="7"/>
    </row>
    <row r="47" spans="1:21" ht="13.9" x14ac:dyDescent="0.25">
      <c r="A47" s="5"/>
      <c r="B47" s="6"/>
      <c r="C47" s="6"/>
      <c r="D47" s="6"/>
      <c r="E47" s="6"/>
      <c r="F47" s="6"/>
      <c r="G47" s="6"/>
      <c r="H47" s="6"/>
      <c r="I47" s="6"/>
      <c r="J47" s="6"/>
      <c r="U47" s="7"/>
    </row>
    <row r="48" spans="1:21" ht="13.9" x14ac:dyDescent="0.25">
      <c r="A48" s="5"/>
      <c r="B48" s="6"/>
      <c r="C48" s="6"/>
      <c r="D48" s="6"/>
      <c r="E48" s="6"/>
      <c r="F48" s="6"/>
      <c r="G48" s="6"/>
      <c r="H48" s="6"/>
      <c r="I48" s="6"/>
      <c r="J48" s="6"/>
      <c r="U48" s="7"/>
    </row>
    <row r="49" spans="1:21" ht="13.9" x14ac:dyDescent="0.25">
      <c r="A49" s="5"/>
      <c r="B49" s="6"/>
      <c r="C49" s="6"/>
      <c r="D49" s="6"/>
      <c r="E49" s="6"/>
      <c r="F49" s="6"/>
      <c r="G49" s="6"/>
      <c r="H49" s="6"/>
      <c r="I49" s="6"/>
      <c r="J49" s="6"/>
      <c r="U49" s="7"/>
    </row>
    <row r="50" spans="1:21" ht="13.9" x14ac:dyDescent="0.25">
      <c r="A50" s="5"/>
      <c r="B50" s="6"/>
      <c r="C50" s="6"/>
      <c r="D50" s="6"/>
      <c r="E50" s="6"/>
      <c r="F50" s="6"/>
      <c r="G50" s="6"/>
      <c r="H50" s="6"/>
      <c r="I50" s="6"/>
      <c r="J50" s="6"/>
      <c r="U50" s="7"/>
    </row>
    <row r="51" spans="1:21" x14ac:dyDescent="0.25">
      <c r="A51" s="5"/>
      <c r="B51" s="6"/>
      <c r="C51" s="6"/>
      <c r="D51" s="6"/>
      <c r="E51" s="6"/>
      <c r="F51" s="6"/>
      <c r="G51" s="6"/>
      <c r="H51" s="6"/>
      <c r="I51" s="6"/>
      <c r="J51" s="6"/>
      <c r="U51" s="7"/>
    </row>
    <row r="52" spans="1:21" x14ac:dyDescent="0.25">
      <c r="A52" s="5"/>
      <c r="B52" s="6"/>
      <c r="C52" s="6"/>
      <c r="D52" s="6"/>
      <c r="E52" s="6"/>
      <c r="F52" s="6"/>
      <c r="G52" s="6"/>
      <c r="H52" s="6"/>
      <c r="I52" s="6"/>
      <c r="J52" s="6"/>
      <c r="U52" s="7"/>
    </row>
    <row r="53" spans="1:21" x14ac:dyDescent="0.25">
      <c r="A53" s="5"/>
      <c r="B53" s="6"/>
      <c r="C53" s="6"/>
      <c r="D53" s="6"/>
      <c r="E53" s="6"/>
      <c r="F53" s="6"/>
      <c r="G53" s="6"/>
      <c r="H53" s="6"/>
      <c r="I53" s="6"/>
      <c r="J53" s="6"/>
      <c r="U53" s="7"/>
    </row>
    <row r="54" spans="1:21" x14ac:dyDescent="0.25">
      <c r="A54" s="5"/>
      <c r="B54" s="6"/>
      <c r="C54" s="6"/>
      <c r="D54" s="6"/>
      <c r="E54" s="6"/>
      <c r="F54" s="6"/>
      <c r="G54" s="6"/>
      <c r="H54" s="6"/>
      <c r="I54" s="6"/>
      <c r="J54" s="6"/>
      <c r="U54" s="7"/>
    </row>
    <row r="55" spans="1:21" x14ac:dyDescent="0.25">
      <c r="A55" s="5"/>
      <c r="B55" s="6"/>
      <c r="C55" s="6"/>
      <c r="D55" s="6"/>
      <c r="E55" s="6"/>
      <c r="F55" s="6"/>
      <c r="G55" s="6"/>
      <c r="H55" s="6"/>
      <c r="I55" s="6"/>
      <c r="J55" s="6"/>
      <c r="U55" s="7"/>
    </row>
    <row r="56" spans="1:21" x14ac:dyDescent="0.25">
      <c r="A56" s="5"/>
      <c r="B56" s="6"/>
      <c r="C56" s="6"/>
      <c r="D56" s="6"/>
      <c r="E56" s="6"/>
      <c r="F56" s="6"/>
      <c r="G56" s="6"/>
      <c r="H56" s="6"/>
      <c r="I56" s="6"/>
      <c r="J56" s="6"/>
      <c r="U56" s="7"/>
    </row>
    <row r="57" spans="1:21" x14ac:dyDescent="0.25">
      <c r="A57" s="5"/>
      <c r="B57" s="6"/>
      <c r="C57" s="6"/>
      <c r="D57" s="6"/>
      <c r="E57" s="6"/>
      <c r="F57" s="6"/>
      <c r="G57" s="6"/>
      <c r="H57" s="6"/>
      <c r="I57" s="6"/>
      <c r="J57" s="6"/>
      <c r="U57" s="7"/>
    </row>
    <row r="58" spans="1:21" x14ac:dyDescent="0.25">
      <c r="A58" s="5"/>
      <c r="B58" s="6"/>
      <c r="C58" s="6"/>
      <c r="D58" s="6"/>
      <c r="E58" s="6"/>
      <c r="F58" s="6"/>
      <c r="G58" s="6"/>
      <c r="H58" s="6"/>
      <c r="I58" s="6"/>
      <c r="J58" s="6"/>
      <c r="U58" s="7"/>
    </row>
    <row r="59" spans="1:21" x14ac:dyDescent="0.25">
      <c r="A59" s="5"/>
      <c r="U59" s="7"/>
    </row>
    <row r="60" spans="1:21" x14ac:dyDescent="0.25">
      <c r="A60" s="5"/>
      <c r="U60" s="7"/>
    </row>
    <row r="61" spans="1:21" x14ac:dyDescent="0.25">
      <c r="A61" s="5"/>
      <c r="U61" s="7"/>
    </row>
    <row r="62" spans="1:21" x14ac:dyDescent="0.25">
      <c r="A62" s="5"/>
      <c r="B62" s="6"/>
      <c r="C62" s="6"/>
      <c r="D62" s="6"/>
      <c r="E62" s="6"/>
      <c r="F62" s="6"/>
      <c r="G62" s="6"/>
      <c r="H62" s="6"/>
      <c r="I62" s="6"/>
      <c r="J62" s="6"/>
      <c r="U62" s="7"/>
    </row>
    <row r="63" spans="1:21" x14ac:dyDescent="0.25">
      <c r="A63" s="5"/>
      <c r="B63" s="6"/>
      <c r="C63" s="6"/>
      <c r="D63" s="6"/>
      <c r="E63" s="6"/>
      <c r="F63" s="6"/>
      <c r="G63" s="6"/>
      <c r="H63" s="6"/>
      <c r="I63" s="6"/>
      <c r="J63" s="6"/>
      <c r="U63" s="7"/>
    </row>
    <row r="64" spans="1:21" x14ac:dyDescent="0.25">
      <c r="A64" s="5"/>
      <c r="B64" s="6"/>
      <c r="C64" s="6"/>
      <c r="D64" s="6"/>
      <c r="E64" s="6"/>
      <c r="F64" s="6"/>
      <c r="G64" s="6"/>
      <c r="H64" s="6"/>
      <c r="I64" s="6"/>
      <c r="J64" s="6"/>
      <c r="U64" s="7"/>
    </row>
    <row r="65" spans="1:21" x14ac:dyDescent="0.25">
      <c r="A65" s="9"/>
      <c r="B65" s="10"/>
      <c r="C65" s="10"/>
      <c r="D65" s="10"/>
      <c r="E65" s="10"/>
      <c r="F65" s="10"/>
      <c r="G65" s="10"/>
      <c r="H65" s="10"/>
      <c r="I65" s="10"/>
      <c r="J65" s="10"/>
      <c r="K65" s="10"/>
      <c r="L65" s="10"/>
      <c r="M65" s="10"/>
      <c r="N65" s="10"/>
      <c r="O65" s="10"/>
      <c r="P65" s="10"/>
      <c r="Q65" s="10"/>
      <c r="R65" s="10"/>
      <c r="S65" s="10"/>
      <c r="T65" s="10"/>
      <c r="U65" s="11"/>
    </row>
  </sheetData>
  <mergeCells count="12">
    <mergeCell ref="Q3:U3"/>
    <mergeCell ref="B32:T33"/>
    <mergeCell ref="A1:E3"/>
    <mergeCell ref="F1:G2"/>
    <mergeCell ref="H1:N2"/>
    <mergeCell ref="O1:P1"/>
    <mergeCell ref="Q1:U1"/>
    <mergeCell ref="O2:P2"/>
    <mergeCell ref="Q2:U2"/>
    <mergeCell ref="F3:G3"/>
    <mergeCell ref="H3:N3"/>
    <mergeCell ref="O3:P3"/>
  </mergeCells>
  <printOptions horizontalCentered="1" verticalCentered="1"/>
  <pageMargins left="0.70866141732283472" right="0.70866141732283472" top="0.74803149606299213" bottom="0.74803149606299213" header="0.31496062992125984" footer="0.31496062992125984"/>
  <pageSetup scale="75" fitToWidth="0"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E60D0-E7EA-4429-81B6-88001822086A}">
  <dimension ref="A1:BA592"/>
  <sheetViews>
    <sheetView view="pageBreakPreview" zoomScale="85" zoomScaleNormal="100" zoomScaleSheetLayoutView="85" workbookViewId="0">
      <selection activeCell="X37" sqref="X37"/>
    </sheetView>
  </sheetViews>
  <sheetFormatPr baseColWidth="10" defaultColWidth="5.7109375" defaultRowHeight="15" x14ac:dyDescent="0.25"/>
  <cols>
    <col min="1" max="16" width="5.7109375" style="1" customWidth="1"/>
    <col min="17" max="17" width="5.7109375" style="1"/>
    <col min="18" max="21" width="5.7109375" style="1" customWidth="1"/>
    <col min="22" max="22" width="5.7109375" style="1"/>
    <col min="23" max="34" width="5.28515625" style="1" customWidth="1"/>
    <col min="35" max="35" width="13.42578125" style="1" bestFit="1" customWidth="1"/>
    <col min="36" max="36" width="8.140625" style="1" bestFit="1" customWidth="1"/>
    <col min="37" max="37" width="5.42578125" style="1" bestFit="1" customWidth="1"/>
    <col min="38" max="38" width="11.5703125" style="1" bestFit="1" customWidth="1"/>
    <col min="39" max="39" width="15.42578125" style="1" bestFit="1" customWidth="1"/>
    <col min="40" max="40" width="8" style="1" bestFit="1" customWidth="1"/>
    <col min="41" max="41" width="17.42578125" style="1" bestFit="1" customWidth="1"/>
    <col min="42" max="42" width="10.85546875" style="1" bestFit="1" customWidth="1"/>
    <col min="43" max="43" width="7" style="1" bestFit="1" customWidth="1"/>
    <col min="44" max="44" width="17.85546875" style="1" bestFit="1" customWidth="1"/>
    <col min="45" max="45" width="11.28515625" style="1" bestFit="1" customWidth="1"/>
    <col min="46" max="46" width="7" style="1" bestFit="1" customWidth="1"/>
    <col min="47" max="47" width="9" style="1" bestFit="1" customWidth="1"/>
    <col min="48" max="48" width="8" style="1" bestFit="1" customWidth="1"/>
    <col min="49" max="49" width="8.42578125" style="1" bestFit="1" customWidth="1"/>
    <col min="50" max="50" width="8" style="1" bestFit="1" customWidth="1"/>
    <col min="51" max="51" width="9" style="1" bestFit="1" customWidth="1"/>
    <col min="52" max="52" width="8" style="1" bestFit="1" customWidth="1"/>
    <col min="53" max="53" width="8.42578125" style="1" bestFit="1" customWidth="1"/>
    <col min="54" max="54" width="10.85546875" style="1" bestFit="1" customWidth="1"/>
    <col min="55" max="55" width="65.5703125" style="1" bestFit="1" customWidth="1"/>
    <col min="56" max="56" width="5.28515625" style="1" customWidth="1"/>
    <col min="57" max="57" width="6" style="1" bestFit="1" customWidth="1"/>
    <col min="58" max="58" width="10" style="1" bestFit="1" customWidth="1"/>
    <col min="59" max="59" width="6" style="1" bestFit="1" customWidth="1"/>
    <col min="60" max="16384" width="5.7109375" style="1"/>
  </cols>
  <sheetData>
    <row r="1" spans="1:53" ht="15" customHeight="1" x14ac:dyDescent="0.25">
      <c r="A1" s="211" t="s">
        <v>5</v>
      </c>
      <c r="B1" s="212"/>
      <c r="C1" s="212"/>
      <c r="D1" s="212"/>
      <c r="E1" s="213"/>
      <c r="F1" s="217" t="s">
        <v>0</v>
      </c>
      <c r="G1" s="210"/>
      <c r="H1" s="211" t="str">
        <f>'0. INICIO'!H1</f>
        <v>EDIFICACIÓN LOCALES COMERCIALES</v>
      </c>
      <c r="I1" s="212"/>
      <c r="J1" s="212"/>
      <c r="K1" s="212"/>
      <c r="L1" s="212"/>
      <c r="M1" s="212"/>
      <c r="N1" s="213"/>
      <c r="O1" s="221" t="s">
        <v>2</v>
      </c>
      <c r="P1" s="222"/>
      <c r="Q1" s="222" t="str">
        <f>'0. INICIO'!Q1</f>
        <v>Mayo de 2025</v>
      </c>
      <c r="R1" s="222"/>
      <c r="S1" s="222"/>
      <c r="T1" s="222"/>
      <c r="U1" s="223"/>
      <c r="AJ1" s="1" t="s">
        <v>797</v>
      </c>
    </row>
    <row r="2" spans="1:53" x14ac:dyDescent="0.25">
      <c r="A2" s="214"/>
      <c r="B2" s="215"/>
      <c r="C2" s="215"/>
      <c r="D2" s="215"/>
      <c r="E2" s="216"/>
      <c r="F2" s="218"/>
      <c r="G2" s="219"/>
      <c r="H2" s="229"/>
      <c r="I2" s="230"/>
      <c r="J2" s="230"/>
      <c r="K2" s="230"/>
      <c r="L2" s="230"/>
      <c r="M2" s="230"/>
      <c r="N2" s="231"/>
      <c r="O2" s="221" t="s">
        <v>3</v>
      </c>
      <c r="P2" s="222"/>
      <c r="Q2" s="222" t="str">
        <f>'0. INICIO'!Q2</f>
        <v xml:space="preserve"> </v>
      </c>
      <c r="R2" s="222"/>
      <c r="S2" s="222"/>
      <c r="T2" s="222"/>
      <c r="U2" s="223"/>
      <c r="AK2" s="1">
        <v>3</v>
      </c>
    </row>
    <row r="3" spans="1:53" x14ac:dyDescent="0.25">
      <c r="A3" s="214"/>
      <c r="B3" s="215"/>
      <c r="C3" s="215"/>
      <c r="D3" s="215"/>
      <c r="E3" s="216"/>
      <c r="F3" s="217" t="s">
        <v>1</v>
      </c>
      <c r="G3" s="210"/>
      <c r="H3" s="217" t="s">
        <v>347</v>
      </c>
      <c r="I3" s="209"/>
      <c r="J3" s="209"/>
      <c r="K3" s="209"/>
      <c r="L3" s="209"/>
      <c r="M3" s="209"/>
      <c r="N3" s="210"/>
      <c r="O3" s="217" t="s">
        <v>4</v>
      </c>
      <c r="P3" s="209"/>
      <c r="Q3" s="209" t="str">
        <f>'0. INICIO'!Q3</f>
        <v>R0</v>
      </c>
      <c r="R3" s="209"/>
      <c r="S3" s="209"/>
      <c r="T3" s="209"/>
      <c r="U3" s="210"/>
    </row>
    <row r="4" spans="1:53" x14ac:dyDescent="0.25">
      <c r="A4" s="2"/>
      <c r="B4" s="3"/>
      <c r="C4" s="3"/>
      <c r="D4" s="3"/>
      <c r="E4" s="3"/>
      <c r="F4" s="3"/>
      <c r="G4" s="3"/>
      <c r="H4" s="3"/>
      <c r="I4" s="3"/>
      <c r="J4" s="3"/>
      <c r="K4" s="3"/>
      <c r="L4" s="3"/>
      <c r="M4" s="3"/>
      <c r="N4" s="3"/>
      <c r="O4" s="3"/>
      <c r="P4" s="3"/>
      <c r="Q4" s="3"/>
      <c r="R4" s="3"/>
      <c r="S4" s="3"/>
      <c r="T4" s="3"/>
      <c r="U4" s="4"/>
      <c r="AJ4" s="1" t="s">
        <v>188</v>
      </c>
      <c r="AK4" s="1" t="s">
        <v>273</v>
      </c>
      <c r="AL4" s="1" t="s">
        <v>786</v>
      </c>
      <c r="AM4" s="1" t="s">
        <v>787</v>
      </c>
      <c r="AN4" s="1" t="s">
        <v>788</v>
      </c>
      <c r="AO4" s="1" t="s">
        <v>789</v>
      </c>
      <c r="AP4" s="1" t="s">
        <v>790</v>
      </c>
      <c r="AQ4" s="1" t="s">
        <v>792</v>
      </c>
      <c r="AR4" s="1" t="s">
        <v>794</v>
      </c>
      <c r="AS4" s="1" t="s">
        <v>795</v>
      </c>
      <c r="AT4" s="1" t="s">
        <v>796</v>
      </c>
      <c r="AV4" s="277" t="s">
        <v>798</v>
      </c>
      <c r="AW4" s="1" t="s">
        <v>792</v>
      </c>
      <c r="AX4" s="1" t="s">
        <v>796</v>
      </c>
    </row>
    <row r="5" spans="1:53" x14ac:dyDescent="0.25">
      <c r="A5" s="5"/>
      <c r="B5" s="225" t="s">
        <v>800</v>
      </c>
      <c r="C5" s="225"/>
      <c r="D5" s="225"/>
      <c r="E5" s="225"/>
      <c r="F5" s="225"/>
      <c r="G5" s="225"/>
      <c r="H5" s="225"/>
      <c r="I5" s="225"/>
      <c r="J5" s="225"/>
      <c r="K5" s="225"/>
      <c r="L5" s="225"/>
      <c r="M5" s="225"/>
      <c r="N5" s="225"/>
      <c r="O5" s="225"/>
      <c r="P5" s="225"/>
      <c r="Q5" s="225"/>
      <c r="R5" s="225"/>
      <c r="S5" s="225"/>
      <c r="T5" s="225"/>
      <c r="U5" s="7"/>
      <c r="W5" s="1" t="s">
        <v>306</v>
      </c>
      <c r="X5" s="1" t="s">
        <v>308</v>
      </c>
      <c r="AF5" s="1" t="s">
        <v>324</v>
      </c>
      <c r="AG5" s="1" t="s">
        <v>325</v>
      </c>
      <c r="AP5" s="1" t="s">
        <v>791</v>
      </c>
      <c r="AQ5" s="1" t="s">
        <v>793</v>
      </c>
      <c r="AS5" s="1" t="s">
        <v>791</v>
      </c>
      <c r="AT5" s="1" t="s">
        <v>793</v>
      </c>
      <c r="AV5" s="277"/>
      <c r="AW5" s="1" t="s">
        <v>793</v>
      </c>
      <c r="AX5" s="1" t="s">
        <v>793</v>
      </c>
    </row>
    <row r="6" spans="1:53" x14ac:dyDescent="0.25">
      <c r="A6" s="5"/>
      <c r="B6" s="225"/>
      <c r="C6" s="225"/>
      <c r="D6" s="225"/>
      <c r="E6" s="225"/>
      <c r="F6" s="225"/>
      <c r="G6" s="225"/>
      <c r="H6" s="225"/>
      <c r="I6" s="225"/>
      <c r="J6" s="225"/>
      <c r="K6" s="225"/>
      <c r="L6" s="225"/>
      <c r="M6" s="225"/>
      <c r="N6" s="225"/>
      <c r="O6" s="225"/>
      <c r="P6" s="225"/>
      <c r="Q6" s="225"/>
      <c r="R6" s="225"/>
      <c r="S6" s="225"/>
      <c r="T6" s="225"/>
      <c r="U6" s="7"/>
      <c r="W6" s="1" t="s">
        <v>307</v>
      </c>
      <c r="X6" s="1" t="s">
        <v>309</v>
      </c>
      <c r="AF6" s="1" t="s">
        <v>303</v>
      </c>
      <c r="AG6" s="1" t="s">
        <v>813</v>
      </c>
      <c r="AJ6" s="1" t="s">
        <v>824</v>
      </c>
      <c r="AK6" s="1" t="s">
        <v>303</v>
      </c>
      <c r="AL6" s="1">
        <v>65</v>
      </c>
      <c r="AM6" s="1" t="s">
        <v>813</v>
      </c>
      <c r="AN6" s="1" t="s">
        <v>783</v>
      </c>
      <c r="AO6" s="1" t="s">
        <v>777</v>
      </c>
      <c r="AP6" s="1">
        <v>-0.25469999999999998</v>
      </c>
      <c r="AQ6" s="1">
        <v>440</v>
      </c>
      <c r="AR6" s="1" t="s">
        <v>777</v>
      </c>
      <c r="AS6" s="1">
        <v>0.1273</v>
      </c>
      <c r="AT6" s="1">
        <v>440</v>
      </c>
      <c r="AV6" s="1" t="str">
        <f>AK6&amp;AN6</f>
        <v>B2End-I</v>
      </c>
      <c r="AW6" s="1">
        <f>AQ6/10^2</f>
        <v>4.4000000000000004</v>
      </c>
      <c r="AX6" s="1">
        <f>AT6/10^2</f>
        <v>4.4000000000000004</v>
      </c>
    </row>
    <row r="7" spans="1:53" ht="13.9" x14ac:dyDescent="0.25">
      <c r="A7" s="5"/>
      <c r="B7" s="6"/>
      <c r="C7" s="6"/>
      <c r="D7" s="6"/>
      <c r="E7" s="6"/>
      <c r="F7" s="6"/>
      <c r="G7" s="6"/>
      <c r="H7" s="6"/>
      <c r="I7" s="6"/>
      <c r="J7" s="6"/>
      <c r="K7" s="6"/>
      <c r="L7" s="6"/>
      <c r="M7" s="6"/>
      <c r="N7" s="6"/>
      <c r="O7" s="6"/>
      <c r="P7" s="6"/>
      <c r="U7" s="7"/>
      <c r="W7" s="1">
        <v>2</v>
      </c>
      <c r="X7" s="1">
        <v>0.32</v>
      </c>
      <c r="AF7" s="1" t="s">
        <v>768</v>
      </c>
      <c r="AG7" s="1" t="s">
        <v>813</v>
      </c>
      <c r="AJ7" s="1" t="s">
        <v>824</v>
      </c>
      <c r="AK7" s="1" t="s">
        <v>303</v>
      </c>
      <c r="AL7" s="1">
        <v>65</v>
      </c>
      <c r="AM7" s="1" t="s">
        <v>813</v>
      </c>
      <c r="AN7" s="1" t="s">
        <v>784</v>
      </c>
      <c r="AO7" s="1" t="s">
        <v>778</v>
      </c>
      <c r="AP7" s="1">
        <v>-6.6478999999999999</v>
      </c>
      <c r="AQ7" s="1">
        <v>440</v>
      </c>
      <c r="AR7" s="1" t="s">
        <v>778</v>
      </c>
      <c r="AS7" s="1">
        <v>3.5428999999999999</v>
      </c>
      <c r="AT7" s="1">
        <v>440</v>
      </c>
      <c r="AV7" s="1" t="str">
        <f t="shared" ref="AV7:AV70" si="0">AK7&amp;AN7</f>
        <v>B2Middle</v>
      </c>
      <c r="AW7" s="1">
        <f t="shared" ref="AW7:AW70" si="1">AQ7/10^2</f>
        <v>4.4000000000000004</v>
      </c>
      <c r="AX7" s="1">
        <f t="shared" ref="AX7:AX70" si="2">AT7/10^2</f>
        <v>4.4000000000000004</v>
      </c>
      <c r="BA7" s="69"/>
    </row>
    <row r="8" spans="1:53" x14ac:dyDescent="0.25">
      <c r="A8" s="5"/>
      <c r="B8" s="254" t="s">
        <v>310</v>
      </c>
      <c r="C8" s="254"/>
      <c r="D8" s="254"/>
      <c r="E8" s="254"/>
      <c r="F8" s="254"/>
      <c r="G8" s="254"/>
      <c r="H8" s="254"/>
      <c r="I8" s="254"/>
      <c r="J8" s="254"/>
      <c r="K8" s="254"/>
      <c r="L8" s="254"/>
      <c r="M8" s="254"/>
      <c r="N8" s="254"/>
      <c r="O8" s="254"/>
      <c r="P8" s="254"/>
      <c r="Q8" s="254"/>
      <c r="R8" s="254"/>
      <c r="S8" s="254"/>
      <c r="T8" s="254"/>
      <c r="U8" s="7"/>
      <c r="W8" s="1">
        <v>3</v>
      </c>
      <c r="X8" s="1">
        <v>0.71</v>
      </c>
      <c r="AF8" s="1" t="s">
        <v>769</v>
      </c>
      <c r="AG8" s="1" t="s">
        <v>814</v>
      </c>
      <c r="AJ8" s="1" t="s">
        <v>824</v>
      </c>
      <c r="AK8" s="1" t="s">
        <v>303</v>
      </c>
      <c r="AL8" s="1">
        <v>65</v>
      </c>
      <c r="AM8" s="1" t="s">
        <v>813</v>
      </c>
      <c r="AN8" s="1" t="s">
        <v>785</v>
      </c>
      <c r="AO8" s="1" t="s">
        <v>778</v>
      </c>
      <c r="AP8" s="1">
        <v>-14.1715</v>
      </c>
      <c r="AQ8" s="1">
        <v>440</v>
      </c>
      <c r="AR8" s="1" t="s">
        <v>778</v>
      </c>
      <c r="AS8" s="1">
        <v>7.0857999999999999</v>
      </c>
      <c r="AT8" s="1">
        <v>440</v>
      </c>
      <c r="AV8" s="1" t="str">
        <f t="shared" si="0"/>
        <v>B2End-J</v>
      </c>
      <c r="AW8" s="1">
        <f t="shared" si="1"/>
        <v>4.4000000000000004</v>
      </c>
      <c r="AX8" s="1">
        <f t="shared" si="2"/>
        <v>4.4000000000000004</v>
      </c>
      <c r="BA8" s="69"/>
    </row>
    <row r="9" spans="1:53" ht="13.9" customHeight="1" x14ac:dyDescent="0.25">
      <c r="A9" s="5"/>
      <c r="B9" s="254" t="s">
        <v>311</v>
      </c>
      <c r="C9" s="254"/>
      <c r="D9" s="54" t="s">
        <v>125</v>
      </c>
      <c r="E9" s="54" t="s">
        <v>312</v>
      </c>
      <c r="F9" s="54" t="s">
        <v>313</v>
      </c>
      <c r="G9" s="54" t="s">
        <v>314</v>
      </c>
      <c r="H9" s="254" t="s">
        <v>315</v>
      </c>
      <c r="I9" s="254"/>
      <c r="J9" s="254" t="s">
        <v>316</v>
      </c>
      <c r="K9" s="254"/>
      <c r="L9" s="254"/>
      <c r="M9" s="254"/>
      <c r="N9" s="254"/>
      <c r="O9" s="254" t="s">
        <v>319</v>
      </c>
      <c r="P9" s="254"/>
      <c r="Q9" s="294" t="s">
        <v>321</v>
      </c>
      <c r="R9" s="294"/>
      <c r="S9" s="254" t="s">
        <v>320</v>
      </c>
      <c r="T9" s="254"/>
      <c r="U9" s="7"/>
      <c r="W9" s="1">
        <v>4</v>
      </c>
      <c r="X9" s="1">
        <v>1.29</v>
      </c>
      <c r="AF9" s="1" t="s">
        <v>770</v>
      </c>
      <c r="AG9" s="1" t="s">
        <v>814</v>
      </c>
      <c r="AJ9" s="1" t="s">
        <v>824</v>
      </c>
      <c r="AK9" s="1" t="s">
        <v>768</v>
      </c>
      <c r="AL9" s="1">
        <v>151</v>
      </c>
      <c r="AM9" s="1" t="s">
        <v>813</v>
      </c>
      <c r="AN9" s="1" t="s">
        <v>783</v>
      </c>
      <c r="AO9" s="1" t="s">
        <v>776</v>
      </c>
      <c r="AP9" s="1">
        <v>-0.28360000000000002</v>
      </c>
      <c r="AQ9" s="1">
        <v>440</v>
      </c>
      <c r="AR9" s="1" t="s">
        <v>776</v>
      </c>
      <c r="AS9" s="1">
        <v>0.14180000000000001</v>
      </c>
      <c r="AT9" s="1">
        <v>440</v>
      </c>
      <c r="AV9" s="1" t="str">
        <f t="shared" si="0"/>
        <v>B8End-I</v>
      </c>
      <c r="AW9" s="1">
        <f t="shared" si="1"/>
        <v>4.4000000000000004</v>
      </c>
      <c r="AX9" s="1">
        <f t="shared" si="2"/>
        <v>4.4000000000000004</v>
      </c>
      <c r="BA9" s="69"/>
    </row>
    <row r="10" spans="1:53" x14ac:dyDescent="0.25">
      <c r="A10" s="5"/>
      <c r="B10" s="254"/>
      <c r="C10" s="254"/>
      <c r="D10" s="54" t="s">
        <v>150</v>
      </c>
      <c r="E10" s="54" t="s">
        <v>150</v>
      </c>
      <c r="F10" s="54" t="s">
        <v>150</v>
      </c>
      <c r="G10" s="54" t="s">
        <v>150</v>
      </c>
      <c r="H10" s="254" t="s">
        <v>305</v>
      </c>
      <c r="I10" s="254"/>
      <c r="J10" s="54" t="s">
        <v>317</v>
      </c>
      <c r="K10" s="54" t="s">
        <v>307</v>
      </c>
      <c r="L10" s="70" t="s">
        <v>318</v>
      </c>
      <c r="M10" s="54" t="s">
        <v>317</v>
      </c>
      <c r="N10" s="54" t="s">
        <v>307</v>
      </c>
      <c r="O10" s="254" t="s">
        <v>305</v>
      </c>
      <c r="P10" s="254"/>
      <c r="Q10" s="294"/>
      <c r="R10" s="294"/>
      <c r="S10" s="254"/>
      <c r="T10" s="254"/>
      <c r="U10" s="7"/>
      <c r="W10" s="1">
        <v>5</v>
      </c>
      <c r="X10" s="1">
        <v>1.99</v>
      </c>
      <c r="AF10" s="1" t="s">
        <v>771</v>
      </c>
      <c r="AG10" s="1" t="s">
        <v>813</v>
      </c>
      <c r="AJ10" s="1" t="s">
        <v>824</v>
      </c>
      <c r="AK10" s="1" t="s">
        <v>768</v>
      </c>
      <c r="AL10" s="1">
        <v>151</v>
      </c>
      <c r="AM10" s="1" t="s">
        <v>813</v>
      </c>
      <c r="AN10" s="1" t="s">
        <v>784</v>
      </c>
      <c r="AO10" s="1" t="s">
        <v>778</v>
      </c>
      <c r="AP10" s="1">
        <v>-6.6764999999999999</v>
      </c>
      <c r="AQ10" s="1">
        <v>440</v>
      </c>
      <c r="AR10" s="1" t="s">
        <v>778</v>
      </c>
      <c r="AS10" s="1">
        <v>3.5491000000000001</v>
      </c>
      <c r="AT10" s="1">
        <v>440</v>
      </c>
      <c r="AV10" s="1" t="str">
        <f t="shared" si="0"/>
        <v>B8Middle</v>
      </c>
      <c r="AW10" s="1">
        <f t="shared" si="1"/>
        <v>4.4000000000000004</v>
      </c>
      <c r="AX10" s="1">
        <f t="shared" si="2"/>
        <v>4.4000000000000004</v>
      </c>
    </row>
    <row r="11" spans="1:53" ht="13.9" x14ac:dyDescent="0.25">
      <c r="A11" s="5"/>
      <c r="B11" s="236" t="s">
        <v>813</v>
      </c>
      <c r="C11" s="236"/>
      <c r="D11" s="53">
        <v>30</v>
      </c>
      <c r="E11" s="53">
        <v>50</v>
      </c>
      <c r="F11" s="53">
        <v>6</v>
      </c>
      <c r="G11" s="53">
        <f>+E11-F11</f>
        <v>44</v>
      </c>
      <c r="H11" s="279">
        <f>0.0033*D11*G11</f>
        <v>4.3559999999999999</v>
      </c>
      <c r="I11" s="279"/>
      <c r="J11" s="64">
        <v>3</v>
      </c>
      <c r="K11" s="53">
        <v>5</v>
      </c>
      <c r="L11" s="49" t="s">
        <v>318</v>
      </c>
      <c r="M11" s="64"/>
      <c r="N11" s="53">
        <v>4</v>
      </c>
      <c r="O11" s="236">
        <f>J11*VLOOKUP(K11,$W$7:$X$15,2,)+M11*VLOOKUP(N11,$W$7:$X$15,2,)</f>
        <v>5.97</v>
      </c>
      <c r="P11" s="236"/>
      <c r="Q11" s="236" t="str">
        <f>CONCATENATE(J11,"#",K11,IF(M11="","",CONCATENATE("+",M11,"#",N11)))</f>
        <v>3#5</v>
      </c>
      <c r="R11" s="236"/>
      <c r="S11" s="236" t="str">
        <f>IF(O11&gt;=H11,"OK","N/C")</f>
        <v>OK</v>
      </c>
      <c r="T11" s="236"/>
      <c r="U11" s="7"/>
      <c r="W11" s="1">
        <v>6</v>
      </c>
      <c r="X11" s="1">
        <v>2.84</v>
      </c>
      <c r="AC11" s="1">
        <f>+H12/1.99</f>
        <v>2.5537688442211053</v>
      </c>
      <c r="AF11" s="1" t="s">
        <v>304</v>
      </c>
      <c r="AG11" s="1" t="s">
        <v>813</v>
      </c>
      <c r="AJ11" s="1" t="s">
        <v>824</v>
      </c>
      <c r="AK11" s="1" t="s">
        <v>768</v>
      </c>
      <c r="AL11" s="1">
        <v>151</v>
      </c>
      <c r="AM11" s="1" t="s">
        <v>813</v>
      </c>
      <c r="AN11" s="1" t="s">
        <v>785</v>
      </c>
      <c r="AO11" s="1" t="s">
        <v>778</v>
      </c>
      <c r="AP11" s="1">
        <v>-14.196300000000001</v>
      </c>
      <c r="AQ11" s="1">
        <v>440</v>
      </c>
      <c r="AR11" s="1" t="s">
        <v>778</v>
      </c>
      <c r="AS11" s="1">
        <v>7.0980999999999996</v>
      </c>
      <c r="AT11" s="1">
        <v>440</v>
      </c>
      <c r="AV11" s="1" t="str">
        <f t="shared" si="0"/>
        <v>B8End-J</v>
      </c>
      <c r="AW11" s="1">
        <f t="shared" si="1"/>
        <v>4.4000000000000004</v>
      </c>
      <c r="AX11" s="1">
        <f t="shared" si="2"/>
        <v>4.4000000000000004</v>
      </c>
    </row>
    <row r="12" spans="1:53" ht="13.9" x14ac:dyDescent="0.25">
      <c r="A12" s="5"/>
      <c r="B12" s="236" t="s">
        <v>814</v>
      </c>
      <c r="C12" s="236"/>
      <c r="D12" s="53">
        <v>35</v>
      </c>
      <c r="E12" s="53">
        <v>50</v>
      </c>
      <c r="F12" s="53">
        <v>6</v>
      </c>
      <c r="G12" s="53">
        <f>+E12-F12</f>
        <v>44</v>
      </c>
      <c r="H12" s="279">
        <f>0.0033*D12*G12</f>
        <v>5.0819999999999999</v>
      </c>
      <c r="I12" s="279"/>
      <c r="J12" s="64">
        <v>3</v>
      </c>
      <c r="K12" s="53">
        <v>5</v>
      </c>
      <c r="L12" s="49" t="s">
        <v>318</v>
      </c>
      <c r="M12" s="64"/>
      <c r="N12" s="53">
        <v>4</v>
      </c>
      <c r="O12" s="236">
        <f>J12*VLOOKUP(K12,$W$7:$X$15,2,)+M12*VLOOKUP(N12,$W$7:$X$15,2,)</f>
        <v>5.97</v>
      </c>
      <c r="P12" s="236"/>
      <c r="Q12" s="236" t="str">
        <f>CONCATENATE(J12,"#",K12,IF(M12="","",CONCATENATE("+",M12,"#",N12)))</f>
        <v>3#5</v>
      </c>
      <c r="R12" s="236"/>
      <c r="S12" s="236" t="str">
        <f>IF(O12&gt;=H12,"OK","N/C")</f>
        <v>OK</v>
      </c>
      <c r="T12" s="236"/>
      <c r="U12" s="7"/>
      <c r="W12" s="1">
        <v>7</v>
      </c>
      <c r="X12" s="1">
        <v>3.87</v>
      </c>
      <c r="AF12" s="1" t="s">
        <v>772</v>
      </c>
      <c r="AG12" s="1" t="s">
        <v>814</v>
      </c>
      <c r="AJ12" s="1" t="s">
        <v>824</v>
      </c>
      <c r="AK12" s="1" t="s">
        <v>769</v>
      </c>
      <c r="AL12" s="1">
        <v>94</v>
      </c>
      <c r="AM12" s="1" t="s">
        <v>814</v>
      </c>
      <c r="AN12" s="1" t="s">
        <v>783</v>
      </c>
      <c r="AO12" s="1" t="s">
        <v>776</v>
      </c>
      <c r="AP12" s="1">
        <v>-150.76929999999999</v>
      </c>
      <c r="AQ12" s="1">
        <v>975</v>
      </c>
      <c r="AR12" s="1" t="s">
        <v>776</v>
      </c>
      <c r="AS12" s="1">
        <v>75.384600000000006</v>
      </c>
      <c r="AT12" s="1">
        <v>513</v>
      </c>
      <c r="AV12" s="1" t="str">
        <f t="shared" si="0"/>
        <v>B9End-I</v>
      </c>
      <c r="AW12" s="1">
        <f t="shared" si="1"/>
        <v>9.75</v>
      </c>
      <c r="AX12" s="1">
        <f t="shared" si="2"/>
        <v>5.13</v>
      </c>
    </row>
    <row r="13" spans="1:53" ht="13.9" x14ac:dyDescent="0.25">
      <c r="A13" s="5"/>
      <c r="B13" s="236"/>
      <c r="C13" s="236"/>
      <c r="D13" s="53"/>
      <c r="E13" s="53"/>
      <c r="F13" s="53"/>
      <c r="G13" s="53"/>
      <c r="H13" s="279"/>
      <c r="I13" s="279"/>
      <c r="J13" s="64"/>
      <c r="K13" s="53"/>
      <c r="L13" s="49"/>
      <c r="M13" s="64"/>
      <c r="N13" s="53"/>
      <c r="O13" s="236"/>
      <c r="P13" s="236"/>
      <c r="Q13" s="236"/>
      <c r="R13" s="236"/>
      <c r="S13" s="236"/>
      <c r="T13" s="236"/>
      <c r="U13" s="7"/>
      <c r="W13" s="1">
        <v>8</v>
      </c>
      <c r="X13" s="1">
        <v>5.0999999999999996</v>
      </c>
      <c r="AF13" s="1" t="s">
        <v>773</v>
      </c>
      <c r="AG13" s="1" t="s">
        <v>813</v>
      </c>
      <c r="AJ13" s="1" t="s">
        <v>824</v>
      </c>
      <c r="AK13" s="1" t="s">
        <v>769</v>
      </c>
      <c r="AL13" s="1">
        <v>94</v>
      </c>
      <c r="AM13" s="1" t="s">
        <v>814</v>
      </c>
      <c r="AN13" s="1" t="s">
        <v>784</v>
      </c>
      <c r="AO13" s="1" t="s">
        <v>776</v>
      </c>
      <c r="AP13" s="1">
        <v>-38.278399999999998</v>
      </c>
      <c r="AQ13" s="1">
        <v>513</v>
      </c>
      <c r="AR13" s="1" t="s">
        <v>782</v>
      </c>
      <c r="AS13" s="1">
        <v>107.5928</v>
      </c>
      <c r="AT13" s="1">
        <v>684</v>
      </c>
      <c r="AV13" s="1" t="str">
        <f t="shared" si="0"/>
        <v>B9Middle</v>
      </c>
      <c r="AW13" s="1">
        <f t="shared" si="1"/>
        <v>5.13</v>
      </c>
      <c r="AX13" s="1">
        <f t="shared" si="2"/>
        <v>6.84</v>
      </c>
    </row>
    <row r="14" spans="1:53" ht="13.9" x14ac:dyDescent="0.25">
      <c r="A14" s="5"/>
      <c r="B14" s="236"/>
      <c r="C14" s="236"/>
      <c r="D14" s="53"/>
      <c r="E14" s="53"/>
      <c r="F14" s="53"/>
      <c r="G14" s="53"/>
      <c r="H14" s="279"/>
      <c r="I14" s="279"/>
      <c r="J14" s="64"/>
      <c r="K14" s="53"/>
      <c r="L14" s="49"/>
      <c r="M14" s="64"/>
      <c r="N14" s="53"/>
      <c r="O14" s="236"/>
      <c r="P14" s="236"/>
      <c r="Q14" s="236"/>
      <c r="R14" s="236"/>
      <c r="S14" s="236"/>
      <c r="T14" s="236"/>
      <c r="U14" s="7"/>
      <c r="W14" s="1">
        <v>9</v>
      </c>
      <c r="X14" s="1">
        <v>6.45</v>
      </c>
      <c r="AF14" s="1" t="s">
        <v>774</v>
      </c>
      <c r="AG14" s="1" t="s">
        <v>813</v>
      </c>
      <c r="AJ14" s="1" t="s">
        <v>824</v>
      </c>
      <c r="AK14" s="1" t="s">
        <v>769</v>
      </c>
      <c r="AL14" s="1">
        <v>94</v>
      </c>
      <c r="AM14" s="1" t="s">
        <v>814</v>
      </c>
      <c r="AN14" s="1" t="s">
        <v>785</v>
      </c>
      <c r="AO14" s="1" t="s">
        <v>776</v>
      </c>
      <c r="AP14" s="1">
        <v>-153.11340000000001</v>
      </c>
      <c r="AQ14" s="1">
        <v>991</v>
      </c>
      <c r="AR14" s="1" t="s">
        <v>776</v>
      </c>
      <c r="AS14" s="1">
        <v>76.556700000000006</v>
      </c>
      <c r="AT14" s="1">
        <v>513</v>
      </c>
      <c r="AV14" s="1" t="str">
        <f t="shared" si="0"/>
        <v>B9End-J</v>
      </c>
      <c r="AW14" s="1">
        <f t="shared" si="1"/>
        <v>9.91</v>
      </c>
      <c r="AX14" s="1">
        <f t="shared" si="2"/>
        <v>5.13</v>
      </c>
    </row>
    <row r="15" spans="1:53" ht="13.9" x14ac:dyDescent="0.25">
      <c r="A15" s="5"/>
      <c r="B15" s="236"/>
      <c r="C15" s="236"/>
      <c r="D15" s="53"/>
      <c r="E15" s="53"/>
      <c r="F15" s="53"/>
      <c r="G15" s="53"/>
      <c r="H15" s="236"/>
      <c r="I15" s="236"/>
      <c r="J15" s="64"/>
      <c r="K15" s="53"/>
      <c r="L15" s="49"/>
      <c r="M15" s="64"/>
      <c r="N15" s="53"/>
      <c r="O15" s="236"/>
      <c r="P15" s="236"/>
      <c r="Q15" s="236"/>
      <c r="R15" s="236"/>
      <c r="S15" s="236"/>
      <c r="T15" s="236"/>
      <c r="U15" s="7"/>
      <c r="W15" s="1">
        <v>10</v>
      </c>
      <c r="X15" s="1">
        <v>8.19</v>
      </c>
      <c r="AF15" s="1" t="s">
        <v>775</v>
      </c>
      <c r="AG15" s="1" t="s">
        <v>814</v>
      </c>
      <c r="AJ15" s="1" t="s">
        <v>824</v>
      </c>
      <c r="AK15" s="1" t="s">
        <v>770</v>
      </c>
      <c r="AL15" s="1">
        <v>175</v>
      </c>
      <c r="AM15" s="1" t="s">
        <v>814</v>
      </c>
      <c r="AN15" s="1" t="s">
        <v>783</v>
      </c>
      <c r="AO15" s="1" t="s">
        <v>777</v>
      </c>
      <c r="AP15" s="1">
        <v>-0.31219999999999998</v>
      </c>
      <c r="AQ15" s="1">
        <v>5</v>
      </c>
      <c r="AR15" s="1" t="s">
        <v>777</v>
      </c>
      <c r="AS15" s="1">
        <v>0.2888</v>
      </c>
      <c r="AT15" s="1">
        <v>5</v>
      </c>
      <c r="AV15" s="1" t="str">
        <f t="shared" si="0"/>
        <v>B10End-I</v>
      </c>
      <c r="AW15" s="1">
        <f t="shared" si="1"/>
        <v>0.05</v>
      </c>
      <c r="AX15" s="1">
        <f t="shared" si="2"/>
        <v>0.05</v>
      </c>
    </row>
    <row r="16" spans="1:53" ht="13.9" x14ac:dyDescent="0.25">
      <c r="A16" s="5"/>
      <c r="B16" s="6"/>
      <c r="C16" s="6"/>
      <c r="D16" s="6"/>
      <c r="E16" s="6"/>
      <c r="F16" s="6"/>
      <c r="G16" s="6"/>
      <c r="H16" s="6"/>
      <c r="I16" s="6"/>
      <c r="J16" s="6"/>
      <c r="U16" s="7"/>
      <c r="AF16" s="1" t="s">
        <v>815</v>
      </c>
      <c r="AG16" s="1" t="s">
        <v>813</v>
      </c>
      <c r="AJ16" s="1" t="s">
        <v>824</v>
      </c>
      <c r="AK16" s="1" t="s">
        <v>770</v>
      </c>
      <c r="AL16" s="1">
        <v>175</v>
      </c>
      <c r="AM16" s="1" t="s">
        <v>814</v>
      </c>
      <c r="AN16" s="1" t="s">
        <v>784</v>
      </c>
      <c r="AV16" s="1" t="str">
        <f t="shared" si="0"/>
        <v>B10Middle</v>
      </c>
      <c r="AW16" s="1">
        <f t="shared" si="1"/>
        <v>0</v>
      </c>
      <c r="AX16" s="1">
        <f t="shared" si="2"/>
        <v>0</v>
      </c>
    </row>
    <row r="17" spans="1:50" x14ac:dyDescent="0.25">
      <c r="A17" s="318" t="s">
        <v>799</v>
      </c>
      <c r="B17" s="281"/>
      <c r="C17" s="281"/>
      <c r="D17" s="281"/>
      <c r="E17" s="281"/>
      <c r="F17" s="281"/>
      <c r="G17" s="281"/>
      <c r="H17" s="281"/>
      <c r="I17" s="281"/>
      <c r="J17" s="281"/>
      <c r="K17" s="281"/>
      <c r="L17" s="281"/>
      <c r="M17" s="281"/>
      <c r="N17" s="281"/>
      <c r="O17" s="281"/>
      <c r="P17" s="281"/>
      <c r="Q17" s="281"/>
      <c r="R17" s="281"/>
      <c r="S17" s="281"/>
      <c r="T17" s="281"/>
      <c r="U17" s="319"/>
      <c r="W17" s="1" t="s">
        <v>323</v>
      </c>
      <c r="AF17" s="1" t="s">
        <v>817</v>
      </c>
      <c r="AG17" s="1" t="s">
        <v>813</v>
      </c>
      <c r="AJ17" s="1" t="s">
        <v>824</v>
      </c>
      <c r="AK17" s="1" t="s">
        <v>770</v>
      </c>
      <c r="AL17" s="1">
        <v>175</v>
      </c>
      <c r="AM17" s="1" t="s">
        <v>814</v>
      </c>
      <c r="AN17" s="1" t="s">
        <v>785</v>
      </c>
      <c r="AO17" s="1" t="s">
        <v>777</v>
      </c>
      <c r="AP17" s="1">
        <v>-0.29909999999999998</v>
      </c>
      <c r="AQ17" s="1">
        <v>5</v>
      </c>
      <c r="AR17" s="1" t="s">
        <v>777</v>
      </c>
      <c r="AS17" s="1">
        <v>0.3029</v>
      </c>
      <c r="AT17" s="1">
        <v>5</v>
      </c>
      <c r="AV17" s="1" t="str">
        <f t="shared" si="0"/>
        <v>B10End-J</v>
      </c>
      <c r="AW17" s="1">
        <f t="shared" si="1"/>
        <v>0.05</v>
      </c>
      <c r="AX17" s="1">
        <f t="shared" si="2"/>
        <v>0.05</v>
      </c>
    </row>
    <row r="18" spans="1:50" x14ac:dyDescent="0.25">
      <c r="A18" s="318"/>
      <c r="B18" s="281"/>
      <c r="C18" s="281"/>
      <c r="D18" s="281"/>
      <c r="E18" s="281"/>
      <c r="F18" s="281"/>
      <c r="G18" s="281"/>
      <c r="H18" s="281"/>
      <c r="I18" s="281"/>
      <c r="J18" s="281"/>
      <c r="K18" s="281"/>
      <c r="L18" s="281"/>
      <c r="M18" s="281"/>
      <c r="N18" s="281"/>
      <c r="O18" s="281"/>
      <c r="P18" s="281"/>
      <c r="Q18" s="281"/>
      <c r="R18" s="281"/>
      <c r="S18" s="281"/>
      <c r="T18" s="281"/>
      <c r="U18" s="319"/>
      <c r="AF18" s="1" t="s">
        <v>809</v>
      </c>
      <c r="AG18" s="1" t="s">
        <v>814</v>
      </c>
      <c r="AJ18" s="1" t="s">
        <v>824</v>
      </c>
      <c r="AK18" s="1" t="s">
        <v>771</v>
      </c>
      <c r="AL18" s="1">
        <v>109</v>
      </c>
      <c r="AM18" s="1" t="s">
        <v>813</v>
      </c>
      <c r="AN18" s="1" t="s">
        <v>783</v>
      </c>
      <c r="AO18" s="1" t="s">
        <v>778</v>
      </c>
      <c r="AP18" s="1">
        <v>-65.481300000000005</v>
      </c>
      <c r="AQ18" s="1">
        <v>440</v>
      </c>
      <c r="AR18" s="1" t="s">
        <v>778</v>
      </c>
      <c r="AS18" s="1">
        <v>32.740600000000001</v>
      </c>
      <c r="AT18" s="1">
        <v>440</v>
      </c>
      <c r="AV18" s="1" t="str">
        <f t="shared" si="0"/>
        <v>B11End-I</v>
      </c>
      <c r="AW18" s="1">
        <f t="shared" si="1"/>
        <v>4.4000000000000004</v>
      </c>
      <c r="AX18" s="1">
        <f t="shared" si="2"/>
        <v>4.4000000000000004</v>
      </c>
    </row>
    <row r="19" spans="1:50" ht="13.9" x14ac:dyDescent="0.25">
      <c r="A19" s="5"/>
      <c r="B19" s="6"/>
      <c r="C19" s="6"/>
      <c r="D19" s="6"/>
      <c r="E19" s="6"/>
      <c r="F19" s="6"/>
      <c r="G19" s="6"/>
      <c r="H19" s="6"/>
      <c r="I19" s="6"/>
      <c r="J19" s="6"/>
      <c r="U19" s="7"/>
      <c r="AF19" s="1" t="s">
        <v>810</v>
      </c>
      <c r="AG19" s="1" t="s">
        <v>813</v>
      </c>
      <c r="AJ19" s="1" t="s">
        <v>824</v>
      </c>
      <c r="AK19" s="1" t="s">
        <v>771</v>
      </c>
      <c r="AL19" s="1">
        <v>109</v>
      </c>
      <c r="AM19" s="1" t="s">
        <v>813</v>
      </c>
      <c r="AN19" s="1" t="s">
        <v>784</v>
      </c>
      <c r="AO19" s="1" t="s">
        <v>778</v>
      </c>
      <c r="AP19" s="1">
        <v>-16.3703</v>
      </c>
      <c r="AQ19" s="1">
        <v>440</v>
      </c>
      <c r="AR19" s="1" t="s">
        <v>778</v>
      </c>
      <c r="AS19" s="1">
        <v>27.244900000000001</v>
      </c>
      <c r="AT19" s="1">
        <v>440</v>
      </c>
      <c r="AV19" s="1" t="str">
        <f t="shared" si="0"/>
        <v>B11Middle</v>
      </c>
      <c r="AW19" s="1">
        <f t="shared" si="1"/>
        <v>4.4000000000000004</v>
      </c>
      <c r="AX19" s="1">
        <f t="shared" si="2"/>
        <v>4.4000000000000004</v>
      </c>
    </row>
    <row r="20" spans="1:50" x14ac:dyDescent="0.25">
      <c r="A20" s="254" t="s">
        <v>322</v>
      </c>
      <c r="B20" s="254"/>
      <c r="C20" s="254"/>
      <c r="D20" s="254"/>
      <c r="E20" s="254"/>
      <c r="F20" s="254"/>
      <c r="G20" s="254"/>
      <c r="H20" s="254"/>
      <c r="I20" s="254"/>
      <c r="J20" s="254"/>
      <c r="K20" s="254"/>
      <c r="L20" s="254"/>
      <c r="M20" s="254"/>
      <c r="N20" s="254"/>
      <c r="O20" s="254"/>
      <c r="P20" s="254"/>
      <c r="Q20" s="254"/>
      <c r="R20" s="254"/>
      <c r="S20" s="254"/>
      <c r="T20" s="254"/>
      <c r="U20" s="254"/>
      <c r="AF20" s="1" t="s">
        <v>818</v>
      </c>
      <c r="AG20" s="1" t="s">
        <v>813</v>
      </c>
      <c r="AJ20" s="1" t="s">
        <v>824</v>
      </c>
      <c r="AK20" s="1" t="s">
        <v>771</v>
      </c>
      <c r="AL20" s="1">
        <v>109</v>
      </c>
      <c r="AM20" s="1" t="s">
        <v>813</v>
      </c>
      <c r="AN20" s="1" t="s">
        <v>785</v>
      </c>
      <c r="AO20" s="1" t="s">
        <v>778</v>
      </c>
      <c r="AP20" s="1">
        <v>-58.529899999999998</v>
      </c>
      <c r="AQ20" s="1">
        <v>440</v>
      </c>
      <c r="AR20" s="1" t="s">
        <v>780</v>
      </c>
      <c r="AS20" s="1">
        <v>29.560600000000001</v>
      </c>
      <c r="AT20" s="1">
        <v>440</v>
      </c>
      <c r="AV20" s="1" t="str">
        <f t="shared" si="0"/>
        <v>B11End-J</v>
      </c>
      <c r="AW20" s="1">
        <f t="shared" si="1"/>
        <v>4.4000000000000004</v>
      </c>
      <c r="AX20" s="1">
        <f t="shared" si="2"/>
        <v>4.4000000000000004</v>
      </c>
    </row>
    <row r="21" spans="1:50" x14ac:dyDescent="0.25">
      <c r="A21" s="254" t="s">
        <v>273</v>
      </c>
      <c r="B21" s="254" t="s">
        <v>311</v>
      </c>
      <c r="C21" s="254"/>
      <c r="D21" s="254" t="s">
        <v>326</v>
      </c>
      <c r="E21" s="254"/>
      <c r="F21" s="254" t="s">
        <v>327</v>
      </c>
      <c r="G21" s="254"/>
      <c r="H21" s="254" t="s">
        <v>328</v>
      </c>
      <c r="I21" s="254"/>
      <c r="J21" s="254" t="s">
        <v>329</v>
      </c>
      <c r="K21" s="254"/>
      <c r="L21" s="254" t="s">
        <v>330</v>
      </c>
      <c r="M21" s="254"/>
      <c r="N21" s="254" t="s">
        <v>331</v>
      </c>
      <c r="O21" s="254"/>
      <c r="P21" s="294" t="s">
        <v>321</v>
      </c>
      <c r="Q21" s="294"/>
      <c r="R21" s="254" t="s">
        <v>319</v>
      </c>
      <c r="S21" s="254"/>
      <c r="T21" s="254" t="s">
        <v>320</v>
      </c>
      <c r="U21" s="254"/>
      <c r="AF21" s="1" t="s">
        <v>819</v>
      </c>
      <c r="AG21" s="1" t="s">
        <v>813</v>
      </c>
      <c r="AJ21" s="1" t="s">
        <v>824</v>
      </c>
      <c r="AK21" s="1" t="s">
        <v>304</v>
      </c>
      <c r="AL21" s="1">
        <v>82</v>
      </c>
      <c r="AM21" s="1" t="s">
        <v>813</v>
      </c>
      <c r="AN21" s="1" t="s">
        <v>783</v>
      </c>
      <c r="AO21" s="1" t="s">
        <v>778</v>
      </c>
      <c r="AP21" s="1">
        <v>-68.735200000000006</v>
      </c>
      <c r="AQ21" s="1">
        <v>441</v>
      </c>
      <c r="AR21" s="1" t="s">
        <v>778</v>
      </c>
      <c r="AS21" s="1">
        <v>34.367600000000003</v>
      </c>
      <c r="AT21" s="1">
        <v>440</v>
      </c>
      <c r="AV21" s="1" t="str">
        <f t="shared" si="0"/>
        <v>B17End-I</v>
      </c>
      <c r="AW21" s="1">
        <f t="shared" si="1"/>
        <v>4.41</v>
      </c>
      <c r="AX21" s="1">
        <f t="shared" si="2"/>
        <v>4.4000000000000004</v>
      </c>
    </row>
    <row r="22" spans="1:50" x14ac:dyDescent="0.25">
      <c r="A22" s="254"/>
      <c r="B22" s="254"/>
      <c r="C22" s="254"/>
      <c r="D22" s="254" t="s">
        <v>305</v>
      </c>
      <c r="E22" s="254"/>
      <c r="F22" s="254" t="s">
        <v>305</v>
      </c>
      <c r="G22" s="254"/>
      <c r="H22" s="254" t="s">
        <v>305</v>
      </c>
      <c r="I22" s="254"/>
      <c r="J22" s="254" t="s">
        <v>305</v>
      </c>
      <c r="K22" s="254"/>
      <c r="L22" s="254" t="s">
        <v>305</v>
      </c>
      <c r="M22" s="254"/>
      <c r="N22" s="254" t="s">
        <v>305</v>
      </c>
      <c r="O22" s="254"/>
      <c r="P22" s="294"/>
      <c r="Q22" s="294"/>
      <c r="R22" s="254" t="s">
        <v>305</v>
      </c>
      <c r="S22" s="254"/>
      <c r="T22" s="254"/>
      <c r="U22" s="254"/>
      <c r="W22" s="42" t="s">
        <v>317</v>
      </c>
      <c r="X22" s="42" t="s">
        <v>307</v>
      </c>
      <c r="Y22" s="80" t="s">
        <v>318</v>
      </c>
      <c r="Z22" s="42" t="s">
        <v>317</v>
      </c>
      <c r="AA22" s="42" t="s">
        <v>307</v>
      </c>
      <c r="AF22" s="1" t="s">
        <v>820</v>
      </c>
      <c r="AG22" s="1" t="s">
        <v>813</v>
      </c>
      <c r="AJ22" s="1" t="s">
        <v>824</v>
      </c>
      <c r="AK22" s="1" t="s">
        <v>304</v>
      </c>
      <c r="AL22" s="1">
        <v>82</v>
      </c>
      <c r="AM22" s="1" t="s">
        <v>813</v>
      </c>
      <c r="AN22" s="1" t="s">
        <v>784</v>
      </c>
      <c r="AO22" s="1" t="s">
        <v>778</v>
      </c>
      <c r="AP22" s="1">
        <v>-17.183800000000002</v>
      </c>
      <c r="AQ22" s="1">
        <v>440</v>
      </c>
      <c r="AR22" s="1" t="s">
        <v>778</v>
      </c>
      <c r="AS22" s="1">
        <v>28.049800000000001</v>
      </c>
      <c r="AT22" s="1">
        <v>440</v>
      </c>
      <c r="AV22" s="1" t="str">
        <f t="shared" si="0"/>
        <v>B17Middle</v>
      </c>
      <c r="AW22" s="1">
        <f t="shared" si="1"/>
        <v>4.4000000000000004</v>
      </c>
      <c r="AX22" s="1">
        <f t="shared" si="2"/>
        <v>4.4000000000000004</v>
      </c>
    </row>
    <row r="23" spans="1:50" ht="13.9" x14ac:dyDescent="0.25">
      <c r="A23" s="39" t="str">
        <f>AF6</f>
        <v>B2</v>
      </c>
      <c r="B23" s="236" t="str">
        <f>VLOOKUP(A23,$AF$6:$AG$88,2,)</f>
        <v>V30X50</v>
      </c>
      <c r="C23" s="236"/>
      <c r="D23" s="279">
        <f>VLOOKUP(A23&amp;"End-I",$AV$6:$AX$1000,2,)</f>
        <v>4.4000000000000004</v>
      </c>
      <c r="E23" s="279"/>
      <c r="F23" s="279">
        <f>VLOOKUP(A23&amp;"End-I",$AV$6:$AX$1000,3,)</f>
        <v>4.4000000000000004</v>
      </c>
      <c r="G23" s="279"/>
      <c r="H23" s="279">
        <f>VLOOKUP(A23&amp;"Middle",$AV$6:$AX$1000,2,)</f>
        <v>4.4000000000000004</v>
      </c>
      <c r="I23" s="279"/>
      <c r="J23" s="279">
        <f>VLOOKUP(A23&amp;"Middle",$AV$6:$AX$1000,3,)</f>
        <v>4.4000000000000004</v>
      </c>
      <c r="K23" s="279"/>
      <c r="L23" s="279">
        <f>VLOOKUP(A23&amp;"End-J",$AV$6:$AX$1000,2,)</f>
        <v>4.4000000000000004</v>
      </c>
      <c r="M23" s="279"/>
      <c r="N23" s="279">
        <f>VLOOKUP(A23&amp;"End-J",$AV$6:$AX$1000,3,)</f>
        <v>4.4000000000000004</v>
      </c>
      <c r="O23" s="279"/>
      <c r="P23" s="236" t="str">
        <f>CONCATENATE(W23,"#",X23,IF(Z23="","",CONCATENATE("+",Z23,"#",AA23)))</f>
        <v>3#5</v>
      </c>
      <c r="Q23" s="236"/>
      <c r="R23" s="236">
        <f>AB23</f>
        <v>5.97</v>
      </c>
      <c r="S23" s="236"/>
      <c r="T23" s="236" t="str">
        <f>IF(R23&gt;=MAX(D23:O23),"OK","*Ver nota*")</f>
        <v>OK</v>
      </c>
      <c r="U23" s="236"/>
      <c r="W23" s="79">
        <f>VLOOKUP(B23,$B$11:$P$13,9,)</f>
        <v>3</v>
      </c>
      <c r="X23" s="13">
        <f>VLOOKUP(B23,$B$11:$P$13,10,)</f>
        <v>5</v>
      </c>
      <c r="Y23" s="78"/>
      <c r="Z23" s="79"/>
      <c r="AA23" s="13">
        <f>VLOOKUP(B23,$B$11:$P$13,13,)</f>
        <v>4</v>
      </c>
      <c r="AB23" s="1">
        <f>W23*VLOOKUP(X23,$W$7:$X$15,2,)+Z23*VLOOKUP(AA23,$W$7:$X$15,2,)</f>
        <v>5.97</v>
      </c>
      <c r="AF23" s="1" t="s">
        <v>821</v>
      </c>
      <c r="AG23" s="1" t="s">
        <v>813</v>
      </c>
      <c r="AJ23" s="1" t="s">
        <v>824</v>
      </c>
      <c r="AK23" s="1" t="s">
        <v>304</v>
      </c>
      <c r="AL23" s="1">
        <v>82</v>
      </c>
      <c r="AM23" s="1" t="s">
        <v>813</v>
      </c>
      <c r="AN23" s="1" t="s">
        <v>785</v>
      </c>
      <c r="AO23" s="1" t="s">
        <v>778</v>
      </c>
      <c r="AP23" s="1">
        <v>-64.140799999999999</v>
      </c>
      <c r="AQ23" s="1">
        <v>440</v>
      </c>
      <c r="AR23" s="1" t="s">
        <v>778</v>
      </c>
      <c r="AS23" s="1">
        <v>32.070399999999999</v>
      </c>
      <c r="AT23" s="1">
        <v>440</v>
      </c>
      <c r="AV23" s="1" t="str">
        <f t="shared" si="0"/>
        <v>B17End-J</v>
      </c>
      <c r="AW23" s="1">
        <f t="shared" si="1"/>
        <v>4.4000000000000004</v>
      </c>
      <c r="AX23" s="1">
        <f t="shared" si="2"/>
        <v>4.4000000000000004</v>
      </c>
    </row>
    <row r="24" spans="1:50" ht="13.9" x14ac:dyDescent="0.25">
      <c r="A24" s="39" t="str">
        <f t="shared" ref="A24:A62" si="3">AF7</f>
        <v>B8</v>
      </c>
      <c r="B24" s="236" t="str">
        <f t="shared" ref="B24:B53" si="4">VLOOKUP(A24,$AF$6:$AG$88,2,)</f>
        <v>V30X50</v>
      </c>
      <c r="C24" s="236"/>
      <c r="D24" s="279">
        <f t="shared" ref="D24:D53" si="5">VLOOKUP(A24&amp;"End-I",$AV$6:$AX$1000,2,)</f>
        <v>4.4000000000000004</v>
      </c>
      <c r="E24" s="279"/>
      <c r="F24" s="279">
        <f t="shared" ref="F24:F53" si="6">VLOOKUP(A24&amp;"End-I",$AV$6:$AX$1000,3,)</f>
        <v>4.4000000000000004</v>
      </c>
      <c r="G24" s="279"/>
      <c r="H24" s="279">
        <f t="shared" ref="H24:H53" si="7">VLOOKUP(A24&amp;"Middle",$AV$6:$AX$1000,2,)</f>
        <v>4.4000000000000004</v>
      </c>
      <c r="I24" s="279"/>
      <c r="J24" s="279">
        <f t="shared" ref="J24:J53" si="8">VLOOKUP(A24&amp;"Middle",$AV$6:$AX$1000,3,)</f>
        <v>4.4000000000000004</v>
      </c>
      <c r="K24" s="279"/>
      <c r="L24" s="279">
        <f t="shared" ref="L24:L53" si="9">VLOOKUP(A24&amp;"End-J",$AV$6:$AX$1000,2,)</f>
        <v>4.4000000000000004</v>
      </c>
      <c r="M24" s="279"/>
      <c r="N24" s="279">
        <f t="shared" ref="N24:N53" si="10">VLOOKUP(A24&amp;"End-J",$AV$6:$AX$1000,3,)</f>
        <v>4.4000000000000004</v>
      </c>
      <c r="O24" s="279"/>
      <c r="P24" s="236" t="str">
        <f t="shared" ref="P24:P51" si="11">CONCATENATE(W24,"#",X24,IF(Z24="","",CONCATENATE("+",Z24,"#",AA24)))</f>
        <v>3#5</v>
      </c>
      <c r="Q24" s="236"/>
      <c r="R24" s="236">
        <f t="shared" ref="R24:R51" si="12">AB24</f>
        <v>5.97</v>
      </c>
      <c r="S24" s="236"/>
      <c r="T24" s="236" t="str">
        <f t="shared" ref="T24:T52" si="13">IF(R24&gt;=MAX(D24:O24),"OK","*Ver nota*")</f>
        <v>OK</v>
      </c>
      <c r="U24" s="236"/>
      <c r="W24" s="79">
        <f>VLOOKUP(B24,$B$11:$P$13,9,)</f>
        <v>3</v>
      </c>
      <c r="X24" s="13">
        <f t="shared" ref="X24:X62" si="14">VLOOKUP(B24,$B$11:$P$13,10,)</f>
        <v>5</v>
      </c>
      <c r="Y24" s="78"/>
      <c r="Z24" s="79"/>
      <c r="AA24" s="13">
        <f t="shared" ref="AA24:AA62" si="15">VLOOKUP(B24,$B$11:$P$13,13,)</f>
        <v>4</v>
      </c>
      <c r="AB24" s="1">
        <f t="shared" ref="AB24:AB62" si="16">W24*VLOOKUP(X24,$W$7:$X$15,2,)+Z24*VLOOKUP(AA24,$W$7:$X$15,2,)</f>
        <v>5.97</v>
      </c>
      <c r="AF24" s="1" t="s">
        <v>822</v>
      </c>
      <c r="AG24" s="1" t="s">
        <v>813</v>
      </c>
      <c r="AJ24" s="1" t="s">
        <v>824</v>
      </c>
      <c r="AK24" s="1" t="s">
        <v>772</v>
      </c>
      <c r="AL24" s="1">
        <v>100</v>
      </c>
      <c r="AM24" s="1" t="s">
        <v>814</v>
      </c>
      <c r="AN24" s="1" t="s">
        <v>783</v>
      </c>
      <c r="AO24" s="1" t="s">
        <v>776</v>
      </c>
      <c r="AP24" s="1">
        <v>-179.05840000000001</v>
      </c>
      <c r="AQ24" s="1">
        <v>1172</v>
      </c>
      <c r="AR24" s="1" t="s">
        <v>776</v>
      </c>
      <c r="AS24" s="1">
        <v>89.529200000000003</v>
      </c>
      <c r="AT24" s="1">
        <v>565</v>
      </c>
      <c r="AV24" s="1" t="str">
        <f t="shared" si="0"/>
        <v>B19End-I</v>
      </c>
      <c r="AW24" s="1">
        <f t="shared" si="1"/>
        <v>11.72</v>
      </c>
      <c r="AX24" s="1">
        <f t="shared" si="2"/>
        <v>5.65</v>
      </c>
    </row>
    <row r="25" spans="1:50" ht="13.9" x14ac:dyDescent="0.25">
      <c r="A25" s="39" t="str">
        <f t="shared" si="3"/>
        <v>B9</v>
      </c>
      <c r="B25" s="236" t="str">
        <f t="shared" si="4"/>
        <v>V35X50</v>
      </c>
      <c r="C25" s="236"/>
      <c r="D25" s="279">
        <f t="shared" si="5"/>
        <v>9.75</v>
      </c>
      <c r="E25" s="279"/>
      <c r="F25" s="279">
        <f t="shared" si="6"/>
        <v>5.13</v>
      </c>
      <c r="G25" s="279"/>
      <c r="H25" s="279">
        <f t="shared" si="7"/>
        <v>5.13</v>
      </c>
      <c r="I25" s="279"/>
      <c r="J25" s="279">
        <f t="shared" si="8"/>
        <v>6.84</v>
      </c>
      <c r="K25" s="279"/>
      <c r="L25" s="279">
        <f t="shared" si="9"/>
        <v>9.91</v>
      </c>
      <c r="M25" s="279"/>
      <c r="N25" s="279">
        <f t="shared" si="10"/>
        <v>5.13</v>
      </c>
      <c r="O25" s="279"/>
      <c r="P25" s="236" t="str">
        <f>CONCATENATE(W25,"#",X25,IF(Z25="","",CONCATENATE("+",Z25,"#",AA25)))</f>
        <v>3#5</v>
      </c>
      <c r="Q25" s="236"/>
      <c r="R25" s="236">
        <f t="shared" si="12"/>
        <v>5.97</v>
      </c>
      <c r="S25" s="236"/>
      <c r="T25" s="236" t="str">
        <f t="shared" si="13"/>
        <v>*Ver nota*</v>
      </c>
      <c r="U25" s="236"/>
      <c r="W25" s="79">
        <f>VLOOKUP(B25,$B$11:$P$13,9,)</f>
        <v>3</v>
      </c>
      <c r="X25" s="13">
        <f t="shared" ref="X25" si="17">VLOOKUP(B25,$B$11:$P$13,10,)</f>
        <v>5</v>
      </c>
      <c r="Y25" s="78"/>
      <c r="Z25" s="79"/>
      <c r="AA25" s="13">
        <f t="shared" si="15"/>
        <v>4</v>
      </c>
      <c r="AB25" s="1">
        <f t="shared" si="16"/>
        <v>5.97</v>
      </c>
      <c r="AF25" s="1" t="s">
        <v>823</v>
      </c>
      <c r="AG25" s="1" t="s">
        <v>814</v>
      </c>
      <c r="AJ25" s="1" t="s">
        <v>824</v>
      </c>
      <c r="AK25" s="1" t="s">
        <v>772</v>
      </c>
      <c r="AL25" s="1">
        <v>100</v>
      </c>
      <c r="AM25" s="1" t="s">
        <v>814</v>
      </c>
      <c r="AN25" s="1" t="s">
        <v>784</v>
      </c>
      <c r="AO25" s="1" t="s">
        <v>776</v>
      </c>
      <c r="AP25" s="1">
        <v>-44.998100000000001</v>
      </c>
      <c r="AQ25" s="1">
        <v>513</v>
      </c>
      <c r="AR25" s="1" t="s">
        <v>781</v>
      </c>
      <c r="AS25" s="1">
        <v>148.50190000000001</v>
      </c>
      <c r="AT25" s="1">
        <v>959</v>
      </c>
      <c r="AV25" s="1" t="str">
        <f t="shared" si="0"/>
        <v>B19Middle</v>
      </c>
      <c r="AW25" s="1">
        <f t="shared" si="1"/>
        <v>5.13</v>
      </c>
      <c r="AX25" s="1">
        <f t="shared" si="2"/>
        <v>9.59</v>
      </c>
    </row>
    <row r="26" spans="1:50" ht="13.9" x14ac:dyDescent="0.25">
      <c r="A26" s="39" t="str">
        <f t="shared" si="3"/>
        <v>B10</v>
      </c>
      <c r="B26" s="236" t="str">
        <f t="shared" si="4"/>
        <v>V35X50</v>
      </c>
      <c r="C26" s="236"/>
      <c r="D26" s="279">
        <f t="shared" si="5"/>
        <v>0.05</v>
      </c>
      <c r="E26" s="279"/>
      <c r="F26" s="279">
        <f t="shared" si="6"/>
        <v>0.05</v>
      </c>
      <c r="G26" s="279"/>
      <c r="H26" s="279">
        <f t="shared" si="7"/>
        <v>0</v>
      </c>
      <c r="I26" s="279"/>
      <c r="J26" s="279">
        <f t="shared" si="8"/>
        <v>0</v>
      </c>
      <c r="K26" s="279"/>
      <c r="L26" s="279">
        <f t="shared" si="9"/>
        <v>0.05</v>
      </c>
      <c r="M26" s="279"/>
      <c r="N26" s="279">
        <f t="shared" si="10"/>
        <v>0.05</v>
      </c>
      <c r="O26" s="279"/>
      <c r="P26" s="236" t="str">
        <f t="shared" si="11"/>
        <v>3#5</v>
      </c>
      <c r="Q26" s="236"/>
      <c r="R26" s="236">
        <f t="shared" si="12"/>
        <v>5.97</v>
      </c>
      <c r="S26" s="236"/>
      <c r="T26" s="236" t="str">
        <f t="shared" si="13"/>
        <v>OK</v>
      </c>
      <c r="U26" s="236"/>
      <c r="W26" s="79">
        <f t="shared" ref="W26:W62" si="18">VLOOKUP(B26,$B$11:$P$13,9,)</f>
        <v>3</v>
      </c>
      <c r="X26" s="13">
        <f t="shared" si="14"/>
        <v>5</v>
      </c>
      <c r="Y26" s="78"/>
      <c r="Z26" s="79"/>
      <c r="AA26" s="13">
        <f t="shared" si="15"/>
        <v>4</v>
      </c>
      <c r="AB26" s="1">
        <f t="shared" si="16"/>
        <v>5.97</v>
      </c>
      <c r="AF26" s="1" t="s">
        <v>827</v>
      </c>
      <c r="AG26" s="1" t="s">
        <v>814</v>
      </c>
      <c r="AJ26" s="1" t="s">
        <v>824</v>
      </c>
      <c r="AK26" s="1" t="s">
        <v>772</v>
      </c>
      <c r="AL26" s="1">
        <v>100</v>
      </c>
      <c r="AM26" s="1" t="s">
        <v>814</v>
      </c>
      <c r="AN26" s="1" t="s">
        <v>785</v>
      </c>
      <c r="AO26" s="1" t="s">
        <v>776</v>
      </c>
      <c r="AP26" s="1">
        <v>-179.9924</v>
      </c>
      <c r="AQ26" s="1">
        <v>1178</v>
      </c>
      <c r="AR26" s="1" t="s">
        <v>776</v>
      </c>
      <c r="AS26" s="1">
        <v>89.996200000000002</v>
      </c>
      <c r="AT26" s="1">
        <v>568</v>
      </c>
      <c r="AV26" s="1" t="str">
        <f t="shared" si="0"/>
        <v>B19End-J</v>
      </c>
      <c r="AW26" s="1">
        <f t="shared" si="1"/>
        <v>11.78</v>
      </c>
      <c r="AX26" s="1">
        <f t="shared" si="2"/>
        <v>5.68</v>
      </c>
    </row>
    <row r="27" spans="1:50" ht="13.9" x14ac:dyDescent="0.25">
      <c r="A27" s="39" t="str">
        <f t="shared" si="3"/>
        <v>B11</v>
      </c>
      <c r="B27" s="236" t="str">
        <f t="shared" si="4"/>
        <v>V30X50</v>
      </c>
      <c r="C27" s="236"/>
      <c r="D27" s="279">
        <f t="shared" si="5"/>
        <v>4.4000000000000004</v>
      </c>
      <c r="E27" s="279"/>
      <c r="F27" s="279">
        <f t="shared" si="6"/>
        <v>4.4000000000000004</v>
      </c>
      <c r="G27" s="279"/>
      <c r="H27" s="279">
        <f t="shared" si="7"/>
        <v>4.4000000000000004</v>
      </c>
      <c r="I27" s="279"/>
      <c r="J27" s="279">
        <f t="shared" si="8"/>
        <v>4.4000000000000004</v>
      </c>
      <c r="K27" s="279"/>
      <c r="L27" s="279">
        <f t="shared" si="9"/>
        <v>4.4000000000000004</v>
      </c>
      <c r="M27" s="279"/>
      <c r="N27" s="279">
        <f t="shared" si="10"/>
        <v>4.4000000000000004</v>
      </c>
      <c r="O27" s="279"/>
      <c r="P27" s="236" t="str">
        <f t="shared" si="11"/>
        <v>3#5</v>
      </c>
      <c r="Q27" s="236"/>
      <c r="R27" s="236">
        <f t="shared" si="12"/>
        <v>5.97</v>
      </c>
      <c r="S27" s="236"/>
      <c r="T27" s="236" t="str">
        <f t="shared" si="13"/>
        <v>OK</v>
      </c>
      <c r="U27" s="236"/>
      <c r="W27" s="79">
        <f t="shared" si="18"/>
        <v>3</v>
      </c>
      <c r="X27" s="13">
        <f t="shared" si="14"/>
        <v>5</v>
      </c>
      <c r="Y27" s="78"/>
      <c r="Z27" s="79"/>
      <c r="AA27" s="13">
        <f t="shared" si="15"/>
        <v>4</v>
      </c>
      <c r="AB27" s="1">
        <f t="shared" si="16"/>
        <v>5.97</v>
      </c>
      <c r="AF27" s="1" t="s">
        <v>828</v>
      </c>
      <c r="AG27" s="1" t="s">
        <v>814</v>
      </c>
      <c r="AJ27" s="1" t="s">
        <v>824</v>
      </c>
      <c r="AK27" s="1" t="s">
        <v>773</v>
      </c>
      <c r="AL27" s="1">
        <v>115</v>
      </c>
      <c r="AM27" s="1" t="s">
        <v>813</v>
      </c>
      <c r="AN27" s="1" t="s">
        <v>783</v>
      </c>
      <c r="AO27" s="1" t="s">
        <v>778</v>
      </c>
      <c r="AP27" s="1">
        <v>-63.485500000000002</v>
      </c>
      <c r="AQ27" s="1">
        <v>440</v>
      </c>
      <c r="AR27" s="1" t="s">
        <v>778</v>
      </c>
      <c r="AS27" s="1">
        <v>31.742799999999999</v>
      </c>
      <c r="AT27" s="1">
        <v>440</v>
      </c>
      <c r="AV27" s="1" t="str">
        <f t="shared" si="0"/>
        <v>B21End-I</v>
      </c>
      <c r="AW27" s="1">
        <f t="shared" si="1"/>
        <v>4.4000000000000004</v>
      </c>
      <c r="AX27" s="1">
        <f t="shared" si="2"/>
        <v>4.4000000000000004</v>
      </c>
    </row>
    <row r="28" spans="1:50" ht="13.9" x14ac:dyDescent="0.25">
      <c r="A28" s="39" t="str">
        <f t="shared" si="3"/>
        <v>B17</v>
      </c>
      <c r="B28" s="236" t="str">
        <f t="shared" si="4"/>
        <v>V30X50</v>
      </c>
      <c r="C28" s="236"/>
      <c r="D28" s="279">
        <f t="shared" si="5"/>
        <v>4.41</v>
      </c>
      <c r="E28" s="279"/>
      <c r="F28" s="279">
        <f t="shared" si="6"/>
        <v>4.4000000000000004</v>
      </c>
      <c r="G28" s="279"/>
      <c r="H28" s="279">
        <f t="shared" si="7"/>
        <v>4.4000000000000004</v>
      </c>
      <c r="I28" s="279"/>
      <c r="J28" s="279">
        <f t="shared" si="8"/>
        <v>4.4000000000000004</v>
      </c>
      <c r="K28" s="279"/>
      <c r="L28" s="279">
        <f t="shared" si="9"/>
        <v>4.4000000000000004</v>
      </c>
      <c r="M28" s="279"/>
      <c r="N28" s="279">
        <f t="shared" si="10"/>
        <v>4.4000000000000004</v>
      </c>
      <c r="O28" s="279"/>
      <c r="P28" s="236" t="str">
        <f t="shared" si="11"/>
        <v>3#5</v>
      </c>
      <c r="Q28" s="236"/>
      <c r="R28" s="236">
        <f t="shared" si="12"/>
        <v>5.97</v>
      </c>
      <c r="S28" s="236"/>
      <c r="T28" s="236" t="str">
        <f t="shared" si="13"/>
        <v>OK</v>
      </c>
      <c r="U28" s="236"/>
      <c r="W28" s="79">
        <f t="shared" si="18"/>
        <v>3</v>
      </c>
      <c r="X28" s="13">
        <f t="shared" si="14"/>
        <v>5</v>
      </c>
      <c r="Y28" s="78"/>
      <c r="Z28" s="79"/>
      <c r="AA28" s="13">
        <f t="shared" si="15"/>
        <v>4</v>
      </c>
      <c r="AB28" s="1">
        <f t="shared" si="16"/>
        <v>5.97</v>
      </c>
      <c r="AF28" s="1" t="s">
        <v>829</v>
      </c>
      <c r="AG28" s="1" t="s">
        <v>814</v>
      </c>
      <c r="AJ28" s="1" t="s">
        <v>824</v>
      </c>
      <c r="AK28" s="1" t="s">
        <v>773</v>
      </c>
      <c r="AL28" s="1">
        <v>115</v>
      </c>
      <c r="AM28" s="1" t="s">
        <v>813</v>
      </c>
      <c r="AN28" s="1" t="s">
        <v>784</v>
      </c>
      <c r="AO28" s="1" t="s">
        <v>778</v>
      </c>
      <c r="AP28" s="1">
        <v>-15.8714</v>
      </c>
      <c r="AQ28" s="1">
        <v>440</v>
      </c>
      <c r="AR28" s="1" t="s">
        <v>779</v>
      </c>
      <c r="AS28" s="1">
        <v>17.135400000000001</v>
      </c>
      <c r="AT28" s="1">
        <v>440</v>
      </c>
      <c r="AV28" s="1" t="str">
        <f t="shared" si="0"/>
        <v>B21Middle</v>
      </c>
      <c r="AW28" s="1">
        <f t="shared" si="1"/>
        <v>4.4000000000000004</v>
      </c>
      <c r="AX28" s="1">
        <f t="shared" si="2"/>
        <v>4.4000000000000004</v>
      </c>
    </row>
    <row r="29" spans="1:50" ht="13.9" x14ac:dyDescent="0.25">
      <c r="A29" s="39" t="str">
        <f t="shared" si="3"/>
        <v>B19</v>
      </c>
      <c r="B29" s="236" t="str">
        <f t="shared" si="4"/>
        <v>V35X50</v>
      </c>
      <c r="C29" s="236"/>
      <c r="D29" s="279">
        <f t="shared" si="5"/>
        <v>11.72</v>
      </c>
      <c r="E29" s="279"/>
      <c r="F29" s="279">
        <f t="shared" si="6"/>
        <v>5.65</v>
      </c>
      <c r="G29" s="279"/>
      <c r="H29" s="279">
        <f t="shared" si="7"/>
        <v>5.13</v>
      </c>
      <c r="I29" s="279"/>
      <c r="J29" s="279">
        <f t="shared" si="8"/>
        <v>9.59</v>
      </c>
      <c r="K29" s="279"/>
      <c r="L29" s="279">
        <f t="shared" si="9"/>
        <v>11.78</v>
      </c>
      <c r="M29" s="279"/>
      <c r="N29" s="279">
        <f t="shared" si="10"/>
        <v>5.68</v>
      </c>
      <c r="O29" s="279"/>
      <c r="P29" s="236" t="str">
        <f t="shared" si="11"/>
        <v>3#5</v>
      </c>
      <c r="Q29" s="236"/>
      <c r="R29" s="236">
        <f t="shared" si="12"/>
        <v>5.97</v>
      </c>
      <c r="S29" s="236"/>
      <c r="T29" s="236" t="str">
        <f t="shared" si="13"/>
        <v>*Ver nota*</v>
      </c>
      <c r="U29" s="236"/>
      <c r="W29" s="79">
        <f t="shared" si="18"/>
        <v>3</v>
      </c>
      <c r="X29" s="13">
        <f t="shared" si="14"/>
        <v>5</v>
      </c>
      <c r="Y29" s="78"/>
      <c r="Z29" s="79"/>
      <c r="AA29" s="13">
        <f t="shared" si="15"/>
        <v>4</v>
      </c>
      <c r="AB29" s="1">
        <f t="shared" si="16"/>
        <v>5.97</v>
      </c>
      <c r="AF29" s="1" t="s">
        <v>830</v>
      </c>
      <c r="AG29" s="1" t="s">
        <v>814</v>
      </c>
      <c r="AJ29" s="1" t="s">
        <v>824</v>
      </c>
      <c r="AK29" s="1" t="s">
        <v>773</v>
      </c>
      <c r="AL29" s="1">
        <v>115</v>
      </c>
      <c r="AM29" s="1" t="s">
        <v>813</v>
      </c>
      <c r="AN29" s="1" t="s">
        <v>785</v>
      </c>
      <c r="AO29" s="1" t="s">
        <v>778</v>
      </c>
      <c r="AP29" s="1">
        <v>-58.104100000000003</v>
      </c>
      <c r="AQ29" s="1">
        <v>440</v>
      </c>
      <c r="AR29" s="1" t="s">
        <v>778</v>
      </c>
      <c r="AS29" s="1">
        <v>29.052</v>
      </c>
      <c r="AT29" s="1">
        <v>440</v>
      </c>
      <c r="AV29" s="1" t="str">
        <f t="shared" si="0"/>
        <v>B21End-J</v>
      </c>
      <c r="AW29" s="1">
        <f t="shared" si="1"/>
        <v>4.4000000000000004</v>
      </c>
      <c r="AX29" s="1">
        <f t="shared" si="2"/>
        <v>4.4000000000000004</v>
      </c>
    </row>
    <row r="30" spans="1:50" ht="13.9" x14ac:dyDescent="0.25">
      <c r="A30" s="39" t="str">
        <f t="shared" si="3"/>
        <v>B21</v>
      </c>
      <c r="B30" s="236" t="str">
        <f t="shared" si="4"/>
        <v>V30X50</v>
      </c>
      <c r="C30" s="236"/>
      <c r="D30" s="279">
        <f t="shared" si="5"/>
        <v>4.4000000000000004</v>
      </c>
      <c r="E30" s="279"/>
      <c r="F30" s="279">
        <f t="shared" si="6"/>
        <v>4.4000000000000004</v>
      </c>
      <c r="G30" s="279"/>
      <c r="H30" s="279">
        <f t="shared" si="7"/>
        <v>4.4000000000000004</v>
      </c>
      <c r="I30" s="279"/>
      <c r="J30" s="279">
        <f t="shared" si="8"/>
        <v>4.4000000000000004</v>
      </c>
      <c r="K30" s="279"/>
      <c r="L30" s="279">
        <f t="shared" si="9"/>
        <v>4.4000000000000004</v>
      </c>
      <c r="M30" s="279"/>
      <c r="N30" s="279">
        <f t="shared" si="10"/>
        <v>4.4000000000000004</v>
      </c>
      <c r="O30" s="279"/>
      <c r="P30" s="236" t="str">
        <f t="shared" si="11"/>
        <v>3#5</v>
      </c>
      <c r="Q30" s="236"/>
      <c r="R30" s="236">
        <f t="shared" si="12"/>
        <v>5.97</v>
      </c>
      <c r="S30" s="236"/>
      <c r="T30" s="236" t="str">
        <f t="shared" si="13"/>
        <v>OK</v>
      </c>
      <c r="U30" s="236"/>
      <c r="W30" s="79">
        <f t="shared" si="18"/>
        <v>3</v>
      </c>
      <c r="X30" s="13">
        <f t="shared" si="14"/>
        <v>5</v>
      </c>
      <c r="Y30" s="78"/>
      <c r="Z30" s="79"/>
      <c r="AA30" s="13">
        <f t="shared" si="15"/>
        <v>4</v>
      </c>
      <c r="AB30" s="1">
        <f t="shared" si="16"/>
        <v>5.97</v>
      </c>
      <c r="AF30" s="1" t="s">
        <v>303</v>
      </c>
      <c r="AG30" s="1" t="s">
        <v>813</v>
      </c>
      <c r="AJ30" s="1" t="s">
        <v>824</v>
      </c>
      <c r="AK30" s="1" t="s">
        <v>774</v>
      </c>
      <c r="AL30" s="1">
        <v>88</v>
      </c>
      <c r="AM30" s="1" t="s">
        <v>813</v>
      </c>
      <c r="AN30" s="1" t="s">
        <v>783</v>
      </c>
      <c r="AO30" s="1" t="s">
        <v>778</v>
      </c>
      <c r="AP30" s="1">
        <v>-67.081299999999999</v>
      </c>
      <c r="AQ30" s="1">
        <v>440</v>
      </c>
      <c r="AR30" s="1" t="s">
        <v>778</v>
      </c>
      <c r="AS30" s="1">
        <v>33.540700000000001</v>
      </c>
      <c r="AT30" s="1">
        <v>440</v>
      </c>
      <c r="AV30" s="1" t="str">
        <f t="shared" si="0"/>
        <v>B27End-I</v>
      </c>
      <c r="AW30" s="1">
        <f t="shared" si="1"/>
        <v>4.4000000000000004</v>
      </c>
      <c r="AX30" s="1">
        <f t="shared" si="2"/>
        <v>4.4000000000000004</v>
      </c>
    </row>
    <row r="31" spans="1:50" ht="13.9" x14ac:dyDescent="0.25">
      <c r="A31" s="39" t="str">
        <f t="shared" si="3"/>
        <v>B27</v>
      </c>
      <c r="B31" s="236" t="str">
        <f t="shared" si="4"/>
        <v>V30X50</v>
      </c>
      <c r="C31" s="236"/>
      <c r="D31" s="279">
        <f t="shared" si="5"/>
        <v>4.4000000000000004</v>
      </c>
      <c r="E31" s="279"/>
      <c r="F31" s="279">
        <f t="shared" si="6"/>
        <v>4.4000000000000004</v>
      </c>
      <c r="G31" s="279"/>
      <c r="H31" s="279">
        <f t="shared" si="7"/>
        <v>4.4000000000000004</v>
      </c>
      <c r="I31" s="279"/>
      <c r="J31" s="279">
        <f t="shared" si="8"/>
        <v>4.4000000000000004</v>
      </c>
      <c r="K31" s="279"/>
      <c r="L31" s="279">
        <f t="shared" si="9"/>
        <v>4.4000000000000004</v>
      </c>
      <c r="M31" s="279"/>
      <c r="N31" s="279">
        <f t="shared" si="10"/>
        <v>4.4000000000000004</v>
      </c>
      <c r="O31" s="279"/>
      <c r="P31" s="236" t="str">
        <f t="shared" si="11"/>
        <v>3#5</v>
      </c>
      <c r="Q31" s="236"/>
      <c r="R31" s="236">
        <f t="shared" si="12"/>
        <v>5.97</v>
      </c>
      <c r="S31" s="236"/>
      <c r="T31" s="236" t="str">
        <f t="shared" si="13"/>
        <v>OK</v>
      </c>
      <c r="U31" s="236"/>
      <c r="W31" s="79">
        <f t="shared" si="18"/>
        <v>3</v>
      </c>
      <c r="X31" s="13">
        <f t="shared" si="14"/>
        <v>5</v>
      </c>
      <c r="Y31" s="78"/>
      <c r="Z31" s="79"/>
      <c r="AA31" s="13">
        <f t="shared" si="15"/>
        <v>4</v>
      </c>
      <c r="AB31" s="1">
        <f t="shared" si="16"/>
        <v>5.97</v>
      </c>
      <c r="AF31" s="1" t="s">
        <v>768</v>
      </c>
      <c r="AG31" s="1" t="s">
        <v>813</v>
      </c>
      <c r="AJ31" s="1" t="s">
        <v>824</v>
      </c>
      <c r="AK31" s="1" t="s">
        <v>774</v>
      </c>
      <c r="AL31" s="1">
        <v>88</v>
      </c>
      <c r="AM31" s="1" t="s">
        <v>813</v>
      </c>
      <c r="AN31" s="1" t="s">
        <v>784</v>
      </c>
      <c r="AO31" s="1" t="s">
        <v>778</v>
      </c>
      <c r="AP31" s="1">
        <v>-16.770299999999999</v>
      </c>
      <c r="AQ31" s="1">
        <v>440</v>
      </c>
      <c r="AR31" s="1" t="s">
        <v>779</v>
      </c>
      <c r="AS31" s="1">
        <v>21.186599999999999</v>
      </c>
      <c r="AT31" s="1">
        <v>440</v>
      </c>
      <c r="AV31" s="1" t="str">
        <f t="shared" si="0"/>
        <v>B27Middle</v>
      </c>
      <c r="AW31" s="1">
        <f t="shared" si="1"/>
        <v>4.4000000000000004</v>
      </c>
      <c r="AX31" s="1">
        <f t="shared" si="2"/>
        <v>4.4000000000000004</v>
      </c>
    </row>
    <row r="32" spans="1:50" ht="13.9" x14ac:dyDescent="0.25">
      <c r="A32" s="39" t="str">
        <f t="shared" si="3"/>
        <v>B29</v>
      </c>
      <c r="B32" s="236" t="str">
        <f t="shared" si="4"/>
        <v>V35X50</v>
      </c>
      <c r="C32" s="236"/>
      <c r="D32" s="279">
        <f t="shared" si="5"/>
        <v>10.17</v>
      </c>
      <c r="E32" s="279"/>
      <c r="F32" s="279">
        <f t="shared" si="6"/>
        <v>5.13</v>
      </c>
      <c r="G32" s="279"/>
      <c r="H32" s="279">
        <f t="shared" si="7"/>
        <v>5.13</v>
      </c>
      <c r="I32" s="279"/>
      <c r="J32" s="279">
        <f t="shared" si="8"/>
        <v>8.6</v>
      </c>
      <c r="K32" s="279"/>
      <c r="L32" s="279">
        <f t="shared" si="9"/>
        <v>10.130000000000001</v>
      </c>
      <c r="M32" s="279"/>
      <c r="N32" s="279">
        <f t="shared" si="10"/>
        <v>5.13</v>
      </c>
      <c r="O32" s="279"/>
      <c r="P32" s="236" t="str">
        <f t="shared" si="11"/>
        <v>3#5</v>
      </c>
      <c r="Q32" s="236"/>
      <c r="R32" s="236">
        <f t="shared" si="12"/>
        <v>5.97</v>
      </c>
      <c r="S32" s="236"/>
      <c r="T32" s="236" t="str">
        <f t="shared" si="13"/>
        <v>*Ver nota*</v>
      </c>
      <c r="U32" s="236"/>
      <c r="W32" s="79">
        <f t="shared" si="18"/>
        <v>3</v>
      </c>
      <c r="X32" s="13">
        <f t="shared" si="14"/>
        <v>5</v>
      </c>
      <c r="Y32" s="78"/>
      <c r="Z32" s="79"/>
      <c r="AA32" s="13">
        <f t="shared" si="15"/>
        <v>4</v>
      </c>
      <c r="AB32" s="1">
        <f t="shared" si="16"/>
        <v>5.97</v>
      </c>
      <c r="AF32" s="1" t="s">
        <v>769</v>
      </c>
      <c r="AG32" s="1" t="s">
        <v>814</v>
      </c>
      <c r="AJ32" s="1" t="s">
        <v>824</v>
      </c>
      <c r="AK32" s="1" t="s">
        <v>774</v>
      </c>
      <c r="AL32" s="1">
        <v>88</v>
      </c>
      <c r="AM32" s="1" t="s">
        <v>813</v>
      </c>
      <c r="AN32" s="1" t="s">
        <v>785</v>
      </c>
      <c r="AO32" s="1" t="s">
        <v>778</v>
      </c>
      <c r="AP32" s="1">
        <v>-63.796799999999998</v>
      </c>
      <c r="AQ32" s="1">
        <v>440</v>
      </c>
      <c r="AR32" s="1" t="s">
        <v>778</v>
      </c>
      <c r="AS32" s="1">
        <v>31.898399999999999</v>
      </c>
      <c r="AT32" s="1">
        <v>440</v>
      </c>
      <c r="AV32" s="1" t="str">
        <f t="shared" si="0"/>
        <v>B27End-J</v>
      </c>
      <c r="AW32" s="1">
        <f t="shared" si="1"/>
        <v>4.4000000000000004</v>
      </c>
      <c r="AX32" s="1">
        <f t="shared" si="2"/>
        <v>4.4000000000000004</v>
      </c>
    </row>
    <row r="33" spans="1:50" ht="13.9" x14ac:dyDescent="0.25">
      <c r="A33" s="39" t="str">
        <f t="shared" si="3"/>
        <v>B31</v>
      </c>
      <c r="B33" s="236" t="str">
        <f t="shared" si="4"/>
        <v>V30X50</v>
      </c>
      <c r="C33" s="236"/>
      <c r="D33" s="279">
        <f t="shared" si="5"/>
        <v>4.4000000000000004</v>
      </c>
      <c r="E33" s="279"/>
      <c r="F33" s="279">
        <f t="shared" si="6"/>
        <v>4.4000000000000004</v>
      </c>
      <c r="G33" s="279"/>
      <c r="H33" s="279">
        <f t="shared" si="7"/>
        <v>4.4000000000000004</v>
      </c>
      <c r="I33" s="279"/>
      <c r="J33" s="279">
        <f t="shared" si="8"/>
        <v>4.4000000000000004</v>
      </c>
      <c r="K33" s="279"/>
      <c r="L33" s="279">
        <f t="shared" si="9"/>
        <v>4.4000000000000004</v>
      </c>
      <c r="M33" s="279"/>
      <c r="N33" s="279">
        <f t="shared" si="10"/>
        <v>4.4000000000000004</v>
      </c>
      <c r="O33" s="279"/>
      <c r="P33" s="236" t="str">
        <f t="shared" si="11"/>
        <v>3#5</v>
      </c>
      <c r="Q33" s="236"/>
      <c r="R33" s="236">
        <f t="shared" si="12"/>
        <v>5.97</v>
      </c>
      <c r="S33" s="236"/>
      <c r="T33" s="236" t="str">
        <f t="shared" si="13"/>
        <v>OK</v>
      </c>
      <c r="U33" s="236"/>
      <c r="W33" s="79">
        <f t="shared" si="18"/>
        <v>3</v>
      </c>
      <c r="X33" s="13">
        <f t="shared" si="14"/>
        <v>5</v>
      </c>
      <c r="Y33" s="78"/>
      <c r="Z33" s="79"/>
      <c r="AA33" s="13">
        <f t="shared" si="15"/>
        <v>4</v>
      </c>
      <c r="AB33" s="1">
        <f t="shared" si="16"/>
        <v>5.97</v>
      </c>
      <c r="AF33" s="1" t="s">
        <v>770</v>
      </c>
      <c r="AG33" s="1" t="s">
        <v>814</v>
      </c>
      <c r="AJ33" s="1" t="s">
        <v>824</v>
      </c>
      <c r="AK33" s="1" t="s">
        <v>775</v>
      </c>
      <c r="AL33" s="1">
        <v>103</v>
      </c>
      <c r="AM33" s="1" t="s">
        <v>814</v>
      </c>
      <c r="AN33" s="1" t="s">
        <v>783</v>
      </c>
      <c r="AO33" s="1" t="s">
        <v>776</v>
      </c>
      <c r="AP33" s="1">
        <v>-156.93620000000001</v>
      </c>
      <c r="AQ33" s="1">
        <v>1017</v>
      </c>
      <c r="AR33" s="1" t="s">
        <v>776</v>
      </c>
      <c r="AS33" s="1">
        <v>78.468100000000007</v>
      </c>
      <c r="AT33" s="1">
        <v>513</v>
      </c>
      <c r="AV33" s="1" t="str">
        <f t="shared" si="0"/>
        <v>B29End-I</v>
      </c>
      <c r="AW33" s="1">
        <f t="shared" si="1"/>
        <v>10.17</v>
      </c>
      <c r="AX33" s="1">
        <f t="shared" si="2"/>
        <v>5.13</v>
      </c>
    </row>
    <row r="34" spans="1:50" ht="13.9" x14ac:dyDescent="0.25">
      <c r="A34" s="39" t="str">
        <f t="shared" si="3"/>
        <v>B37</v>
      </c>
      <c r="B34" s="236" t="str">
        <f t="shared" si="4"/>
        <v>V30X50</v>
      </c>
      <c r="C34" s="236"/>
      <c r="D34" s="279">
        <f t="shared" si="5"/>
        <v>4.4000000000000004</v>
      </c>
      <c r="E34" s="279"/>
      <c r="F34" s="279">
        <f t="shared" si="6"/>
        <v>4.4000000000000004</v>
      </c>
      <c r="G34" s="279"/>
      <c r="H34" s="279">
        <f t="shared" si="7"/>
        <v>4.4000000000000004</v>
      </c>
      <c r="I34" s="279"/>
      <c r="J34" s="279">
        <f t="shared" si="8"/>
        <v>4.4000000000000004</v>
      </c>
      <c r="K34" s="279"/>
      <c r="L34" s="279">
        <f t="shared" si="9"/>
        <v>4.4000000000000004</v>
      </c>
      <c r="M34" s="279"/>
      <c r="N34" s="279">
        <f t="shared" si="10"/>
        <v>4.4000000000000004</v>
      </c>
      <c r="O34" s="279"/>
      <c r="P34" s="236" t="str">
        <f t="shared" si="11"/>
        <v>3#5</v>
      </c>
      <c r="Q34" s="236"/>
      <c r="R34" s="236">
        <f t="shared" si="12"/>
        <v>5.97</v>
      </c>
      <c r="S34" s="236"/>
      <c r="T34" s="236" t="str">
        <f t="shared" si="13"/>
        <v>OK</v>
      </c>
      <c r="U34" s="236"/>
      <c r="W34" s="79">
        <f t="shared" si="18"/>
        <v>3</v>
      </c>
      <c r="X34" s="13">
        <f t="shared" si="14"/>
        <v>5</v>
      </c>
      <c r="Y34" s="78"/>
      <c r="Z34" s="79"/>
      <c r="AA34" s="13">
        <f t="shared" si="15"/>
        <v>4</v>
      </c>
      <c r="AB34" s="1">
        <f t="shared" si="16"/>
        <v>5.97</v>
      </c>
      <c r="AF34" s="1" t="s">
        <v>771</v>
      </c>
      <c r="AG34" s="1" t="s">
        <v>813</v>
      </c>
      <c r="AJ34" s="1" t="s">
        <v>824</v>
      </c>
      <c r="AK34" s="1" t="s">
        <v>775</v>
      </c>
      <c r="AL34" s="1">
        <v>103</v>
      </c>
      <c r="AM34" s="1" t="s">
        <v>814</v>
      </c>
      <c r="AN34" s="1" t="s">
        <v>784</v>
      </c>
      <c r="AO34" s="1" t="s">
        <v>776</v>
      </c>
      <c r="AP34" s="1">
        <v>-39.234099999999998</v>
      </c>
      <c r="AQ34" s="1">
        <v>513</v>
      </c>
      <c r="AR34" s="1" t="s">
        <v>782</v>
      </c>
      <c r="AS34" s="1">
        <v>133.874</v>
      </c>
      <c r="AT34" s="1">
        <v>860</v>
      </c>
      <c r="AV34" s="1" t="str">
        <f t="shared" si="0"/>
        <v>B29Middle</v>
      </c>
      <c r="AW34" s="1">
        <f t="shared" si="1"/>
        <v>5.13</v>
      </c>
      <c r="AX34" s="1">
        <f t="shared" si="2"/>
        <v>8.6</v>
      </c>
    </row>
    <row r="35" spans="1:50" ht="13.9" x14ac:dyDescent="0.25">
      <c r="A35" s="39" t="str">
        <f t="shared" si="3"/>
        <v>B39</v>
      </c>
      <c r="B35" s="236" t="str">
        <f t="shared" si="4"/>
        <v>V35X50</v>
      </c>
      <c r="C35" s="236"/>
      <c r="D35" s="279">
        <f t="shared" si="5"/>
        <v>6.6</v>
      </c>
      <c r="E35" s="279"/>
      <c r="F35" s="279">
        <f t="shared" si="6"/>
        <v>5.13</v>
      </c>
      <c r="G35" s="279"/>
      <c r="H35" s="279">
        <f t="shared" si="7"/>
        <v>5.13</v>
      </c>
      <c r="I35" s="279"/>
      <c r="J35" s="279">
        <f t="shared" si="8"/>
        <v>5.13</v>
      </c>
      <c r="K35" s="279"/>
      <c r="L35" s="279">
        <f t="shared" si="9"/>
        <v>5.97</v>
      </c>
      <c r="M35" s="279"/>
      <c r="N35" s="279">
        <f t="shared" si="10"/>
        <v>5.13</v>
      </c>
      <c r="O35" s="279"/>
      <c r="P35" s="236" t="str">
        <f t="shared" si="11"/>
        <v>3#5</v>
      </c>
      <c r="Q35" s="236"/>
      <c r="R35" s="236">
        <f t="shared" si="12"/>
        <v>5.97</v>
      </c>
      <c r="S35" s="236"/>
      <c r="T35" s="236" t="str">
        <f t="shared" si="13"/>
        <v>*Ver nota*</v>
      </c>
      <c r="U35" s="236"/>
      <c r="W35" s="79">
        <f t="shared" si="18"/>
        <v>3</v>
      </c>
      <c r="X35" s="13">
        <f t="shared" si="14"/>
        <v>5</v>
      </c>
      <c r="Y35" s="78"/>
      <c r="Z35" s="79"/>
      <c r="AA35" s="13">
        <f t="shared" si="15"/>
        <v>4</v>
      </c>
      <c r="AB35" s="1">
        <f t="shared" si="16"/>
        <v>5.97</v>
      </c>
      <c r="AF35" s="1" t="s">
        <v>304</v>
      </c>
      <c r="AG35" s="1" t="s">
        <v>813</v>
      </c>
      <c r="AJ35" s="1" t="s">
        <v>824</v>
      </c>
      <c r="AK35" s="1" t="s">
        <v>775</v>
      </c>
      <c r="AL35" s="1">
        <v>103</v>
      </c>
      <c r="AM35" s="1" t="s">
        <v>814</v>
      </c>
      <c r="AN35" s="1" t="s">
        <v>785</v>
      </c>
      <c r="AO35" s="1" t="s">
        <v>776</v>
      </c>
      <c r="AP35" s="1">
        <v>-156.32259999999999</v>
      </c>
      <c r="AQ35" s="1">
        <v>1013</v>
      </c>
      <c r="AR35" s="1" t="s">
        <v>776</v>
      </c>
      <c r="AS35" s="1">
        <v>78.161299999999997</v>
      </c>
      <c r="AT35" s="1">
        <v>513</v>
      </c>
      <c r="AV35" s="1" t="str">
        <f t="shared" si="0"/>
        <v>B29End-J</v>
      </c>
      <c r="AW35" s="1">
        <f t="shared" si="1"/>
        <v>10.130000000000001</v>
      </c>
      <c r="AX35" s="1">
        <f t="shared" si="2"/>
        <v>5.13</v>
      </c>
    </row>
    <row r="36" spans="1:50" ht="13.9" x14ac:dyDescent="0.25">
      <c r="A36" s="39" t="str">
        <f t="shared" si="3"/>
        <v>B41</v>
      </c>
      <c r="B36" s="236" t="str">
        <f t="shared" si="4"/>
        <v>V30X50</v>
      </c>
      <c r="C36" s="236"/>
      <c r="D36" s="279">
        <f t="shared" si="5"/>
        <v>4.4000000000000004</v>
      </c>
      <c r="E36" s="279"/>
      <c r="F36" s="279">
        <f t="shared" si="6"/>
        <v>4.4000000000000004</v>
      </c>
      <c r="G36" s="279"/>
      <c r="H36" s="279">
        <f t="shared" si="7"/>
        <v>4.4000000000000004</v>
      </c>
      <c r="I36" s="279"/>
      <c r="J36" s="279">
        <f t="shared" si="8"/>
        <v>4.4000000000000004</v>
      </c>
      <c r="K36" s="279"/>
      <c r="L36" s="279">
        <f t="shared" si="9"/>
        <v>4.4000000000000004</v>
      </c>
      <c r="M36" s="279"/>
      <c r="N36" s="279">
        <f t="shared" si="10"/>
        <v>4.4000000000000004</v>
      </c>
      <c r="O36" s="279"/>
      <c r="P36" s="236" t="str">
        <f t="shared" si="11"/>
        <v>3#5</v>
      </c>
      <c r="Q36" s="236"/>
      <c r="R36" s="236">
        <f t="shared" si="12"/>
        <v>5.97</v>
      </c>
      <c r="S36" s="236"/>
      <c r="T36" s="236" t="str">
        <f t="shared" si="13"/>
        <v>OK</v>
      </c>
      <c r="U36" s="236"/>
      <c r="W36" s="79">
        <f t="shared" si="18"/>
        <v>3</v>
      </c>
      <c r="X36" s="13">
        <f t="shared" si="14"/>
        <v>5</v>
      </c>
      <c r="Y36" s="78"/>
      <c r="Z36" s="79"/>
      <c r="AA36" s="13">
        <f t="shared" si="15"/>
        <v>4</v>
      </c>
      <c r="AB36" s="1">
        <f t="shared" si="16"/>
        <v>5.97</v>
      </c>
      <c r="AF36" s="1" t="s">
        <v>772</v>
      </c>
      <c r="AG36" s="1" t="s">
        <v>814</v>
      </c>
      <c r="AJ36" s="1" t="s">
        <v>824</v>
      </c>
      <c r="AK36" s="1" t="s">
        <v>815</v>
      </c>
      <c r="AL36" s="1">
        <v>118</v>
      </c>
      <c r="AM36" s="1" t="s">
        <v>813</v>
      </c>
      <c r="AN36" s="1" t="s">
        <v>783</v>
      </c>
      <c r="AO36" s="1" t="s">
        <v>778</v>
      </c>
      <c r="AP36" s="1">
        <v>-62.623399999999997</v>
      </c>
      <c r="AQ36" s="1">
        <v>440</v>
      </c>
      <c r="AR36" s="1" t="s">
        <v>780</v>
      </c>
      <c r="AS36" s="1">
        <v>39.3962</v>
      </c>
      <c r="AT36" s="1">
        <v>440</v>
      </c>
      <c r="AV36" s="1" t="str">
        <f t="shared" si="0"/>
        <v>B31End-I</v>
      </c>
      <c r="AW36" s="1">
        <f t="shared" si="1"/>
        <v>4.4000000000000004</v>
      </c>
      <c r="AX36" s="1">
        <f t="shared" si="2"/>
        <v>4.4000000000000004</v>
      </c>
    </row>
    <row r="37" spans="1:50" ht="13.9" x14ac:dyDescent="0.25">
      <c r="A37" s="39" t="str">
        <f t="shared" si="3"/>
        <v>B46</v>
      </c>
      <c r="B37" s="236" t="str">
        <f t="shared" si="4"/>
        <v>V30X50</v>
      </c>
      <c r="C37" s="236"/>
      <c r="D37" s="279">
        <f t="shared" si="5"/>
        <v>4.63</v>
      </c>
      <c r="E37" s="279"/>
      <c r="F37" s="279">
        <f t="shared" si="6"/>
        <v>4.4000000000000004</v>
      </c>
      <c r="G37" s="279"/>
      <c r="H37" s="279">
        <f t="shared" si="7"/>
        <v>4.4000000000000004</v>
      </c>
      <c r="I37" s="279"/>
      <c r="J37" s="279">
        <f t="shared" si="8"/>
        <v>4.4000000000000004</v>
      </c>
      <c r="K37" s="279"/>
      <c r="L37" s="279">
        <f t="shared" si="9"/>
        <v>4.46</v>
      </c>
      <c r="M37" s="279"/>
      <c r="N37" s="279">
        <f t="shared" si="10"/>
        <v>4.49</v>
      </c>
      <c r="O37" s="279"/>
      <c r="P37" s="236" t="str">
        <f t="shared" si="11"/>
        <v>3#5</v>
      </c>
      <c r="Q37" s="236"/>
      <c r="R37" s="236">
        <f t="shared" si="12"/>
        <v>5.97</v>
      </c>
      <c r="S37" s="236"/>
      <c r="T37" s="236" t="str">
        <f t="shared" si="13"/>
        <v>OK</v>
      </c>
      <c r="U37" s="236"/>
      <c r="W37" s="79">
        <f t="shared" si="18"/>
        <v>3</v>
      </c>
      <c r="X37" s="13">
        <f t="shared" si="14"/>
        <v>5</v>
      </c>
      <c r="Y37" s="78"/>
      <c r="Z37" s="79"/>
      <c r="AA37" s="13">
        <f t="shared" si="15"/>
        <v>4</v>
      </c>
      <c r="AB37" s="1">
        <f t="shared" si="16"/>
        <v>5.97</v>
      </c>
      <c r="AF37" s="1" t="s">
        <v>773</v>
      </c>
      <c r="AG37" s="1" t="s">
        <v>813</v>
      </c>
      <c r="AJ37" s="1" t="s">
        <v>824</v>
      </c>
      <c r="AK37" s="1" t="s">
        <v>815</v>
      </c>
      <c r="AL37" s="1">
        <v>118</v>
      </c>
      <c r="AM37" s="1" t="s">
        <v>813</v>
      </c>
      <c r="AN37" s="1" t="s">
        <v>784</v>
      </c>
      <c r="AO37" s="1" t="s">
        <v>780</v>
      </c>
      <c r="AP37" s="1">
        <v>-23.045000000000002</v>
      </c>
      <c r="AQ37" s="1">
        <v>440</v>
      </c>
      <c r="AR37" s="1" t="s">
        <v>778</v>
      </c>
      <c r="AS37" s="1">
        <v>28.426200000000001</v>
      </c>
      <c r="AT37" s="1">
        <v>440</v>
      </c>
      <c r="AV37" s="1" t="str">
        <f t="shared" si="0"/>
        <v>B31Middle</v>
      </c>
      <c r="AW37" s="1">
        <f t="shared" si="1"/>
        <v>4.4000000000000004</v>
      </c>
      <c r="AX37" s="1">
        <f t="shared" si="2"/>
        <v>4.4000000000000004</v>
      </c>
    </row>
    <row r="38" spans="1:50" ht="13.9" x14ac:dyDescent="0.25">
      <c r="A38" s="39" t="str">
        <f t="shared" si="3"/>
        <v>B47</v>
      </c>
      <c r="B38" s="236" t="str">
        <f t="shared" si="4"/>
        <v>V30X50</v>
      </c>
      <c r="C38" s="236"/>
      <c r="D38" s="279">
        <f t="shared" si="5"/>
        <v>4.4000000000000004</v>
      </c>
      <c r="E38" s="279"/>
      <c r="F38" s="279">
        <f t="shared" si="6"/>
        <v>4.4000000000000004</v>
      </c>
      <c r="G38" s="279"/>
      <c r="H38" s="279">
        <f t="shared" si="7"/>
        <v>4.4000000000000004</v>
      </c>
      <c r="I38" s="279"/>
      <c r="J38" s="279">
        <f t="shared" si="8"/>
        <v>4.4000000000000004</v>
      </c>
      <c r="K38" s="279"/>
      <c r="L38" s="279">
        <f t="shared" si="9"/>
        <v>4.4000000000000004</v>
      </c>
      <c r="M38" s="279"/>
      <c r="N38" s="279">
        <f t="shared" si="10"/>
        <v>4.4000000000000004</v>
      </c>
      <c r="O38" s="279"/>
      <c r="P38" s="236" t="str">
        <f t="shared" si="11"/>
        <v>3#5</v>
      </c>
      <c r="Q38" s="236"/>
      <c r="R38" s="236">
        <f t="shared" si="12"/>
        <v>5.97</v>
      </c>
      <c r="S38" s="236"/>
      <c r="T38" s="236" t="str">
        <f t="shared" si="13"/>
        <v>OK</v>
      </c>
      <c r="U38" s="236"/>
      <c r="W38" s="79">
        <f t="shared" si="18"/>
        <v>3</v>
      </c>
      <c r="X38" s="13">
        <f t="shared" si="14"/>
        <v>5</v>
      </c>
      <c r="Y38" s="78"/>
      <c r="Z38" s="79"/>
      <c r="AA38" s="13">
        <f t="shared" si="15"/>
        <v>4</v>
      </c>
      <c r="AB38" s="1">
        <f t="shared" si="16"/>
        <v>5.97</v>
      </c>
      <c r="AF38" s="1" t="s">
        <v>774</v>
      </c>
      <c r="AG38" s="1" t="s">
        <v>813</v>
      </c>
      <c r="AJ38" s="1" t="s">
        <v>824</v>
      </c>
      <c r="AK38" s="1" t="s">
        <v>815</v>
      </c>
      <c r="AL38" s="1">
        <v>118</v>
      </c>
      <c r="AM38" s="1" t="s">
        <v>813</v>
      </c>
      <c r="AN38" s="1" t="s">
        <v>785</v>
      </c>
      <c r="AO38" s="1" t="s">
        <v>778</v>
      </c>
      <c r="AP38" s="1">
        <v>-56.357900000000001</v>
      </c>
      <c r="AQ38" s="1">
        <v>440</v>
      </c>
      <c r="AR38" s="1" t="s">
        <v>780</v>
      </c>
      <c r="AS38" s="1">
        <v>41.667700000000004</v>
      </c>
      <c r="AT38" s="1">
        <v>440</v>
      </c>
      <c r="AV38" s="1" t="str">
        <f t="shared" si="0"/>
        <v>B31End-J</v>
      </c>
      <c r="AW38" s="1">
        <f t="shared" si="1"/>
        <v>4.4000000000000004</v>
      </c>
      <c r="AX38" s="1">
        <f t="shared" si="2"/>
        <v>4.4000000000000004</v>
      </c>
    </row>
    <row r="39" spans="1:50" ht="13.9" x14ac:dyDescent="0.25">
      <c r="A39" s="39" t="str">
        <f t="shared" si="3"/>
        <v>B48</v>
      </c>
      <c r="B39" s="236" t="str">
        <f t="shared" si="4"/>
        <v>V30X50</v>
      </c>
      <c r="C39" s="236"/>
      <c r="D39" s="279">
        <f t="shared" si="5"/>
        <v>4.4000000000000004</v>
      </c>
      <c r="E39" s="279"/>
      <c r="F39" s="279">
        <f t="shared" si="6"/>
        <v>4.4000000000000004</v>
      </c>
      <c r="G39" s="279"/>
      <c r="H39" s="279">
        <f t="shared" si="7"/>
        <v>4.4000000000000004</v>
      </c>
      <c r="I39" s="279"/>
      <c r="J39" s="279">
        <f t="shared" si="8"/>
        <v>4.4000000000000004</v>
      </c>
      <c r="K39" s="279"/>
      <c r="L39" s="279">
        <f t="shared" si="9"/>
        <v>4.4000000000000004</v>
      </c>
      <c r="M39" s="279"/>
      <c r="N39" s="279">
        <f t="shared" si="10"/>
        <v>4.4000000000000004</v>
      </c>
      <c r="O39" s="279"/>
      <c r="P39" s="236" t="str">
        <f t="shared" si="11"/>
        <v>3#5</v>
      </c>
      <c r="Q39" s="236"/>
      <c r="R39" s="236">
        <f t="shared" si="12"/>
        <v>5.97</v>
      </c>
      <c r="S39" s="236"/>
      <c r="T39" s="236" t="str">
        <f t="shared" si="13"/>
        <v>OK</v>
      </c>
      <c r="U39" s="236"/>
      <c r="W39" s="79">
        <f t="shared" si="18"/>
        <v>3</v>
      </c>
      <c r="X39" s="13">
        <f t="shared" si="14"/>
        <v>5</v>
      </c>
      <c r="Y39" s="78"/>
      <c r="Z39" s="79"/>
      <c r="AA39" s="13">
        <f t="shared" si="15"/>
        <v>4</v>
      </c>
      <c r="AB39" s="1">
        <f t="shared" si="16"/>
        <v>5.97</v>
      </c>
      <c r="AF39" s="1" t="s">
        <v>775</v>
      </c>
      <c r="AG39" s="1" t="s">
        <v>814</v>
      </c>
      <c r="AJ39" s="1" t="s">
        <v>824</v>
      </c>
      <c r="AK39" s="1" t="s">
        <v>817</v>
      </c>
      <c r="AL39" s="1">
        <v>91</v>
      </c>
      <c r="AM39" s="1" t="s">
        <v>813</v>
      </c>
      <c r="AN39" s="1" t="s">
        <v>783</v>
      </c>
      <c r="AO39" s="1" t="s">
        <v>778</v>
      </c>
      <c r="AP39" s="1">
        <v>-64.352900000000005</v>
      </c>
      <c r="AQ39" s="1">
        <v>440</v>
      </c>
      <c r="AR39" s="1" t="s">
        <v>780</v>
      </c>
      <c r="AS39" s="1">
        <v>39.740299999999998</v>
      </c>
      <c r="AT39" s="1">
        <v>440</v>
      </c>
      <c r="AV39" s="1" t="str">
        <f t="shared" si="0"/>
        <v>B37End-I</v>
      </c>
      <c r="AW39" s="1">
        <f t="shared" si="1"/>
        <v>4.4000000000000004</v>
      </c>
      <c r="AX39" s="1">
        <f t="shared" si="2"/>
        <v>4.4000000000000004</v>
      </c>
    </row>
    <row r="40" spans="1:50" ht="13.9" x14ac:dyDescent="0.25">
      <c r="A40" s="39" t="str">
        <f t="shared" si="3"/>
        <v>B49</v>
      </c>
      <c r="B40" s="236" t="str">
        <f t="shared" si="4"/>
        <v>V30X50</v>
      </c>
      <c r="C40" s="236"/>
      <c r="D40" s="279">
        <f t="shared" si="5"/>
        <v>4.4000000000000004</v>
      </c>
      <c r="E40" s="279"/>
      <c r="F40" s="279">
        <f t="shared" si="6"/>
        <v>4.4000000000000004</v>
      </c>
      <c r="G40" s="279"/>
      <c r="H40" s="279">
        <f t="shared" si="7"/>
        <v>4.4000000000000004</v>
      </c>
      <c r="I40" s="279"/>
      <c r="J40" s="279">
        <f t="shared" si="8"/>
        <v>4.4000000000000004</v>
      </c>
      <c r="K40" s="279"/>
      <c r="L40" s="279">
        <f t="shared" si="9"/>
        <v>4.4000000000000004</v>
      </c>
      <c r="M40" s="279"/>
      <c r="N40" s="279">
        <f t="shared" si="10"/>
        <v>4.4000000000000004</v>
      </c>
      <c r="O40" s="279"/>
      <c r="P40" s="236" t="str">
        <f t="shared" si="11"/>
        <v>3#5</v>
      </c>
      <c r="Q40" s="236"/>
      <c r="R40" s="236">
        <f t="shared" si="12"/>
        <v>5.97</v>
      </c>
      <c r="S40" s="236"/>
      <c r="T40" s="236" t="str">
        <f t="shared" si="13"/>
        <v>OK</v>
      </c>
      <c r="U40" s="236"/>
      <c r="W40" s="79">
        <f t="shared" si="18"/>
        <v>3</v>
      </c>
      <c r="X40" s="13">
        <f t="shared" si="14"/>
        <v>5</v>
      </c>
      <c r="Y40" s="78"/>
      <c r="Z40" s="79"/>
      <c r="AA40" s="13">
        <f t="shared" si="15"/>
        <v>4</v>
      </c>
      <c r="AB40" s="1">
        <f t="shared" si="16"/>
        <v>5.97</v>
      </c>
      <c r="AF40" s="1" t="s">
        <v>815</v>
      </c>
      <c r="AG40" s="1" t="s">
        <v>813</v>
      </c>
      <c r="AJ40" s="1" t="s">
        <v>824</v>
      </c>
      <c r="AK40" s="1" t="s">
        <v>817</v>
      </c>
      <c r="AL40" s="1">
        <v>91</v>
      </c>
      <c r="AM40" s="1" t="s">
        <v>813</v>
      </c>
      <c r="AN40" s="1" t="s">
        <v>784</v>
      </c>
      <c r="AO40" s="1" t="s">
        <v>780</v>
      </c>
      <c r="AP40" s="1">
        <v>-22.7134</v>
      </c>
      <c r="AQ40" s="1">
        <v>440</v>
      </c>
      <c r="AR40" s="1" t="s">
        <v>778</v>
      </c>
      <c r="AS40" s="1">
        <v>28.711200000000002</v>
      </c>
      <c r="AT40" s="1">
        <v>440</v>
      </c>
      <c r="AV40" s="1" t="str">
        <f t="shared" si="0"/>
        <v>B37Middle</v>
      </c>
      <c r="AW40" s="1">
        <f t="shared" si="1"/>
        <v>4.4000000000000004</v>
      </c>
      <c r="AX40" s="1">
        <f t="shared" si="2"/>
        <v>4.4000000000000004</v>
      </c>
    </row>
    <row r="41" spans="1:50" ht="13.9" x14ac:dyDescent="0.25">
      <c r="A41" s="39" t="str">
        <f t="shared" si="3"/>
        <v>B50</v>
      </c>
      <c r="B41" s="236" t="str">
        <f t="shared" si="4"/>
        <v>V30X50</v>
      </c>
      <c r="C41" s="236"/>
      <c r="D41" s="279">
        <f t="shared" si="5"/>
        <v>4.97</v>
      </c>
      <c r="E41" s="279"/>
      <c r="F41" s="279">
        <f t="shared" si="6"/>
        <v>4.4000000000000004</v>
      </c>
      <c r="G41" s="279"/>
      <c r="H41" s="279">
        <f t="shared" si="7"/>
        <v>4.4000000000000004</v>
      </c>
      <c r="I41" s="279"/>
      <c r="J41" s="279">
        <f t="shared" si="8"/>
        <v>4.4000000000000004</v>
      </c>
      <c r="K41" s="279"/>
      <c r="L41" s="279">
        <f t="shared" si="9"/>
        <v>4.83</v>
      </c>
      <c r="M41" s="279"/>
      <c r="N41" s="279">
        <f t="shared" si="10"/>
        <v>4.4000000000000004</v>
      </c>
      <c r="O41" s="279"/>
      <c r="P41" s="236" t="str">
        <f t="shared" si="11"/>
        <v>3#5</v>
      </c>
      <c r="Q41" s="236"/>
      <c r="R41" s="236">
        <f t="shared" si="12"/>
        <v>5.97</v>
      </c>
      <c r="S41" s="236"/>
      <c r="T41" s="236" t="str">
        <f t="shared" si="13"/>
        <v>OK</v>
      </c>
      <c r="U41" s="236"/>
      <c r="W41" s="79">
        <f t="shared" si="18"/>
        <v>3</v>
      </c>
      <c r="X41" s="13">
        <f t="shared" si="14"/>
        <v>5</v>
      </c>
      <c r="Y41" s="78"/>
      <c r="Z41" s="79"/>
      <c r="AA41" s="13">
        <f t="shared" si="15"/>
        <v>4</v>
      </c>
      <c r="AB41" s="1">
        <f t="shared" si="16"/>
        <v>5.97</v>
      </c>
      <c r="AF41" s="1" t="s">
        <v>817</v>
      </c>
      <c r="AG41" s="1" t="s">
        <v>813</v>
      </c>
      <c r="AJ41" s="1" t="s">
        <v>824</v>
      </c>
      <c r="AK41" s="1" t="s">
        <v>817</v>
      </c>
      <c r="AL41" s="1">
        <v>91</v>
      </c>
      <c r="AM41" s="1" t="s">
        <v>813</v>
      </c>
      <c r="AN41" s="1" t="s">
        <v>785</v>
      </c>
      <c r="AO41" s="1" t="s">
        <v>778</v>
      </c>
      <c r="AP41" s="1">
        <v>-60.485599999999998</v>
      </c>
      <c r="AQ41" s="1">
        <v>440</v>
      </c>
      <c r="AR41" s="1" t="s">
        <v>780</v>
      </c>
      <c r="AS41" s="1">
        <v>40.2517</v>
      </c>
      <c r="AT41" s="1">
        <v>440</v>
      </c>
      <c r="AV41" s="1" t="str">
        <f t="shared" si="0"/>
        <v>B37End-J</v>
      </c>
      <c r="AW41" s="1">
        <f t="shared" si="1"/>
        <v>4.4000000000000004</v>
      </c>
      <c r="AX41" s="1">
        <f t="shared" si="2"/>
        <v>4.4000000000000004</v>
      </c>
    </row>
    <row r="42" spans="1:50" ht="13.9" x14ac:dyDescent="0.25">
      <c r="A42" s="39" t="str">
        <f t="shared" si="3"/>
        <v>B53</v>
      </c>
      <c r="B42" s="236" t="str">
        <f t="shared" si="4"/>
        <v>V35X50</v>
      </c>
      <c r="C42" s="236"/>
      <c r="D42" s="279">
        <f t="shared" si="5"/>
        <v>5.13</v>
      </c>
      <c r="E42" s="279"/>
      <c r="F42" s="279">
        <f t="shared" si="6"/>
        <v>5.13</v>
      </c>
      <c r="G42" s="279"/>
      <c r="H42" s="279">
        <f t="shared" si="7"/>
        <v>5.13</v>
      </c>
      <c r="I42" s="279"/>
      <c r="J42" s="279">
        <f t="shared" si="8"/>
        <v>5.13</v>
      </c>
      <c r="K42" s="279"/>
      <c r="L42" s="279">
        <f t="shared" si="9"/>
        <v>5.13</v>
      </c>
      <c r="M42" s="279"/>
      <c r="N42" s="279">
        <f t="shared" si="10"/>
        <v>5.13</v>
      </c>
      <c r="O42" s="279"/>
      <c r="P42" s="236" t="str">
        <f t="shared" si="11"/>
        <v>3#5</v>
      </c>
      <c r="Q42" s="236"/>
      <c r="R42" s="236">
        <f t="shared" si="12"/>
        <v>5.97</v>
      </c>
      <c r="S42" s="236"/>
      <c r="T42" s="236" t="str">
        <f t="shared" si="13"/>
        <v>OK</v>
      </c>
      <c r="U42" s="236"/>
      <c r="W42" s="79">
        <f t="shared" si="18"/>
        <v>3</v>
      </c>
      <c r="X42" s="13">
        <f t="shared" si="14"/>
        <v>5</v>
      </c>
      <c r="Y42" s="78"/>
      <c r="Z42" s="79"/>
      <c r="AA42" s="13">
        <f t="shared" si="15"/>
        <v>4</v>
      </c>
      <c r="AB42" s="1">
        <f t="shared" si="16"/>
        <v>5.97</v>
      </c>
      <c r="AF42" s="1" t="s">
        <v>809</v>
      </c>
      <c r="AG42" s="1" t="s">
        <v>814</v>
      </c>
      <c r="AJ42" s="1" t="s">
        <v>824</v>
      </c>
      <c r="AK42" s="1" t="s">
        <v>809</v>
      </c>
      <c r="AL42" s="1">
        <v>106</v>
      </c>
      <c r="AM42" s="1" t="s">
        <v>814</v>
      </c>
      <c r="AN42" s="1" t="s">
        <v>783</v>
      </c>
      <c r="AO42" s="1" t="s">
        <v>776</v>
      </c>
      <c r="AP42" s="1">
        <v>-104.0551</v>
      </c>
      <c r="AQ42" s="1">
        <v>660</v>
      </c>
      <c r="AR42" s="1" t="s">
        <v>776</v>
      </c>
      <c r="AS42" s="1">
        <v>55.1248</v>
      </c>
      <c r="AT42" s="1">
        <v>513</v>
      </c>
      <c r="AV42" s="1" t="str">
        <f t="shared" si="0"/>
        <v>B39End-I</v>
      </c>
      <c r="AW42" s="1">
        <f t="shared" si="1"/>
        <v>6.6</v>
      </c>
      <c r="AX42" s="1">
        <f t="shared" si="2"/>
        <v>5.13</v>
      </c>
    </row>
    <row r="43" spans="1:50" ht="13.9" x14ac:dyDescent="0.25">
      <c r="A43" s="39" t="str">
        <f t="shared" si="3"/>
        <v>B109</v>
      </c>
      <c r="B43" s="236" t="str">
        <f t="shared" si="4"/>
        <v>V35X50</v>
      </c>
      <c r="C43" s="236"/>
      <c r="D43" s="279">
        <f t="shared" si="5"/>
        <v>0.1</v>
      </c>
      <c r="E43" s="279"/>
      <c r="F43" s="279">
        <f t="shared" si="6"/>
        <v>0.09</v>
      </c>
      <c r="G43" s="279"/>
      <c r="H43" s="279">
        <f t="shared" si="7"/>
        <v>0</v>
      </c>
      <c r="I43" s="279"/>
      <c r="J43" s="279">
        <f t="shared" si="8"/>
        <v>0</v>
      </c>
      <c r="K43" s="279"/>
      <c r="L43" s="279">
        <f t="shared" si="9"/>
        <v>0.1</v>
      </c>
      <c r="M43" s="279"/>
      <c r="N43" s="279">
        <f t="shared" si="10"/>
        <v>0.09</v>
      </c>
      <c r="O43" s="279"/>
      <c r="P43" s="236" t="str">
        <f t="shared" si="11"/>
        <v>3#5</v>
      </c>
      <c r="Q43" s="236"/>
      <c r="R43" s="236">
        <f t="shared" si="12"/>
        <v>5.97</v>
      </c>
      <c r="S43" s="236"/>
      <c r="T43" s="236" t="str">
        <f t="shared" si="13"/>
        <v>OK</v>
      </c>
      <c r="U43" s="236"/>
      <c r="W43" s="79">
        <f t="shared" si="18"/>
        <v>3</v>
      </c>
      <c r="X43" s="13">
        <f t="shared" si="14"/>
        <v>5</v>
      </c>
      <c r="Y43" s="78"/>
      <c r="Z43" s="79"/>
      <c r="AA43" s="13">
        <f t="shared" si="15"/>
        <v>4</v>
      </c>
      <c r="AB43" s="1">
        <f t="shared" si="16"/>
        <v>5.97</v>
      </c>
      <c r="AF43" s="1" t="s">
        <v>810</v>
      </c>
      <c r="AG43" s="1" t="s">
        <v>813</v>
      </c>
      <c r="AJ43" s="1" t="s">
        <v>824</v>
      </c>
      <c r="AK43" s="1" t="s">
        <v>809</v>
      </c>
      <c r="AL43" s="1">
        <v>106</v>
      </c>
      <c r="AM43" s="1" t="s">
        <v>814</v>
      </c>
      <c r="AN43" s="1" t="s">
        <v>784</v>
      </c>
      <c r="AO43" s="1" t="s">
        <v>776</v>
      </c>
      <c r="AP43" s="1">
        <v>-26.0138</v>
      </c>
      <c r="AQ43" s="1">
        <v>513</v>
      </c>
      <c r="AR43" s="1" t="s">
        <v>781</v>
      </c>
      <c r="AS43" s="1">
        <v>68.047200000000004</v>
      </c>
      <c r="AT43" s="1">
        <v>513</v>
      </c>
      <c r="AV43" s="1" t="str">
        <f t="shared" si="0"/>
        <v>B39Middle</v>
      </c>
      <c r="AW43" s="1">
        <f t="shared" si="1"/>
        <v>5.13</v>
      </c>
      <c r="AX43" s="1">
        <f t="shared" si="2"/>
        <v>5.13</v>
      </c>
    </row>
    <row r="44" spans="1:50" ht="13.9" x14ac:dyDescent="0.25">
      <c r="A44" s="39" t="str">
        <f t="shared" si="3"/>
        <v>B111</v>
      </c>
      <c r="B44" s="236" t="str">
        <f t="shared" si="4"/>
        <v>V35X50</v>
      </c>
      <c r="C44" s="236"/>
      <c r="D44" s="279">
        <f t="shared" si="5"/>
        <v>0.04</v>
      </c>
      <c r="E44" s="279"/>
      <c r="F44" s="279">
        <f t="shared" si="6"/>
        <v>0.04</v>
      </c>
      <c r="G44" s="279"/>
      <c r="H44" s="279">
        <f t="shared" si="7"/>
        <v>0</v>
      </c>
      <c r="I44" s="279"/>
      <c r="J44" s="279">
        <f t="shared" si="8"/>
        <v>0</v>
      </c>
      <c r="K44" s="279"/>
      <c r="L44" s="279">
        <f t="shared" si="9"/>
        <v>0.04</v>
      </c>
      <c r="M44" s="279"/>
      <c r="N44" s="279">
        <f t="shared" si="10"/>
        <v>0.04</v>
      </c>
      <c r="O44" s="279"/>
      <c r="P44" s="236" t="str">
        <f t="shared" si="11"/>
        <v>3#5</v>
      </c>
      <c r="Q44" s="236"/>
      <c r="R44" s="236">
        <f t="shared" si="12"/>
        <v>5.97</v>
      </c>
      <c r="S44" s="236"/>
      <c r="T44" s="236" t="str">
        <f t="shared" si="13"/>
        <v>OK</v>
      </c>
      <c r="U44" s="236"/>
      <c r="W44" s="79">
        <f t="shared" si="18"/>
        <v>3</v>
      </c>
      <c r="X44" s="13">
        <f t="shared" si="14"/>
        <v>5</v>
      </c>
      <c r="Y44" s="78"/>
      <c r="Z44" s="79"/>
      <c r="AA44" s="13">
        <f t="shared" si="15"/>
        <v>4</v>
      </c>
      <c r="AB44" s="1">
        <f t="shared" si="16"/>
        <v>5.97</v>
      </c>
      <c r="AF44" s="1" t="s">
        <v>818</v>
      </c>
      <c r="AG44" s="1" t="s">
        <v>813</v>
      </c>
      <c r="AJ44" s="1" t="s">
        <v>824</v>
      </c>
      <c r="AK44" s="1" t="s">
        <v>809</v>
      </c>
      <c r="AL44" s="1">
        <v>106</v>
      </c>
      <c r="AM44" s="1" t="s">
        <v>814</v>
      </c>
      <c r="AN44" s="1" t="s">
        <v>785</v>
      </c>
      <c r="AO44" s="1" t="s">
        <v>776</v>
      </c>
      <c r="AP44" s="1">
        <v>-94.501199999999997</v>
      </c>
      <c r="AQ44" s="1">
        <v>597</v>
      </c>
      <c r="AR44" s="1" t="s">
        <v>776</v>
      </c>
      <c r="AS44" s="1">
        <v>47.250599999999999</v>
      </c>
      <c r="AT44" s="1">
        <v>513</v>
      </c>
      <c r="AV44" s="1" t="str">
        <f t="shared" si="0"/>
        <v>B39End-J</v>
      </c>
      <c r="AW44" s="1">
        <f t="shared" si="1"/>
        <v>5.97</v>
      </c>
      <c r="AX44" s="1">
        <f t="shared" si="2"/>
        <v>5.13</v>
      </c>
    </row>
    <row r="45" spans="1:50" ht="13.9" x14ac:dyDescent="0.25">
      <c r="A45" s="39" t="str">
        <f t="shared" si="3"/>
        <v>B114</v>
      </c>
      <c r="B45" s="236" t="str">
        <f t="shared" si="4"/>
        <v>V35X50</v>
      </c>
      <c r="C45" s="236"/>
      <c r="D45" s="279">
        <f t="shared" si="5"/>
        <v>0.03</v>
      </c>
      <c r="E45" s="279"/>
      <c r="F45" s="279">
        <f t="shared" si="6"/>
        <v>0.03</v>
      </c>
      <c r="G45" s="279"/>
      <c r="H45" s="279">
        <f t="shared" si="7"/>
        <v>0</v>
      </c>
      <c r="I45" s="279"/>
      <c r="J45" s="279">
        <f t="shared" si="8"/>
        <v>0</v>
      </c>
      <c r="K45" s="279"/>
      <c r="L45" s="279">
        <f t="shared" si="9"/>
        <v>0.03</v>
      </c>
      <c r="M45" s="279"/>
      <c r="N45" s="279">
        <f t="shared" si="10"/>
        <v>0.03</v>
      </c>
      <c r="O45" s="279"/>
      <c r="P45" s="236" t="str">
        <f t="shared" si="11"/>
        <v>3#5</v>
      </c>
      <c r="Q45" s="236"/>
      <c r="R45" s="236">
        <f t="shared" si="12"/>
        <v>5.97</v>
      </c>
      <c r="S45" s="236"/>
      <c r="T45" s="236" t="str">
        <f t="shared" si="13"/>
        <v>OK</v>
      </c>
      <c r="U45" s="236"/>
      <c r="W45" s="79">
        <f t="shared" si="18"/>
        <v>3</v>
      </c>
      <c r="X45" s="13">
        <f t="shared" si="14"/>
        <v>5</v>
      </c>
      <c r="Y45" s="78"/>
      <c r="Z45" s="79"/>
      <c r="AA45" s="13">
        <f t="shared" si="15"/>
        <v>4</v>
      </c>
      <c r="AB45" s="1">
        <f t="shared" si="16"/>
        <v>5.97</v>
      </c>
      <c r="AF45" s="1" t="s">
        <v>819</v>
      </c>
      <c r="AG45" s="1" t="s">
        <v>813</v>
      </c>
      <c r="AJ45" s="1" t="s">
        <v>824</v>
      </c>
      <c r="AK45" s="1" t="s">
        <v>810</v>
      </c>
      <c r="AL45" s="1">
        <v>223</v>
      </c>
      <c r="AM45" s="1" t="s">
        <v>813</v>
      </c>
      <c r="AN45" s="1" t="s">
        <v>783</v>
      </c>
      <c r="AO45" s="1" t="s">
        <v>778</v>
      </c>
      <c r="AP45" s="1">
        <v>-17.1493</v>
      </c>
      <c r="AQ45" s="1">
        <v>440</v>
      </c>
      <c r="AR45" s="1" t="s">
        <v>778</v>
      </c>
      <c r="AS45" s="1">
        <v>8.5747</v>
      </c>
      <c r="AT45" s="1">
        <v>440</v>
      </c>
      <c r="AV45" s="1" t="str">
        <f t="shared" si="0"/>
        <v>B41End-I</v>
      </c>
      <c r="AW45" s="1">
        <f t="shared" si="1"/>
        <v>4.4000000000000004</v>
      </c>
      <c r="AX45" s="1">
        <f t="shared" si="2"/>
        <v>4.4000000000000004</v>
      </c>
    </row>
    <row r="46" spans="1:50" ht="13.9" x14ac:dyDescent="0.25">
      <c r="A46" s="39" t="str">
        <f t="shared" si="3"/>
        <v>B118</v>
      </c>
      <c r="B46" s="236" t="str">
        <f t="shared" si="4"/>
        <v>V35X50</v>
      </c>
      <c r="C46" s="236"/>
      <c r="D46" s="279">
        <f t="shared" si="5"/>
        <v>0.04</v>
      </c>
      <c r="E46" s="279"/>
      <c r="F46" s="279">
        <f t="shared" si="6"/>
        <v>0.03</v>
      </c>
      <c r="G46" s="279"/>
      <c r="H46" s="279">
        <f t="shared" si="7"/>
        <v>0</v>
      </c>
      <c r="I46" s="279"/>
      <c r="J46" s="279">
        <f t="shared" si="8"/>
        <v>0</v>
      </c>
      <c r="K46" s="279"/>
      <c r="L46" s="279">
        <f t="shared" si="9"/>
        <v>0.03</v>
      </c>
      <c r="M46" s="279"/>
      <c r="N46" s="279">
        <f t="shared" si="10"/>
        <v>0.03</v>
      </c>
      <c r="O46" s="279"/>
      <c r="P46" s="236" t="str">
        <f t="shared" si="11"/>
        <v>3#5</v>
      </c>
      <c r="Q46" s="236"/>
      <c r="R46" s="236">
        <f t="shared" si="12"/>
        <v>5.97</v>
      </c>
      <c r="S46" s="236"/>
      <c r="T46" s="236" t="str">
        <f t="shared" si="13"/>
        <v>OK</v>
      </c>
      <c r="U46" s="236"/>
      <c r="W46" s="79">
        <f t="shared" si="18"/>
        <v>3</v>
      </c>
      <c r="X46" s="13">
        <f t="shared" si="14"/>
        <v>5</v>
      </c>
      <c r="Y46" s="78"/>
      <c r="Z46" s="79"/>
      <c r="AA46" s="13">
        <f t="shared" si="15"/>
        <v>4</v>
      </c>
      <c r="AB46" s="1">
        <f t="shared" si="16"/>
        <v>5.97</v>
      </c>
      <c r="AF46" s="1" t="s">
        <v>820</v>
      </c>
      <c r="AG46" s="1" t="s">
        <v>813</v>
      </c>
      <c r="AJ46" s="1" t="s">
        <v>824</v>
      </c>
      <c r="AK46" s="1" t="s">
        <v>810</v>
      </c>
      <c r="AL46" s="1">
        <v>223</v>
      </c>
      <c r="AM46" s="1" t="s">
        <v>813</v>
      </c>
      <c r="AN46" s="1" t="s">
        <v>784</v>
      </c>
      <c r="AO46" s="1" t="s">
        <v>778</v>
      </c>
      <c r="AP46" s="1">
        <v>-9.6074000000000002</v>
      </c>
      <c r="AQ46" s="1">
        <v>440</v>
      </c>
      <c r="AR46" s="1" t="s">
        <v>778</v>
      </c>
      <c r="AS46" s="1">
        <v>6.8963000000000001</v>
      </c>
      <c r="AT46" s="1">
        <v>440</v>
      </c>
      <c r="AV46" s="1" t="str">
        <f t="shared" si="0"/>
        <v>B41Middle</v>
      </c>
      <c r="AW46" s="1">
        <f t="shared" si="1"/>
        <v>4.4000000000000004</v>
      </c>
      <c r="AX46" s="1">
        <f t="shared" si="2"/>
        <v>4.4000000000000004</v>
      </c>
    </row>
    <row r="47" spans="1:50" ht="13.9" x14ac:dyDescent="0.25">
      <c r="A47" s="39" t="str">
        <f t="shared" si="3"/>
        <v>B2</v>
      </c>
      <c r="B47" s="236" t="str">
        <f t="shared" si="4"/>
        <v>V30X50</v>
      </c>
      <c r="C47" s="236"/>
      <c r="D47" s="279">
        <f t="shared" si="5"/>
        <v>4.4000000000000004</v>
      </c>
      <c r="E47" s="279"/>
      <c r="F47" s="279">
        <f t="shared" si="6"/>
        <v>4.4000000000000004</v>
      </c>
      <c r="G47" s="279"/>
      <c r="H47" s="279">
        <f t="shared" si="7"/>
        <v>4.4000000000000004</v>
      </c>
      <c r="I47" s="279"/>
      <c r="J47" s="279">
        <f t="shared" si="8"/>
        <v>4.4000000000000004</v>
      </c>
      <c r="K47" s="279"/>
      <c r="L47" s="279">
        <f t="shared" si="9"/>
        <v>4.4000000000000004</v>
      </c>
      <c r="M47" s="279"/>
      <c r="N47" s="279">
        <f t="shared" si="10"/>
        <v>4.4000000000000004</v>
      </c>
      <c r="O47" s="279"/>
      <c r="P47" s="236" t="str">
        <f t="shared" si="11"/>
        <v>3#5</v>
      </c>
      <c r="Q47" s="236"/>
      <c r="R47" s="236">
        <f t="shared" si="12"/>
        <v>5.97</v>
      </c>
      <c r="S47" s="236"/>
      <c r="T47" s="236" t="str">
        <f t="shared" si="13"/>
        <v>OK</v>
      </c>
      <c r="U47" s="236"/>
      <c r="W47" s="79">
        <f t="shared" si="18"/>
        <v>3</v>
      </c>
      <c r="X47" s="13">
        <f t="shared" si="14"/>
        <v>5</v>
      </c>
      <c r="Y47" s="78"/>
      <c r="Z47" s="79"/>
      <c r="AA47" s="13">
        <f t="shared" si="15"/>
        <v>4</v>
      </c>
      <c r="AB47" s="1">
        <f t="shared" si="16"/>
        <v>5.97</v>
      </c>
      <c r="AF47" s="1" t="s">
        <v>821</v>
      </c>
      <c r="AG47" s="1" t="s">
        <v>813</v>
      </c>
      <c r="AJ47" s="1" t="s">
        <v>824</v>
      </c>
      <c r="AK47" s="1" t="s">
        <v>810</v>
      </c>
      <c r="AL47" s="1">
        <v>223</v>
      </c>
      <c r="AM47" s="1" t="s">
        <v>813</v>
      </c>
      <c r="AN47" s="1" t="s">
        <v>785</v>
      </c>
      <c r="AO47" s="1" t="s">
        <v>780</v>
      </c>
      <c r="AP47" s="1">
        <v>-0.1082</v>
      </c>
      <c r="AQ47" s="1">
        <v>440</v>
      </c>
      <c r="AR47" s="1" t="s">
        <v>778</v>
      </c>
      <c r="AS47" s="1">
        <v>11.383100000000001</v>
      </c>
      <c r="AT47" s="1">
        <v>440</v>
      </c>
      <c r="AV47" s="1" t="str">
        <f t="shared" si="0"/>
        <v>B41End-J</v>
      </c>
      <c r="AW47" s="1">
        <f t="shared" si="1"/>
        <v>4.4000000000000004</v>
      </c>
      <c r="AX47" s="1">
        <f t="shared" si="2"/>
        <v>4.4000000000000004</v>
      </c>
    </row>
    <row r="48" spans="1:50" ht="13.9" x14ac:dyDescent="0.25">
      <c r="A48" s="39" t="str">
        <f t="shared" si="3"/>
        <v>B8</v>
      </c>
      <c r="B48" s="236" t="str">
        <f t="shared" si="4"/>
        <v>V30X50</v>
      </c>
      <c r="C48" s="236"/>
      <c r="D48" s="279">
        <f t="shared" si="5"/>
        <v>4.4000000000000004</v>
      </c>
      <c r="E48" s="279"/>
      <c r="F48" s="279">
        <f t="shared" si="6"/>
        <v>4.4000000000000004</v>
      </c>
      <c r="G48" s="279"/>
      <c r="H48" s="279">
        <f t="shared" si="7"/>
        <v>4.4000000000000004</v>
      </c>
      <c r="I48" s="279"/>
      <c r="J48" s="279">
        <f t="shared" si="8"/>
        <v>4.4000000000000004</v>
      </c>
      <c r="K48" s="279"/>
      <c r="L48" s="279">
        <f t="shared" si="9"/>
        <v>4.4000000000000004</v>
      </c>
      <c r="M48" s="279"/>
      <c r="N48" s="279">
        <f t="shared" si="10"/>
        <v>4.4000000000000004</v>
      </c>
      <c r="O48" s="279"/>
      <c r="P48" s="236" t="str">
        <f t="shared" si="11"/>
        <v>3#5</v>
      </c>
      <c r="Q48" s="236"/>
      <c r="R48" s="236">
        <f t="shared" si="12"/>
        <v>5.97</v>
      </c>
      <c r="S48" s="236"/>
      <c r="T48" s="236" t="str">
        <f t="shared" si="13"/>
        <v>OK</v>
      </c>
      <c r="U48" s="236"/>
      <c r="W48" s="79">
        <f t="shared" si="18"/>
        <v>3</v>
      </c>
      <c r="X48" s="13">
        <f t="shared" si="14"/>
        <v>5</v>
      </c>
      <c r="Y48" s="78"/>
      <c r="Z48" s="79"/>
      <c r="AA48" s="13">
        <f t="shared" si="15"/>
        <v>4</v>
      </c>
      <c r="AB48" s="1">
        <f t="shared" si="16"/>
        <v>5.97</v>
      </c>
      <c r="AF48" s="1" t="s">
        <v>822</v>
      </c>
      <c r="AG48" s="1" t="s">
        <v>813</v>
      </c>
      <c r="AJ48" s="1" t="s">
        <v>824</v>
      </c>
      <c r="AK48" s="1" t="s">
        <v>818</v>
      </c>
      <c r="AL48" s="1">
        <v>61</v>
      </c>
      <c r="AM48" s="1" t="s">
        <v>813</v>
      </c>
      <c r="AN48" s="1" t="s">
        <v>783</v>
      </c>
      <c r="AO48" s="1" t="s">
        <v>778</v>
      </c>
      <c r="AP48" s="1">
        <v>-69.196700000000007</v>
      </c>
      <c r="AQ48" s="1">
        <v>463</v>
      </c>
      <c r="AR48" s="1" t="s">
        <v>780</v>
      </c>
      <c r="AS48" s="1">
        <v>61.510100000000001</v>
      </c>
      <c r="AT48" s="1">
        <v>440</v>
      </c>
      <c r="AV48" s="1" t="str">
        <f t="shared" si="0"/>
        <v>B46End-I</v>
      </c>
      <c r="AW48" s="1">
        <f t="shared" si="1"/>
        <v>4.63</v>
      </c>
      <c r="AX48" s="1">
        <f t="shared" si="2"/>
        <v>4.4000000000000004</v>
      </c>
    </row>
    <row r="49" spans="1:53" ht="13.9" x14ac:dyDescent="0.25">
      <c r="A49" s="39" t="str">
        <f t="shared" si="3"/>
        <v>B9</v>
      </c>
      <c r="B49" s="236" t="str">
        <f t="shared" si="4"/>
        <v>V35X50</v>
      </c>
      <c r="C49" s="236"/>
      <c r="D49" s="279">
        <f t="shared" si="5"/>
        <v>9.75</v>
      </c>
      <c r="E49" s="279"/>
      <c r="F49" s="279">
        <f t="shared" si="6"/>
        <v>5.13</v>
      </c>
      <c r="G49" s="279"/>
      <c r="H49" s="279">
        <f t="shared" si="7"/>
        <v>5.13</v>
      </c>
      <c r="I49" s="279"/>
      <c r="J49" s="279">
        <f t="shared" si="8"/>
        <v>6.84</v>
      </c>
      <c r="K49" s="279"/>
      <c r="L49" s="279">
        <f t="shared" si="9"/>
        <v>9.91</v>
      </c>
      <c r="M49" s="279"/>
      <c r="N49" s="279">
        <f t="shared" si="10"/>
        <v>5.13</v>
      </c>
      <c r="O49" s="279"/>
      <c r="P49" s="236" t="str">
        <f t="shared" si="11"/>
        <v>3#5</v>
      </c>
      <c r="Q49" s="236"/>
      <c r="R49" s="236">
        <f t="shared" si="12"/>
        <v>5.97</v>
      </c>
      <c r="S49" s="236"/>
      <c r="T49" s="236" t="str">
        <f t="shared" si="13"/>
        <v>*Ver nota*</v>
      </c>
      <c r="U49" s="236"/>
      <c r="W49" s="79">
        <f t="shared" si="18"/>
        <v>3</v>
      </c>
      <c r="X49" s="13">
        <f t="shared" si="14"/>
        <v>5</v>
      </c>
      <c r="Y49" s="78"/>
      <c r="Z49" s="79"/>
      <c r="AA49" s="13">
        <f t="shared" si="15"/>
        <v>4</v>
      </c>
      <c r="AB49" s="1">
        <f t="shared" si="16"/>
        <v>5.97</v>
      </c>
      <c r="AF49" s="1" t="s">
        <v>823</v>
      </c>
      <c r="AG49" s="1" t="s">
        <v>814</v>
      </c>
      <c r="AJ49" s="1" t="s">
        <v>824</v>
      </c>
      <c r="AK49" s="1" t="s">
        <v>818</v>
      </c>
      <c r="AL49" s="1">
        <v>61</v>
      </c>
      <c r="AM49" s="1" t="s">
        <v>813</v>
      </c>
      <c r="AN49" s="1" t="s">
        <v>784</v>
      </c>
      <c r="AO49" s="1" t="s">
        <v>780</v>
      </c>
      <c r="AP49" s="1">
        <v>-32.163800000000002</v>
      </c>
      <c r="AQ49" s="1">
        <v>440</v>
      </c>
      <c r="AR49" s="1" t="s">
        <v>778</v>
      </c>
      <c r="AS49" s="1">
        <v>36.061500000000002</v>
      </c>
      <c r="AT49" s="1">
        <v>440</v>
      </c>
      <c r="AV49" s="1" t="str">
        <f t="shared" si="0"/>
        <v>B46Middle</v>
      </c>
      <c r="AW49" s="1">
        <f t="shared" si="1"/>
        <v>4.4000000000000004</v>
      </c>
      <c r="AX49" s="1">
        <f t="shared" si="2"/>
        <v>4.4000000000000004</v>
      </c>
    </row>
    <row r="50" spans="1:53" ht="13.9" x14ac:dyDescent="0.25">
      <c r="A50" s="39" t="str">
        <f t="shared" si="3"/>
        <v>B10</v>
      </c>
      <c r="B50" s="236" t="str">
        <f t="shared" si="4"/>
        <v>V35X50</v>
      </c>
      <c r="C50" s="236"/>
      <c r="D50" s="279">
        <f t="shared" si="5"/>
        <v>0.05</v>
      </c>
      <c r="E50" s="279"/>
      <c r="F50" s="279">
        <f t="shared" si="6"/>
        <v>0.05</v>
      </c>
      <c r="G50" s="279"/>
      <c r="H50" s="279">
        <f t="shared" si="7"/>
        <v>0</v>
      </c>
      <c r="I50" s="279"/>
      <c r="J50" s="279">
        <f t="shared" si="8"/>
        <v>0</v>
      </c>
      <c r="K50" s="279"/>
      <c r="L50" s="279">
        <f t="shared" si="9"/>
        <v>0.05</v>
      </c>
      <c r="M50" s="279"/>
      <c r="N50" s="279">
        <f t="shared" si="10"/>
        <v>0.05</v>
      </c>
      <c r="O50" s="279"/>
      <c r="P50" s="236" t="str">
        <f t="shared" si="11"/>
        <v>3#5</v>
      </c>
      <c r="Q50" s="236"/>
      <c r="R50" s="236">
        <f t="shared" si="12"/>
        <v>5.97</v>
      </c>
      <c r="S50" s="236"/>
      <c r="T50" s="236" t="str">
        <f t="shared" si="13"/>
        <v>OK</v>
      </c>
      <c r="U50" s="236"/>
      <c r="W50" s="79">
        <f t="shared" si="18"/>
        <v>3</v>
      </c>
      <c r="X50" s="13">
        <f t="shared" si="14"/>
        <v>5</v>
      </c>
      <c r="Y50" s="78"/>
      <c r="Z50" s="79"/>
      <c r="AA50" s="13">
        <f t="shared" si="15"/>
        <v>4</v>
      </c>
      <c r="AB50" s="1">
        <f t="shared" si="16"/>
        <v>5.97</v>
      </c>
      <c r="AF50" s="1" t="s">
        <v>827</v>
      </c>
      <c r="AG50" s="1" t="s">
        <v>814</v>
      </c>
      <c r="AJ50" s="1" t="s">
        <v>824</v>
      </c>
      <c r="AK50" s="1" t="s">
        <v>818</v>
      </c>
      <c r="AL50" s="1">
        <v>61</v>
      </c>
      <c r="AM50" s="1" t="s">
        <v>813</v>
      </c>
      <c r="AN50" s="1" t="s">
        <v>785</v>
      </c>
      <c r="AO50" s="1" t="s">
        <v>780</v>
      </c>
      <c r="AP50" s="1">
        <v>-66.531300000000002</v>
      </c>
      <c r="AQ50" s="1">
        <v>446</v>
      </c>
      <c r="AR50" s="1" t="s">
        <v>778</v>
      </c>
      <c r="AS50" s="1">
        <v>66.959199999999996</v>
      </c>
      <c r="AT50" s="1">
        <v>449</v>
      </c>
      <c r="AV50" s="1" t="str">
        <f t="shared" si="0"/>
        <v>B46End-J</v>
      </c>
      <c r="AW50" s="1">
        <f t="shared" si="1"/>
        <v>4.46</v>
      </c>
      <c r="AX50" s="1">
        <f t="shared" si="2"/>
        <v>4.49</v>
      </c>
    </row>
    <row r="51" spans="1:53" ht="13.9" x14ac:dyDescent="0.25">
      <c r="A51" s="39" t="str">
        <f t="shared" si="3"/>
        <v>B11</v>
      </c>
      <c r="B51" s="236" t="str">
        <f t="shared" si="4"/>
        <v>V30X50</v>
      </c>
      <c r="C51" s="236"/>
      <c r="D51" s="279">
        <f t="shared" si="5"/>
        <v>4.4000000000000004</v>
      </c>
      <c r="E51" s="279"/>
      <c r="F51" s="279">
        <f t="shared" si="6"/>
        <v>4.4000000000000004</v>
      </c>
      <c r="G51" s="279"/>
      <c r="H51" s="279">
        <f t="shared" si="7"/>
        <v>4.4000000000000004</v>
      </c>
      <c r="I51" s="279"/>
      <c r="J51" s="279">
        <f t="shared" si="8"/>
        <v>4.4000000000000004</v>
      </c>
      <c r="K51" s="279"/>
      <c r="L51" s="279">
        <f t="shared" si="9"/>
        <v>4.4000000000000004</v>
      </c>
      <c r="M51" s="279"/>
      <c r="N51" s="279">
        <f t="shared" si="10"/>
        <v>4.4000000000000004</v>
      </c>
      <c r="O51" s="279"/>
      <c r="P51" s="236" t="str">
        <f t="shared" si="11"/>
        <v>3#5</v>
      </c>
      <c r="Q51" s="236"/>
      <c r="R51" s="236">
        <f t="shared" si="12"/>
        <v>5.97</v>
      </c>
      <c r="S51" s="236"/>
      <c r="T51" s="236" t="str">
        <f t="shared" si="13"/>
        <v>OK</v>
      </c>
      <c r="U51" s="236"/>
      <c r="W51" s="79">
        <f t="shared" si="18"/>
        <v>3</v>
      </c>
      <c r="X51" s="13">
        <f t="shared" si="14"/>
        <v>5</v>
      </c>
      <c r="Y51" s="78"/>
      <c r="Z51" s="79"/>
      <c r="AA51" s="13">
        <f t="shared" si="15"/>
        <v>4</v>
      </c>
      <c r="AB51" s="1">
        <f t="shared" si="16"/>
        <v>5.97</v>
      </c>
      <c r="AF51" s="1" t="s">
        <v>828</v>
      </c>
      <c r="AG51" s="1" t="s">
        <v>814</v>
      </c>
      <c r="AJ51" s="1" t="s">
        <v>824</v>
      </c>
      <c r="AK51" s="1" t="s">
        <v>819</v>
      </c>
      <c r="AL51" s="1">
        <v>225</v>
      </c>
      <c r="AM51" s="1" t="s">
        <v>813</v>
      </c>
      <c r="AN51" s="1" t="s">
        <v>783</v>
      </c>
      <c r="AO51" s="1" t="s">
        <v>776</v>
      </c>
      <c r="AP51" s="1">
        <v>-6.9985999999999997</v>
      </c>
      <c r="AQ51" s="1">
        <v>440</v>
      </c>
      <c r="AR51" s="1" t="s">
        <v>812</v>
      </c>
      <c r="AS51" s="1">
        <v>31.257999999999999</v>
      </c>
      <c r="AT51" s="1">
        <v>440</v>
      </c>
      <c r="AV51" s="1" t="str">
        <f t="shared" si="0"/>
        <v>B47End-I</v>
      </c>
      <c r="AW51" s="1">
        <f t="shared" si="1"/>
        <v>4.4000000000000004</v>
      </c>
      <c r="AX51" s="1">
        <f t="shared" si="2"/>
        <v>4.4000000000000004</v>
      </c>
    </row>
    <row r="52" spans="1:53" ht="13.9" x14ac:dyDescent="0.25">
      <c r="A52" s="39" t="str">
        <f t="shared" si="3"/>
        <v>B17</v>
      </c>
      <c r="B52" s="236" t="str">
        <f t="shared" si="4"/>
        <v>V30X50</v>
      </c>
      <c r="C52" s="236"/>
      <c r="D52" s="279">
        <f t="shared" si="5"/>
        <v>4.41</v>
      </c>
      <c r="E52" s="279"/>
      <c r="F52" s="279">
        <f t="shared" si="6"/>
        <v>4.4000000000000004</v>
      </c>
      <c r="G52" s="279"/>
      <c r="H52" s="279">
        <f t="shared" si="7"/>
        <v>4.4000000000000004</v>
      </c>
      <c r="I52" s="279"/>
      <c r="J52" s="279">
        <f t="shared" si="8"/>
        <v>4.4000000000000004</v>
      </c>
      <c r="K52" s="279"/>
      <c r="L52" s="279">
        <f t="shared" si="9"/>
        <v>4.4000000000000004</v>
      </c>
      <c r="M52" s="279"/>
      <c r="N52" s="279">
        <f t="shared" si="10"/>
        <v>4.4000000000000004</v>
      </c>
      <c r="O52" s="279"/>
      <c r="P52" s="236" t="str">
        <f>CONCATENATE(W52,"#",X52,IF(Z52="","",CONCATENATE("+",Z52,"#",AA52)))</f>
        <v>3#5</v>
      </c>
      <c r="Q52" s="236"/>
      <c r="R52" s="236">
        <f>AB52</f>
        <v>5.97</v>
      </c>
      <c r="S52" s="236"/>
      <c r="T52" s="236" t="str">
        <f t="shared" si="13"/>
        <v>OK</v>
      </c>
      <c r="U52" s="236"/>
      <c r="W52" s="79">
        <f t="shared" si="18"/>
        <v>3</v>
      </c>
      <c r="X52" s="13">
        <f t="shared" si="14"/>
        <v>5</v>
      </c>
      <c r="Y52" s="78"/>
      <c r="Z52" s="79"/>
      <c r="AA52" s="13">
        <f t="shared" si="15"/>
        <v>4</v>
      </c>
      <c r="AB52" s="1">
        <f t="shared" si="16"/>
        <v>5.97</v>
      </c>
      <c r="AF52" s="1" t="s">
        <v>829</v>
      </c>
      <c r="AG52" s="1" t="s">
        <v>814</v>
      </c>
      <c r="AJ52" s="1" t="s">
        <v>824</v>
      </c>
      <c r="AK52" s="1" t="s">
        <v>819</v>
      </c>
      <c r="AL52" s="1">
        <v>225</v>
      </c>
      <c r="AM52" s="1" t="s">
        <v>813</v>
      </c>
      <c r="AN52" s="1" t="s">
        <v>784</v>
      </c>
      <c r="AO52" s="1" t="s">
        <v>776</v>
      </c>
      <c r="AP52" s="1">
        <v>-6.9985999999999997</v>
      </c>
      <c r="AQ52" s="1">
        <v>440</v>
      </c>
      <c r="AR52" s="1" t="s">
        <v>776</v>
      </c>
      <c r="AS52" s="1">
        <v>36.567599999999999</v>
      </c>
      <c r="AT52" s="1">
        <v>440</v>
      </c>
      <c r="AV52" s="1" t="str">
        <f t="shared" si="0"/>
        <v>B47Middle</v>
      </c>
      <c r="AW52" s="1">
        <f t="shared" si="1"/>
        <v>4.4000000000000004</v>
      </c>
      <c r="AX52" s="1">
        <f t="shared" si="2"/>
        <v>4.4000000000000004</v>
      </c>
    </row>
    <row r="53" spans="1:53" ht="13.9" x14ac:dyDescent="0.25">
      <c r="A53" s="39" t="str">
        <f t="shared" si="3"/>
        <v>B19</v>
      </c>
      <c r="B53" s="236" t="str">
        <f t="shared" si="4"/>
        <v>V35X50</v>
      </c>
      <c r="C53" s="236"/>
      <c r="D53" s="279">
        <f t="shared" si="5"/>
        <v>11.72</v>
      </c>
      <c r="E53" s="279"/>
      <c r="F53" s="279">
        <f t="shared" si="6"/>
        <v>5.65</v>
      </c>
      <c r="G53" s="279"/>
      <c r="H53" s="279">
        <f t="shared" si="7"/>
        <v>5.13</v>
      </c>
      <c r="I53" s="279"/>
      <c r="J53" s="279">
        <f t="shared" si="8"/>
        <v>9.59</v>
      </c>
      <c r="K53" s="279"/>
      <c r="L53" s="279">
        <f t="shared" si="9"/>
        <v>11.78</v>
      </c>
      <c r="M53" s="279"/>
      <c r="N53" s="279">
        <f t="shared" si="10"/>
        <v>5.68</v>
      </c>
      <c r="O53" s="279"/>
      <c r="P53" s="236" t="str">
        <f>CONCATENATE(W53,"#",X53,IF(Z53="","",CONCATENATE("+",Z53,"#",AA53)))</f>
        <v>3#5</v>
      </c>
      <c r="Q53" s="236"/>
      <c r="R53" s="236">
        <f>AB53</f>
        <v>5.97</v>
      </c>
      <c r="S53" s="236"/>
      <c r="T53" s="236" t="str">
        <f t="shared" ref="T53" si="19">IF(R53&gt;=MAX(D53:O53),"OK","*Ver nota*")</f>
        <v>*Ver nota*</v>
      </c>
      <c r="U53" s="236"/>
      <c r="W53" s="79">
        <f t="shared" si="18"/>
        <v>3</v>
      </c>
      <c r="X53" s="13">
        <f t="shared" si="14"/>
        <v>5</v>
      </c>
      <c r="Y53" s="78"/>
      <c r="Z53" s="79"/>
      <c r="AA53" s="13">
        <f t="shared" si="15"/>
        <v>4</v>
      </c>
      <c r="AB53" s="1">
        <f t="shared" si="16"/>
        <v>5.97</v>
      </c>
      <c r="AF53" s="1" t="s">
        <v>830</v>
      </c>
      <c r="AG53" s="1" t="s">
        <v>814</v>
      </c>
      <c r="AJ53" s="1" t="s">
        <v>824</v>
      </c>
      <c r="AK53" s="1" t="s">
        <v>819</v>
      </c>
      <c r="AL53" s="1">
        <v>225</v>
      </c>
      <c r="AM53" s="1" t="s">
        <v>813</v>
      </c>
      <c r="AN53" s="1" t="s">
        <v>785</v>
      </c>
      <c r="AO53" s="1" t="s">
        <v>776</v>
      </c>
      <c r="AP53" s="1">
        <v>-6.9985999999999997</v>
      </c>
      <c r="AQ53" s="1">
        <v>440</v>
      </c>
      <c r="AR53" s="1" t="s">
        <v>776</v>
      </c>
      <c r="AS53" s="1">
        <v>34.206699999999998</v>
      </c>
      <c r="AT53" s="1">
        <v>440</v>
      </c>
      <c r="AV53" s="1" t="str">
        <f t="shared" si="0"/>
        <v>B47End-J</v>
      </c>
      <c r="AW53" s="1">
        <f t="shared" si="1"/>
        <v>4.4000000000000004</v>
      </c>
      <c r="AX53" s="1">
        <f t="shared" si="2"/>
        <v>4.4000000000000004</v>
      </c>
    </row>
    <row r="54" spans="1:53" ht="13.9" x14ac:dyDescent="0.25">
      <c r="A54" s="39" t="str">
        <f t="shared" si="3"/>
        <v>B21</v>
      </c>
      <c r="B54" s="236" t="str">
        <f t="shared" ref="B54:B62" si="20">VLOOKUP(A54,$AF$6:$AG$88,2,)</f>
        <v>V30X50</v>
      </c>
      <c r="C54" s="236"/>
      <c r="D54" s="279">
        <f t="shared" ref="D54:D62" si="21">VLOOKUP(A54&amp;"End-I",$AV$6:$AX$1000,2,)</f>
        <v>4.4000000000000004</v>
      </c>
      <c r="E54" s="279"/>
      <c r="F54" s="279">
        <f t="shared" ref="F54:F62" si="22">VLOOKUP(A54&amp;"End-I",$AV$6:$AX$1000,3,)</f>
        <v>4.4000000000000004</v>
      </c>
      <c r="G54" s="279"/>
      <c r="H54" s="279">
        <f t="shared" ref="H54:H62" si="23">VLOOKUP(A54&amp;"Middle",$AV$6:$AX$1000,2,)</f>
        <v>4.4000000000000004</v>
      </c>
      <c r="I54" s="279"/>
      <c r="J54" s="279">
        <f t="shared" ref="J54:J62" si="24">VLOOKUP(A54&amp;"Middle",$AV$6:$AX$1000,3,)</f>
        <v>4.4000000000000004</v>
      </c>
      <c r="K54" s="279"/>
      <c r="L54" s="279">
        <f t="shared" ref="L54:L62" si="25">VLOOKUP(A54&amp;"End-J",$AV$6:$AX$1000,2,)</f>
        <v>4.4000000000000004</v>
      </c>
      <c r="M54" s="279"/>
      <c r="N54" s="279">
        <f t="shared" ref="N54:N62" si="26">VLOOKUP(A54&amp;"End-J",$AV$6:$AX$1000,3,)</f>
        <v>4.4000000000000004</v>
      </c>
      <c r="O54" s="279"/>
      <c r="P54" s="236" t="str">
        <f t="shared" ref="P54:P62" si="27">CONCATENATE(W54,"#",X54,IF(Z54="","",CONCATENATE("+",Z54,"#",AA54)))</f>
        <v>3#5</v>
      </c>
      <c r="Q54" s="236"/>
      <c r="R54" s="236">
        <f t="shared" ref="R54:R62" si="28">AB54</f>
        <v>5.97</v>
      </c>
      <c r="S54" s="236"/>
      <c r="T54" s="236" t="str">
        <f t="shared" ref="T54:T62" si="29">IF(R54&gt;=MAX(D54:O54),"OK","*Ver nota*")</f>
        <v>OK</v>
      </c>
      <c r="U54" s="236"/>
      <c r="W54" s="79">
        <f t="shared" si="18"/>
        <v>3</v>
      </c>
      <c r="X54" s="13">
        <f t="shared" si="14"/>
        <v>5</v>
      </c>
      <c r="Y54" s="78"/>
      <c r="Z54" s="79"/>
      <c r="AA54" s="13">
        <f t="shared" si="15"/>
        <v>4</v>
      </c>
      <c r="AB54" s="1">
        <f t="shared" si="16"/>
        <v>5.97</v>
      </c>
      <c r="AF54" s="1" t="s">
        <v>303</v>
      </c>
      <c r="AG54" s="1" t="s">
        <v>813</v>
      </c>
      <c r="AJ54" s="1" t="s">
        <v>824</v>
      </c>
      <c r="AK54" s="1" t="s">
        <v>820</v>
      </c>
      <c r="AL54" s="1">
        <v>222</v>
      </c>
      <c r="AM54" s="1" t="s">
        <v>813</v>
      </c>
      <c r="AN54" s="1" t="s">
        <v>783</v>
      </c>
      <c r="AO54" s="1" t="s">
        <v>780</v>
      </c>
      <c r="AP54" s="1">
        <v>-9.8712</v>
      </c>
      <c r="AQ54" s="1">
        <v>440</v>
      </c>
      <c r="AR54" s="1" t="s">
        <v>778</v>
      </c>
      <c r="AS54" s="1">
        <v>26.060700000000001</v>
      </c>
      <c r="AT54" s="1">
        <v>440</v>
      </c>
      <c r="AV54" s="1" t="str">
        <f t="shared" si="0"/>
        <v>B48End-I</v>
      </c>
      <c r="AW54" s="1">
        <f t="shared" si="1"/>
        <v>4.4000000000000004</v>
      </c>
      <c r="AX54" s="1">
        <f t="shared" si="2"/>
        <v>4.4000000000000004</v>
      </c>
    </row>
    <row r="55" spans="1:53" ht="13.9" x14ac:dyDescent="0.25">
      <c r="A55" s="39" t="str">
        <f t="shared" si="3"/>
        <v>B27</v>
      </c>
      <c r="B55" s="236" t="str">
        <f t="shared" si="20"/>
        <v>V30X50</v>
      </c>
      <c r="C55" s="236"/>
      <c r="D55" s="279">
        <f t="shared" si="21"/>
        <v>4.4000000000000004</v>
      </c>
      <c r="E55" s="279"/>
      <c r="F55" s="279">
        <f t="shared" si="22"/>
        <v>4.4000000000000004</v>
      </c>
      <c r="G55" s="279"/>
      <c r="H55" s="279">
        <f t="shared" si="23"/>
        <v>4.4000000000000004</v>
      </c>
      <c r="I55" s="279"/>
      <c r="J55" s="279">
        <f t="shared" si="24"/>
        <v>4.4000000000000004</v>
      </c>
      <c r="K55" s="279"/>
      <c r="L55" s="279">
        <f t="shared" si="25"/>
        <v>4.4000000000000004</v>
      </c>
      <c r="M55" s="279"/>
      <c r="N55" s="279">
        <f t="shared" si="26"/>
        <v>4.4000000000000004</v>
      </c>
      <c r="O55" s="279"/>
      <c r="P55" s="236" t="str">
        <f t="shared" si="27"/>
        <v>3#5</v>
      </c>
      <c r="Q55" s="236"/>
      <c r="R55" s="236">
        <f t="shared" si="28"/>
        <v>5.97</v>
      </c>
      <c r="S55" s="236"/>
      <c r="T55" s="236" t="str">
        <f t="shared" si="29"/>
        <v>OK</v>
      </c>
      <c r="U55" s="236"/>
      <c r="W55" s="79">
        <f t="shared" si="18"/>
        <v>3</v>
      </c>
      <c r="X55" s="13">
        <f t="shared" si="14"/>
        <v>5</v>
      </c>
      <c r="Y55" s="78"/>
      <c r="Z55" s="79"/>
      <c r="AA55" s="13">
        <f t="shared" si="15"/>
        <v>4</v>
      </c>
      <c r="AB55" s="1">
        <f t="shared" si="16"/>
        <v>5.97</v>
      </c>
      <c r="AF55" s="1" t="s">
        <v>768</v>
      </c>
      <c r="AG55" s="1" t="s">
        <v>813</v>
      </c>
      <c r="AJ55" s="1" t="s">
        <v>824</v>
      </c>
      <c r="AK55" s="1" t="s">
        <v>820</v>
      </c>
      <c r="AL55" s="1">
        <v>222</v>
      </c>
      <c r="AM55" s="1" t="s">
        <v>813</v>
      </c>
      <c r="AN55" s="1" t="s">
        <v>784</v>
      </c>
      <c r="AO55" s="1" t="s">
        <v>778</v>
      </c>
      <c r="AP55" s="1">
        <v>-8.8333999999999993</v>
      </c>
      <c r="AQ55" s="1">
        <v>440</v>
      </c>
      <c r="AR55" s="1" t="s">
        <v>778</v>
      </c>
      <c r="AS55" s="1">
        <v>19.5974</v>
      </c>
      <c r="AT55" s="1">
        <v>440</v>
      </c>
      <c r="AV55" s="1" t="str">
        <f t="shared" si="0"/>
        <v>B48Middle</v>
      </c>
      <c r="AW55" s="1">
        <f t="shared" si="1"/>
        <v>4.4000000000000004</v>
      </c>
      <c r="AX55" s="1">
        <f t="shared" si="2"/>
        <v>4.4000000000000004</v>
      </c>
    </row>
    <row r="56" spans="1:53" ht="13.9" x14ac:dyDescent="0.25">
      <c r="A56" s="39" t="str">
        <f t="shared" si="3"/>
        <v>B29</v>
      </c>
      <c r="B56" s="236" t="str">
        <f t="shared" si="20"/>
        <v>V35X50</v>
      </c>
      <c r="C56" s="236"/>
      <c r="D56" s="279">
        <f t="shared" si="21"/>
        <v>10.17</v>
      </c>
      <c r="E56" s="279"/>
      <c r="F56" s="279">
        <f t="shared" si="22"/>
        <v>5.13</v>
      </c>
      <c r="G56" s="279"/>
      <c r="H56" s="279">
        <f t="shared" si="23"/>
        <v>5.13</v>
      </c>
      <c r="I56" s="279"/>
      <c r="J56" s="279">
        <f t="shared" si="24"/>
        <v>8.6</v>
      </c>
      <c r="K56" s="279"/>
      <c r="L56" s="279">
        <f t="shared" si="25"/>
        <v>10.130000000000001</v>
      </c>
      <c r="M56" s="279"/>
      <c r="N56" s="279">
        <f t="shared" si="26"/>
        <v>5.13</v>
      </c>
      <c r="O56" s="279"/>
      <c r="P56" s="236" t="str">
        <f t="shared" si="27"/>
        <v>3#5</v>
      </c>
      <c r="Q56" s="236"/>
      <c r="R56" s="236">
        <f t="shared" si="28"/>
        <v>5.97</v>
      </c>
      <c r="S56" s="236"/>
      <c r="T56" s="236" t="str">
        <f t="shared" si="29"/>
        <v>*Ver nota*</v>
      </c>
      <c r="U56" s="236"/>
      <c r="W56" s="79">
        <f t="shared" si="18"/>
        <v>3</v>
      </c>
      <c r="X56" s="13">
        <f t="shared" si="14"/>
        <v>5</v>
      </c>
      <c r="Y56" s="78"/>
      <c r="Z56" s="79"/>
      <c r="AA56" s="13">
        <f t="shared" si="15"/>
        <v>4</v>
      </c>
      <c r="AB56" s="1">
        <f t="shared" si="16"/>
        <v>5.97</v>
      </c>
      <c r="AF56" s="1" t="s">
        <v>769</v>
      </c>
      <c r="AG56" s="1" t="s">
        <v>814</v>
      </c>
      <c r="AJ56" s="1" t="s">
        <v>824</v>
      </c>
      <c r="AK56" s="1" t="s">
        <v>820</v>
      </c>
      <c r="AL56" s="1">
        <v>222</v>
      </c>
      <c r="AM56" s="1" t="s">
        <v>813</v>
      </c>
      <c r="AN56" s="1" t="s">
        <v>785</v>
      </c>
      <c r="AO56" s="1" t="s">
        <v>778</v>
      </c>
      <c r="AP56" s="1">
        <v>-35.333500000000001</v>
      </c>
      <c r="AQ56" s="1">
        <v>440</v>
      </c>
      <c r="AR56" s="1" t="s">
        <v>778</v>
      </c>
      <c r="AS56" s="1">
        <v>17.666699999999999</v>
      </c>
      <c r="AT56" s="1">
        <v>440</v>
      </c>
      <c r="AV56" s="1" t="str">
        <f t="shared" si="0"/>
        <v>B48End-J</v>
      </c>
      <c r="AW56" s="1">
        <f t="shared" si="1"/>
        <v>4.4000000000000004</v>
      </c>
      <c r="AX56" s="1">
        <f t="shared" si="2"/>
        <v>4.4000000000000004</v>
      </c>
    </row>
    <row r="57" spans="1:53" ht="13.9" x14ac:dyDescent="0.25">
      <c r="A57" s="39" t="str">
        <f t="shared" si="3"/>
        <v>B31</v>
      </c>
      <c r="B57" s="236" t="str">
        <f t="shared" si="20"/>
        <v>V30X50</v>
      </c>
      <c r="C57" s="236"/>
      <c r="D57" s="279">
        <f t="shared" si="21"/>
        <v>4.4000000000000004</v>
      </c>
      <c r="E57" s="279"/>
      <c r="F57" s="279">
        <f t="shared" si="22"/>
        <v>4.4000000000000004</v>
      </c>
      <c r="G57" s="279"/>
      <c r="H57" s="279">
        <f t="shared" si="23"/>
        <v>4.4000000000000004</v>
      </c>
      <c r="I57" s="279"/>
      <c r="J57" s="279">
        <f t="shared" si="24"/>
        <v>4.4000000000000004</v>
      </c>
      <c r="K57" s="279"/>
      <c r="L57" s="279">
        <f t="shared" si="25"/>
        <v>4.4000000000000004</v>
      </c>
      <c r="M57" s="279"/>
      <c r="N57" s="279">
        <f t="shared" si="26"/>
        <v>4.4000000000000004</v>
      </c>
      <c r="O57" s="279"/>
      <c r="P57" s="236" t="str">
        <f t="shared" si="27"/>
        <v>3#5</v>
      </c>
      <c r="Q57" s="236"/>
      <c r="R57" s="236">
        <f t="shared" si="28"/>
        <v>5.97</v>
      </c>
      <c r="S57" s="236"/>
      <c r="T57" s="236" t="str">
        <f t="shared" si="29"/>
        <v>OK</v>
      </c>
      <c r="U57" s="236"/>
      <c r="W57" s="79">
        <f t="shared" si="18"/>
        <v>3</v>
      </c>
      <c r="X57" s="13">
        <f t="shared" si="14"/>
        <v>5</v>
      </c>
      <c r="Y57" s="78"/>
      <c r="Z57" s="79"/>
      <c r="AA57" s="13">
        <f t="shared" si="15"/>
        <v>4</v>
      </c>
      <c r="AB57" s="1">
        <f t="shared" si="16"/>
        <v>5.97</v>
      </c>
      <c r="AF57" s="1" t="s">
        <v>770</v>
      </c>
      <c r="AG57" s="1" t="s">
        <v>814</v>
      </c>
      <c r="AJ57" s="1" t="s">
        <v>824</v>
      </c>
      <c r="AK57" s="1" t="s">
        <v>821</v>
      </c>
      <c r="AL57" s="1">
        <v>226</v>
      </c>
      <c r="AM57" s="1" t="s">
        <v>813</v>
      </c>
      <c r="AN57" s="1" t="s">
        <v>783</v>
      </c>
      <c r="AO57" s="1" t="s">
        <v>776</v>
      </c>
      <c r="AP57" s="1">
        <v>-14.2631</v>
      </c>
      <c r="AQ57" s="1">
        <v>440</v>
      </c>
      <c r="AR57" s="1" t="s">
        <v>777</v>
      </c>
      <c r="AS57" s="1">
        <v>23.032699999999998</v>
      </c>
      <c r="AT57" s="1">
        <v>440</v>
      </c>
      <c r="AV57" s="1" t="str">
        <f t="shared" si="0"/>
        <v>B49End-I</v>
      </c>
      <c r="AW57" s="1">
        <f t="shared" si="1"/>
        <v>4.4000000000000004</v>
      </c>
      <c r="AX57" s="1">
        <f t="shared" si="2"/>
        <v>4.4000000000000004</v>
      </c>
    </row>
    <row r="58" spans="1:53" ht="13.9" x14ac:dyDescent="0.25">
      <c r="A58" s="39" t="str">
        <f t="shared" si="3"/>
        <v>B37</v>
      </c>
      <c r="B58" s="236" t="str">
        <f t="shared" si="20"/>
        <v>V30X50</v>
      </c>
      <c r="C58" s="236"/>
      <c r="D58" s="279">
        <f t="shared" si="21"/>
        <v>4.4000000000000004</v>
      </c>
      <c r="E58" s="279"/>
      <c r="F58" s="279">
        <f t="shared" si="22"/>
        <v>4.4000000000000004</v>
      </c>
      <c r="G58" s="279"/>
      <c r="H58" s="279">
        <f t="shared" si="23"/>
        <v>4.4000000000000004</v>
      </c>
      <c r="I58" s="279"/>
      <c r="J58" s="279">
        <f t="shared" si="24"/>
        <v>4.4000000000000004</v>
      </c>
      <c r="K58" s="279"/>
      <c r="L58" s="279">
        <f t="shared" si="25"/>
        <v>4.4000000000000004</v>
      </c>
      <c r="M58" s="279"/>
      <c r="N58" s="279">
        <f t="shared" si="26"/>
        <v>4.4000000000000004</v>
      </c>
      <c r="O58" s="279"/>
      <c r="P58" s="236" t="str">
        <f t="shared" si="27"/>
        <v>3#5</v>
      </c>
      <c r="Q58" s="236"/>
      <c r="R58" s="236">
        <f t="shared" si="28"/>
        <v>5.97</v>
      </c>
      <c r="S58" s="236"/>
      <c r="T58" s="236" t="str">
        <f t="shared" si="29"/>
        <v>OK</v>
      </c>
      <c r="U58" s="236"/>
      <c r="W58" s="79">
        <f t="shared" si="18"/>
        <v>3</v>
      </c>
      <c r="X58" s="13">
        <f t="shared" si="14"/>
        <v>5</v>
      </c>
      <c r="Y58" s="78"/>
      <c r="Z58" s="79"/>
      <c r="AA58" s="13">
        <f t="shared" si="15"/>
        <v>4</v>
      </c>
      <c r="AB58" s="1">
        <f t="shared" si="16"/>
        <v>5.97</v>
      </c>
      <c r="AF58" s="1" t="s">
        <v>771</v>
      </c>
      <c r="AG58" s="1" t="s">
        <v>813</v>
      </c>
      <c r="AJ58" s="1" t="s">
        <v>824</v>
      </c>
      <c r="AK58" s="1" t="s">
        <v>821</v>
      </c>
      <c r="AL58" s="1">
        <v>226</v>
      </c>
      <c r="AM58" s="1" t="s">
        <v>813</v>
      </c>
      <c r="AN58" s="1" t="s">
        <v>784</v>
      </c>
      <c r="AO58" s="1" t="s">
        <v>776</v>
      </c>
      <c r="AP58" s="1">
        <v>-29.0291</v>
      </c>
      <c r="AQ58" s="1">
        <v>440</v>
      </c>
      <c r="AR58" s="1" t="s">
        <v>776</v>
      </c>
      <c r="AS58" s="1">
        <v>14.2631</v>
      </c>
      <c r="AT58" s="1">
        <v>440</v>
      </c>
      <c r="AV58" s="1" t="str">
        <f t="shared" si="0"/>
        <v>B49Middle</v>
      </c>
      <c r="AW58" s="1">
        <f t="shared" si="1"/>
        <v>4.4000000000000004</v>
      </c>
      <c r="AX58" s="1">
        <f t="shared" si="2"/>
        <v>4.4000000000000004</v>
      </c>
    </row>
    <row r="59" spans="1:53" ht="13.9" x14ac:dyDescent="0.25">
      <c r="A59" s="39" t="str">
        <f t="shared" si="3"/>
        <v>B39</v>
      </c>
      <c r="B59" s="236" t="str">
        <f t="shared" si="20"/>
        <v>V35X50</v>
      </c>
      <c r="C59" s="236"/>
      <c r="D59" s="279">
        <f t="shared" si="21"/>
        <v>6.6</v>
      </c>
      <c r="E59" s="279"/>
      <c r="F59" s="279">
        <f t="shared" si="22"/>
        <v>5.13</v>
      </c>
      <c r="G59" s="279"/>
      <c r="H59" s="279">
        <f t="shared" si="23"/>
        <v>5.13</v>
      </c>
      <c r="I59" s="279"/>
      <c r="J59" s="279">
        <f t="shared" si="24"/>
        <v>5.13</v>
      </c>
      <c r="K59" s="279"/>
      <c r="L59" s="279">
        <f t="shared" si="25"/>
        <v>5.97</v>
      </c>
      <c r="M59" s="279"/>
      <c r="N59" s="279">
        <f t="shared" si="26"/>
        <v>5.13</v>
      </c>
      <c r="O59" s="279"/>
      <c r="P59" s="236" t="str">
        <f t="shared" si="27"/>
        <v>3#5</v>
      </c>
      <c r="Q59" s="236"/>
      <c r="R59" s="236">
        <f t="shared" si="28"/>
        <v>5.97</v>
      </c>
      <c r="S59" s="236"/>
      <c r="T59" s="236" t="str">
        <f t="shared" si="29"/>
        <v>*Ver nota*</v>
      </c>
      <c r="U59" s="236"/>
      <c r="W59" s="79">
        <f t="shared" si="18"/>
        <v>3</v>
      </c>
      <c r="X59" s="13">
        <f t="shared" si="14"/>
        <v>5</v>
      </c>
      <c r="Y59" s="78"/>
      <c r="Z59" s="79"/>
      <c r="AA59" s="13">
        <f t="shared" si="15"/>
        <v>4</v>
      </c>
      <c r="AB59" s="1">
        <f t="shared" si="16"/>
        <v>5.97</v>
      </c>
      <c r="AF59" s="1" t="s">
        <v>304</v>
      </c>
      <c r="AG59" s="1" t="s">
        <v>813</v>
      </c>
      <c r="AJ59" s="1" t="s">
        <v>824</v>
      </c>
      <c r="AK59" s="1" t="s">
        <v>821</v>
      </c>
      <c r="AL59" s="1">
        <v>226</v>
      </c>
      <c r="AM59" s="1" t="s">
        <v>813</v>
      </c>
      <c r="AN59" s="1" t="s">
        <v>785</v>
      </c>
      <c r="AO59" s="1" t="s">
        <v>776</v>
      </c>
      <c r="AP59" s="1">
        <v>-57.052199999999999</v>
      </c>
      <c r="AQ59" s="1">
        <v>440</v>
      </c>
      <c r="AR59" s="1" t="s">
        <v>776</v>
      </c>
      <c r="AS59" s="1">
        <v>28.5261</v>
      </c>
      <c r="AT59" s="1">
        <v>440</v>
      </c>
      <c r="AV59" s="1" t="str">
        <f t="shared" si="0"/>
        <v>B49End-J</v>
      </c>
      <c r="AW59" s="1">
        <f t="shared" si="1"/>
        <v>4.4000000000000004</v>
      </c>
      <c r="AX59" s="1">
        <f t="shared" si="2"/>
        <v>4.4000000000000004</v>
      </c>
    </row>
    <row r="60" spans="1:53" ht="13.9" x14ac:dyDescent="0.25">
      <c r="A60" s="39" t="str">
        <f t="shared" si="3"/>
        <v>B41</v>
      </c>
      <c r="B60" s="236" t="str">
        <f t="shared" si="20"/>
        <v>V30X50</v>
      </c>
      <c r="C60" s="236"/>
      <c r="D60" s="279">
        <f t="shared" si="21"/>
        <v>4.4000000000000004</v>
      </c>
      <c r="E60" s="279"/>
      <c r="F60" s="279">
        <f t="shared" si="22"/>
        <v>4.4000000000000004</v>
      </c>
      <c r="G60" s="279"/>
      <c r="H60" s="279">
        <f t="shared" si="23"/>
        <v>4.4000000000000004</v>
      </c>
      <c r="I60" s="279"/>
      <c r="J60" s="279">
        <f t="shared" si="24"/>
        <v>4.4000000000000004</v>
      </c>
      <c r="K60" s="279"/>
      <c r="L60" s="279">
        <f t="shared" si="25"/>
        <v>4.4000000000000004</v>
      </c>
      <c r="M60" s="279"/>
      <c r="N60" s="279">
        <f t="shared" si="26"/>
        <v>4.4000000000000004</v>
      </c>
      <c r="O60" s="279"/>
      <c r="P60" s="236" t="str">
        <f t="shared" si="27"/>
        <v>3#5</v>
      </c>
      <c r="Q60" s="236"/>
      <c r="R60" s="236">
        <f t="shared" si="28"/>
        <v>5.97</v>
      </c>
      <c r="S60" s="236"/>
      <c r="T60" s="236" t="str">
        <f t="shared" si="29"/>
        <v>OK</v>
      </c>
      <c r="U60" s="236"/>
      <c r="W60" s="79">
        <f t="shared" si="18"/>
        <v>3</v>
      </c>
      <c r="X60" s="13">
        <f t="shared" si="14"/>
        <v>5</v>
      </c>
      <c r="Y60" s="78"/>
      <c r="Z60" s="79"/>
      <c r="AA60" s="13">
        <f t="shared" si="15"/>
        <v>4</v>
      </c>
      <c r="AB60" s="1">
        <f t="shared" si="16"/>
        <v>5.97</v>
      </c>
      <c r="AF60" s="1" t="s">
        <v>772</v>
      </c>
      <c r="AG60" s="1" t="s">
        <v>814</v>
      </c>
      <c r="AJ60" s="1" t="s">
        <v>824</v>
      </c>
      <c r="AK60" s="1" t="s">
        <v>822</v>
      </c>
      <c r="AL60" s="1">
        <v>67</v>
      </c>
      <c r="AM60" s="1" t="s">
        <v>813</v>
      </c>
      <c r="AN60" s="1" t="s">
        <v>783</v>
      </c>
      <c r="AO60" s="1" t="s">
        <v>778</v>
      </c>
      <c r="AP60" s="1">
        <v>-77.325599999999994</v>
      </c>
      <c r="AQ60" s="1">
        <v>497</v>
      </c>
      <c r="AR60" s="1" t="s">
        <v>780</v>
      </c>
      <c r="AS60" s="1">
        <v>56.771500000000003</v>
      </c>
      <c r="AT60" s="1">
        <v>440</v>
      </c>
      <c r="AV60" s="1" t="str">
        <f t="shared" si="0"/>
        <v>B50End-I</v>
      </c>
      <c r="AW60" s="1">
        <f t="shared" si="1"/>
        <v>4.97</v>
      </c>
      <c r="AX60" s="1">
        <f t="shared" si="2"/>
        <v>4.4000000000000004</v>
      </c>
      <c r="BA60" s="69"/>
    </row>
    <row r="61" spans="1:53" x14ac:dyDescent="0.25">
      <c r="A61" s="39" t="str">
        <f t="shared" si="3"/>
        <v>B46</v>
      </c>
      <c r="B61" s="236" t="str">
        <f t="shared" si="20"/>
        <v>V30X50</v>
      </c>
      <c r="C61" s="236"/>
      <c r="D61" s="279">
        <f t="shared" si="21"/>
        <v>4.63</v>
      </c>
      <c r="E61" s="279"/>
      <c r="F61" s="279">
        <f t="shared" si="22"/>
        <v>4.4000000000000004</v>
      </c>
      <c r="G61" s="279"/>
      <c r="H61" s="279">
        <f t="shared" si="23"/>
        <v>4.4000000000000004</v>
      </c>
      <c r="I61" s="279"/>
      <c r="J61" s="279">
        <f t="shared" si="24"/>
        <v>4.4000000000000004</v>
      </c>
      <c r="K61" s="279"/>
      <c r="L61" s="279">
        <f t="shared" si="25"/>
        <v>4.46</v>
      </c>
      <c r="M61" s="279"/>
      <c r="N61" s="279">
        <f t="shared" si="26"/>
        <v>4.49</v>
      </c>
      <c r="O61" s="279"/>
      <c r="P61" s="236" t="str">
        <f t="shared" si="27"/>
        <v>3#5</v>
      </c>
      <c r="Q61" s="236"/>
      <c r="R61" s="236">
        <f t="shared" si="28"/>
        <v>5.97</v>
      </c>
      <c r="S61" s="236"/>
      <c r="T61" s="236" t="str">
        <f t="shared" si="29"/>
        <v>OK</v>
      </c>
      <c r="U61" s="236"/>
      <c r="W61" s="79">
        <f t="shared" si="18"/>
        <v>3</v>
      </c>
      <c r="X61" s="13">
        <f t="shared" si="14"/>
        <v>5</v>
      </c>
      <c r="Y61" s="78"/>
      <c r="Z61" s="79"/>
      <c r="AA61" s="13">
        <f t="shared" si="15"/>
        <v>4</v>
      </c>
      <c r="AB61" s="1">
        <f t="shared" si="16"/>
        <v>5.97</v>
      </c>
      <c r="AF61" s="1" t="s">
        <v>773</v>
      </c>
      <c r="AG61" s="1" t="s">
        <v>813</v>
      </c>
      <c r="AJ61" s="1" t="s">
        <v>824</v>
      </c>
      <c r="AK61" s="1" t="s">
        <v>822</v>
      </c>
      <c r="AL61" s="1">
        <v>67</v>
      </c>
      <c r="AM61" s="1" t="s">
        <v>813</v>
      </c>
      <c r="AN61" s="1" t="s">
        <v>784</v>
      </c>
      <c r="AO61" s="1" t="s">
        <v>780</v>
      </c>
      <c r="AP61" s="1">
        <v>-30.5703</v>
      </c>
      <c r="AQ61" s="1">
        <v>440</v>
      </c>
      <c r="AR61" s="1" t="s">
        <v>778</v>
      </c>
      <c r="AS61" s="1">
        <v>37.245699999999999</v>
      </c>
      <c r="AT61" s="1">
        <v>440</v>
      </c>
      <c r="AV61" s="1" t="str">
        <f t="shared" si="0"/>
        <v>B50Middle</v>
      </c>
      <c r="AW61" s="1">
        <f t="shared" si="1"/>
        <v>4.4000000000000004</v>
      </c>
      <c r="AX61" s="1">
        <f t="shared" si="2"/>
        <v>4.4000000000000004</v>
      </c>
      <c r="BA61" s="69"/>
    </row>
    <row r="62" spans="1:53" x14ac:dyDescent="0.25">
      <c r="A62" s="39" t="str">
        <f t="shared" si="3"/>
        <v>B47</v>
      </c>
      <c r="B62" s="236" t="str">
        <f t="shared" si="20"/>
        <v>V30X50</v>
      </c>
      <c r="C62" s="236"/>
      <c r="D62" s="279">
        <f t="shared" si="21"/>
        <v>4.4000000000000004</v>
      </c>
      <c r="E62" s="279"/>
      <c r="F62" s="279">
        <f t="shared" si="22"/>
        <v>4.4000000000000004</v>
      </c>
      <c r="G62" s="279"/>
      <c r="H62" s="279">
        <f t="shared" si="23"/>
        <v>4.4000000000000004</v>
      </c>
      <c r="I62" s="279"/>
      <c r="J62" s="279">
        <f t="shared" si="24"/>
        <v>4.4000000000000004</v>
      </c>
      <c r="K62" s="279"/>
      <c r="L62" s="279">
        <f t="shared" si="25"/>
        <v>4.4000000000000004</v>
      </c>
      <c r="M62" s="279"/>
      <c r="N62" s="279">
        <f t="shared" si="26"/>
        <v>4.4000000000000004</v>
      </c>
      <c r="O62" s="279"/>
      <c r="P62" s="236" t="str">
        <f t="shared" si="27"/>
        <v>3#5</v>
      </c>
      <c r="Q62" s="236"/>
      <c r="R62" s="236">
        <f t="shared" si="28"/>
        <v>5.97</v>
      </c>
      <c r="S62" s="236"/>
      <c r="T62" s="236" t="str">
        <f t="shared" si="29"/>
        <v>OK</v>
      </c>
      <c r="U62" s="236"/>
      <c r="W62" s="79">
        <f t="shared" si="18"/>
        <v>3</v>
      </c>
      <c r="X62" s="13">
        <f t="shared" si="14"/>
        <v>5</v>
      </c>
      <c r="Y62" s="78"/>
      <c r="Z62" s="79"/>
      <c r="AA62" s="13">
        <f t="shared" si="15"/>
        <v>4</v>
      </c>
      <c r="AB62" s="1">
        <f t="shared" si="16"/>
        <v>5.97</v>
      </c>
      <c r="AF62" s="1" t="s">
        <v>774</v>
      </c>
      <c r="AG62" s="1" t="s">
        <v>813</v>
      </c>
      <c r="AJ62" s="1" t="s">
        <v>824</v>
      </c>
      <c r="AK62" s="1" t="s">
        <v>822</v>
      </c>
      <c r="AL62" s="1">
        <v>67</v>
      </c>
      <c r="AM62" s="1" t="s">
        <v>813</v>
      </c>
      <c r="AN62" s="1" t="s">
        <v>785</v>
      </c>
      <c r="AO62" s="1" t="s">
        <v>778</v>
      </c>
      <c r="AP62" s="1">
        <v>-74.368200000000002</v>
      </c>
      <c r="AQ62" s="1">
        <v>483</v>
      </c>
      <c r="AR62" s="1" t="s">
        <v>780</v>
      </c>
      <c r="AS62" s="1">
        <v>62.2072</v>
      </c>
      <c r="AT62" s="1">
        <v>440</v>
      </c>
      <c r="AV62" s="1" t="str">
        <f t="shared" si="0"/>
        <v>B50End-J</v>
      </c>
      <c r="AW62" s="1">
        <f t="shared" si="1"/>
        <v>4.83</v>
      </c>
      <c r="AX62" s="1">
        <f t="shared" si="2"/>
        <v>4.4000000000000004</v>
      </c>
      <c r="BA62" s="69"/>
    </row>
    <row r="63" spans="1:53" x14ac:dyDescent="0.25">
      <c r="A63" s="39"/>
      <c r="B63" s="236"/>
      <c r="C63" s="236"/>
      <c r="D63" s="279"/>
      <c r="E63" s="279"/>
      <c r="F63" s="279"/>
      <c r="G63" s="279"/>
      <c r="H63" s="279"/>
      <c r="I63" s="279"/>
      <c r="J63" s="279"/>
      <c r="K63" s="279"/>
      <c r="L63" s="279"/>
      <c r="M63" s="279"/>
      <c r="N63" s="279"/>
      <c r="O63" s="279"/>
      <c r="P63" s="236"/>
      <c r="Q63" s="236"/>
      <c r="R63" s="236"/>
      <c r="S63" s="236"/>
      <c r="T63" s="278"/>
      <c r="U63" s="278"/>
      <c r="W63" s="79"/>
      <c r="X63" s="13"/>
      <c r="Y63" s="78"/>
      <c r="Z63" s="79"/>
      <c r="AA63" s="13"/>
      <c r="AF63" s="1" t="s">
        <v>775</v>
      </c>
      <c r="AG63" s="1" t="s">
        <v>814</v>
      </c>
      <c r="AJ63" s="1" t="s">
        <v>824</v>
      </c>
      <c r="AK63" s="1" t="s">
        <v>823</v>
      </c>
      <c r="AL63" s="1">
        <v>55</v>
      </c>
      <c r="AM63" s="1" t="s">
        <v>814</v>
      </c>
      <c r="AN63" s="1" t="s">
        <v>783</v>
      </c>
      <c r="AO63" s="1" t="s">
        <v>776</v>
      </c>
      <c r="AP63" s="1">
        <v>-63.601300000000002</v>
      </c>
      <c r="AQ63" s="1">
        <v>513</v>
      </c>
      <c r="AR63" s="1" t="s">
        <v>776</v>
      </c>
      <c r="AS63" s="1">
        <v>31.800599999999999</v>
      </c>
      <c r="AT63" s="1">
        <v>513</v>
      </c>
      <c r="AV63" s="1" t="str">
        <f t="shared" si="0"/>
        <v>B53End-I</v>
      </c>
      <c r="AW63" s="1">
        <f t="shared" si="1"/>
        <v>5.13</v>
      </c>
      <c r="AX63" s="1">
        <f t="shared" si="2"/>
        <v>5.13</v>
      </c>
    </row>
    <row r="64" spans="1:53" x14ac:dyDescent="0.25">
      <c r="A64" s="39"/>
      <c r="B64" s="236"/>
      <c r="C64" s="236"/>
      <c r="D64" s="279"/>
      <c r="E64" s="279"/>
      <c r="F64" s="279"/>
      <c r="G64" s="279"/>
      <c r="H64" s="279"/>
      <c r="I64" s="279"/>
      <c r="J64" s="279"/>
      <c r="K64" s="279"/>
      <c r="L64" s="279"/>
      <c r="M64" s="279"/>
      <c r="N64" s="279"/>
      <c r="O64" s="279"/>
      <c r="P64" s="236"/>
      <c r="Q64" s="236"/>
      <c r="R64" s="236"/>
      <c r="S64" s="236"/>
      <c r="T64" s="278"/>
      <c r="U64" s="278"/>
      <c r="W64" s="79"/>
      <c r="X64" s="13"/>
      <c r="Y64" s="78"/>
      <c r="Z64" s="79"/>
      <c r="AA64" s="13"/>
      <c r="AF64" s="1" t="s">
        <v>815</v>
      </c>
      <c r="AG64" s="1" t="s">
        <v>813</v>
      </c>
      <c r="AJ64" s="1" t="s">
        <v>824</v>
      </c>
      <c r="AK64" s="1" t="s">
        <v>823</v>
      </c>
      <c r="AL64" s="1">
        <v>55</v>
      </c>
      <c r="AM64" s="1" t="s">
        <v>814</v>
      </c>
      <c r="AN64" s="1" t="s">
        <v>784</v>
      </c>
      <c r="AO64" s="1" t="s">
        <v>776</v>
      </c>
      <c r="AP64" s="1">
        <v>-17.065000000000001</v>
      </c>
      <c r="AQ64" s="1">
        <v>513</v>
      </c>
      <c r="AR64" s="1" t="s">
        <v>776</v>
      </c>
      <c r="AS64" s="1">
        <v>51.4131</v>
      </c>
      <c r="AT64" s="1">
        <v>513</v>
      </c>
      <c r="AV64" s="1" t="str">
        <f t="shared" si="0"/>
        <v>B53Middle</v>
      </c>
      <c r="AW64" s="1">
        <f t="shared" si="1"/>
        <v>5.13</v>
      </c>
      <c r="AX64" s="1">
        <f t="shared" si="2"/>
        <v>5.13</v>
      </c>
    </row>
    <row r="65" spans="1:50" x14ac:dyDescent="0.25">
      <c r="A65" s="9"/>
      <c r="B65" s="10"/>
      <c r="C65" s="10"/>
      <c r="D65" s="10"/>
      <c r="E65" s="10"/>
      <c r="F65" s="10"/>
      <c r="G65" s="10"/>
      <c r="H65" s="10"/>
      <c r="I65" s="10"/>
      <c r="J65" s="10"/>
      <c r="K65" s="10"/>
      <c r="L65" s="10"/>
      <c r="M65" s="10"/>
      <c r="N65" s="10"/>
      <c r="O65" s="10"/>
      <c r="P65" s="10"/>
      <c r="Q65" s="10"/>
      <c r="R65" s="10"/>
      <c r="S65" s="10"/>
      <c r="T65" s="10"/>
      <c r="U65" s="11"/>
      <c r="AF65" s="1" t="s">
        <v>817</v>
      </c>
      <c r="AG65" s="1" t="s">
        <v>813</v>
      </c>
      <c r="AJ65" s="1" t="s">
        <v>824</v>
      </c>
      <c r="AK65" s="1" t="s">
        <v>823</v>
      </c>
      <c r="AL65" s="1">
        <v>55</v>
      </c>
      <c r="AM65" s="1" t="s">
        <v>814</v>
      </c>
      <c r="AN65" s="1" t="s">
        <v>785</v>
      </c>
      <c r="AO65" s="1" t="s">
        <v>776</v>
      </c>
      <c r="AP65" s="1">
        <v>-68.260000000000005</v>
      </c>
      <c r="AQ65" s="1">
        <v>513</v>
      </c>
      <c r="AR65" s="1" t="s">
        <v>776</v>
      </c>
      <c r="AS65" s="1">
        <v>34.130000000000003</v>
      </c>
      <c r="AT65" s="1">
        <v>513</v>
      </c>
      <c r="AV65" s="1" t="str">
        <f t="shared" si="0"/>
        <v>B53End-J</v>
      </c>
      <c r="AW65" s="1">
        <f t="shared" si="1"/>
        <v>5.13</v>
      </c>
      <c r="AX65" s="1">
        <f t="shared" si="2"/>
        <v>5.13</v>
      </c>
    </row>
    <row r="66" spans="1:50" x14ac:dyDescent="0.25">
      <c r="A66" s="2"/>
      <c r="B66" s="3"/>
      <c r="C66" s="3"/>
      <c r="D66" s="3"/>
      <c r="E66" s="3"/>
      <c r="F66" s="3"/>
      <c r="G66" s="3"/>
      <c r="H66" s="3"/>
      <c r="I66" s="3"/>
      <c r="J66" s="3"/>
      <c r="K66" s="3"/>
      <c r="L66" s="3"/>
      <c r="M66" s="3"/>
      <c r="N66" s="3"/>
      <c r="O66" s="3"/>
      <c r="P66" s="3"/>
      <c r="Q66" s="3"/>
      <c r="R66" s="3"/>
      <c r="S66" s="3"/>
      <c r="T66" s="3"/>
      <c r="U66" s="4"/>
      <c r="AF66" s="1" t="s">
        <v>809</v>
      </c>
      <c r="AG66" s="1" t="s">
        <v>814</v>
      </c>
      <c r="AJ66" s="1" t="s">
        <v>824</v>
      </c>
      <c r="AK66" s="1" t="s">
        <v>827</v>
      </c>
      <c r="AL66" s="1">
        <v>170</v>
      </c>
      <c r="AM66" s="1" t="s">
        <v>814</v>
      </c>
      <c r="AN66" s="1" t="s">
        <v>783</v>
      </c>
      <c r="AO66" s="1" t="s">
        <v>776</v>
      </c>
      <c r="AP66" s="1">
        <v>-0.32129999999999997</v>
      </c>
      <c r="AQ66" s="1">
        <v>10</v>
      </c>
      <c r="AR66" s="1" t="s">
        <v>777</v>
      </c>
      <c r="AS66" s="1">
        <v>0.25640000000000002</v>
      </c>
      <c r="AT66" s="1">
        <v>9</v>
      </c>
      <c r="AV66" s="1" t="str">
        <f t="shared" si="0"/>
        <v>B109End-I</v>
      </c>
      <c r="AW66" s="1">
        <f t="shared" si="1"/>
        <v>0.1</v>
      </c>
      <c r="AX66" s="1">
        <f t="shared" si="2"/>
        <v>0.09</v>
      </c>
    </row>
    <row r="67" spans="1:50" x14ac:dyDescent="0.25">
      <c r="A67" s="254" t="s">
        <v>322</v>
      </c>
      <c r="B67" s="254"/>
      <c r="C67" s="254"/>
      <c r="D67" s="254"/>
      <c r="E67" s="254"/>
      <c r="F67" s="254"/>
      <c r="G67" s="254"/>
      <c r="H67" s="254"/>
      <c r="I67" s="254"/>
      <c r="J67" s="254"/>
      <c r="K67" s="254"/>
      <c r="L67" s="254"/>
      <c r="M67" s="254"/>
      <c r="N67" s="254"/>
      <c r="O67" s="254"/>
      <c r="P67" s="254"/>
      <c r="Q67" s="254"/>
      <c r="R67" s="254"/>
      <c r="S67" s="254"/>
      <c r="T67" s="254"/>
      <c r="U67" s="254"/>
      <c r="AF67" s="1" t="s">
        <v>810</v>
      </c>
      <c r="AG67" s="1" t="s">
        <v>813</v>
      </c>
      <c r="AJ67" s="1" t="s">
        <v>824</v>
      </c>
      <c r="AK67" s="1" t="s">
        <v>827</v>
      </c>
      <c r="AL67" s="1">
        <v>170</v>
      </c>
      <c r="AM67" s="1" t="s">
        <v>814</v>
      </c>
      <c r="AN67" s="1" t="s">
        <v>784</v>
      </c>
      <c r="AV67" s="1" t="str">
        <f t="shared" si="0"/>
        <v>B109Middle</v>
      </c>
      <c r="AW67" s="1">
        <f t="shared" si="1"/>
        <v>0</v>
      </c>
      <c r="AX67" s="1">
        <f t="shared" si="2"/>
        <v>0</v>
      </c>
    </row>
    <row r="68" spans="1:50" x14ac:dyDescent="0.25">
      <c r="A68" s="236" t="s">
        <v>273</v>
      </c>
      <c r="B68" s="254" t="s">
        <v>311</v>
      </c>
      <c r="C68" s="254"/>
      <c r="D68" s="254" t="s">
        <v>326</v>
      </c>
      <c r="E68" s="254"/>
      <c r="F68" s="254" t="s">
        <v>327</v>
      </c>
      <c r="G68" s="254"/>
      <c r="H68" s="254" t="s">
        <v>328</v>
      </c>
      <c r="I68" s="254"/>
      <c r="J68" s="254" t="s">
        <v>329</v>
      </c>
      <c r="K68" s="254"/>
      <c r="L68" s="254" t="s">
        <v>330</v>
      </c>
      <c r="M68" s="254"/>
      <c r="N68" s="254" t="s">
        <v>331</v>
      </c>
      <c r="O68" s="254"/>
      <c r="P68" s="294" t="s">
        <v>321</v>
      </c>
      <c r="Q68" s="294"/>
      <c r="R68" s="254" t="s">
        <v>319</v>
      </c>
      <c r="S68" s="254"/>
      <c r="T68" s="254" t="s">
        <v>320</v>
      </c>
      <c r="U68" s="254"/>
      <c r="AF68" s="1" t="s">
        <v>818</v>
      </c>
      <c r="AG68" s="1" t="s">
        <v>813</v>
      </c>
      <c r="AJ68" s="1" t="s">
        <v>824</v>
      </c>
      <c r="AK68" s="1" t="s">
        <v>827</v>
      </c>
      <c r="AL68" s="1">
        <v>170</v>
      </c>
      <c r="AM68" s="1" t="s">
        <v>814</v>
      </c>
      <c r="AN68" s="1" t="s">
        <v>785</v>
      </c>
      <c r="AO68" s="1" t="s">
        <v>776</v>
      </c>
      <c r="AP68" s="1">
        <v>-0.31080000000000002</v>
      </c>
      <c r="AQ68" s="1">
        <v>10</v>
      </c>
      <c r="AR68" s="1" t="s">
        <v>776</v>
      </c>
      <c r="AS68" s="1">
        <v>0.25469999999999998</v>
      </c>
      <c r="AT68" s="1">
        <v>9</v>
      </c>
      <c r="AV68" s="1" t="str">
        <f t="shared" si="0"/>
        <v>B109End-J</v>
      </c>
      <c r="AW68" s="1">
        <f t="shared" si="1"/>
        <v>0.1</v>
      </c>
      <c r="AX68" s="1">
        <f t="shared" si="2"/>
        <v>0.09</v>
      </c>
    </row>
    <row r="69" spans="1:50" x14ac:dyDescent="0.25">
      <c r="A69" s="236"/>
      <c r="B69" s="254"/>
      <c r="C69" s="254"/>
      <c r="D69" s="254" t="s">
        <v>305</v>
      </c>
      <c r="E69" s="254"/>
      <c r="F69" s="254" t="s">
        <v>305</v>
      </c>
      <c r="G69" s="254"/>
      <c r="H69" s="254" t="s">
        <v>305</v>
      </c>
      <c r="I69" s="254"/>
      <c r="J69" s="254" t="s">
        <v>305</v>
      </c>
      <c r="K69" s="254"/>
      <c r="L69" s="254" t="s">
        <v>305</v>
      </c>
      <c r="M69" s="254"/>
      <c r="N69" s="254" t="s">
        <v>305</v>
      </c>
      <c r="O69" s="254"/>
      <c r="P69" s="294"/>
      <c r="Q69" s="294"/>
      <c r="R69" s="254" t="s">
        <v>305</v>
      </c>
      <c r="S69" s="254"/>
      <c r="T69" s="254"/>
      <c r="U69" s="254"/>
      <c r="AF69" s="1" t="s">
        <v>819</v>
      </c>
      <c r="AG69" s="1" t="s">
        <v>813</v>
      </c>
      <c r="AJ69" s="1" t="s">
        <v>824</v>
      </c>
      <c r="AK69" s="1" t="s">
        <v>828</v>
      </c>
      <c r="AL69" s="1">
        <v>171</v>
      </c>
      <c r="AM69" s="1" t="s">
        <v>814</v>
      </c>
      <c r="AN69" s="1" t="s">
        <v>783</v>
      </c>
      <c r="AO69" s="1" t="s">
        <v>778</v>
      </c>
      <c r="AP69" s="1">
        <v>-1.9E-3</v>
      </c>
      <c r="AQ69" s="1">
        <v>4</v>
      </c>
      <c r="AR69" s="1" t="s">
        <v>778</v>
      </c>
      <c r="AS69" s="1">
        <v>5.9999999999999995E-4</v>
      </c>
      <c r="AT69" s="1">
        <v>4</v>
      </c>
      <c r="AV69" s="1" t="str">
        <f t="shared" si="0"/>
        <v>B111End-I</v>
      </c>
      <c r="AW69" s="1">
        <f t="shared" si="1"/>
        <v>0.04</v>
      </c>
      <c r="AX69" s="1">
        <f t="shared" si="2"/>
        <v>0.04</v>
      </c>
    </row>
    <row r="70" spans="1:50" x14ac:dyDescent="0.25">
      <c r="A70" s="39"/>
      <c r="B70" s="236"/>
      <c r="C70" s="236"/>
      <c r="D70" s="279"/>
      <c r="E70" s="279"/>
      <c r="F70" s="279"/>
      <c r="G70" s="279"/>
      <c r="H70" s="279"/>
      <c r="I70" s="279"/>
      <c r="J70" s="279"/>
      <c r="K70" s="279"/>
      <c r="L70" s="279"/>
      <c r="M70" s="279"/>
      <c r="N70" s="279"/>
      <c r="O70" s="279"/>
      <c r="P70" s="236"/>
      <c r="Q70" s="236"/>
      <c r="R70" s="236"/>
      <c r="S70" s="236"/>
      <c r="T70" s="278"/>
      <c r="U70" s="278"/>
      <c r="W70" s="79"/>
      <c r="X70" s="13"/>
      <c r="Y70" s="78"/>
      <c r="Z70" s="79"/>
      <c r="AA70" s="13"/>
      <c r="AF70" s="1" t="s">
        <v>820</v>
      </c>
      <c r="AG70" s="1" t="s">
        <v>813</v>
      </c>
      <c r="AJ70" s="1" t="s">
        <v>824</v>
      </c>
      <c r="AK70" s="1" t="s">
        <v>828</v>
      </c>
      <c r="AL70" s="1">
        <v>171</v>
      </c>
      <c r="AM70" s="1" t="s">
        <v>814</v>
      </c>
      <c r="AN70" s="1" t="s">
        <v>784</v>
      </c>
      <c r="AV70" s="1" t="str">
        <f t="shared" si="0"/>
        <v>B111Middle</v>
      </c>
      <c r="AW70" s="1">
        <f t="shared" si="1"/>
        <v>0</v>
      </c>
      <c r="AX70" s="1">
        <f t="shared" si="2"/>
        <v>0</v>
      </c>
    </row>
    <row r="71" spans="1:50" x14ac:dyDescent="0.25">
      <c r="A71" s="39"/>
      <c r="B71" s="236"/>
      <c r="C71" s="236"/>
      <c r="D71" s="279"/>
      <c r="E71" s="279"/>
      <c r="F71" s="279"/>
      <c r="G71" s="279"/>
      <c r="H71" s="279"/>
      <c r="I71" s="279"/>
      <c r="J71" s="279"/>
      <c r="K71" s="279"/>
      <c r="L71" s="279"/>
      <c r="M71" s="279"/>
      <c r="N71" s="279"/>
      <c r="O71" s="279"/>
      <c r="P71" s="236"/>
      <c r="Q71" s="236"/>
      <c r="R71" s="236"/>
      <c r="S71" s="236"/>
      <c r="T71" s="278"/>
      <c r="U71" s="278"/>
      <c r="W71" s="79"/>
      <c r="X71" s="13"/>
      <c r="Y71" s="78"/>
      <c r="Z71" s="79"/>
      <c r="AA71" s="13"/>
      <c r="AF71" s="1" t="s">
        <v>821</v>
      </c>
      <c r="AG71" s="1" t="s">
        <v>813</v>
      </c>
      <c r="AJ71" s="1" t="s">
        <v>824</v>
      </c>
      <c r="AK71" s="1" t="s">
        <v>828</v>
      </c>
      <c r="AL71" s="1">
        <v>171</v>
      </c>
      <c r="AM71" s="1" t="s">
        <v>814</v>
      </c>
      <c r="AN71" s="1" t="s">
        <v>785</v>
      </c>
      <c r="AO71" s="1" t="s">
        <v>778</v>
      </c>
      <c r="AP71" s="1">
        <v>-8.0999999999999996E-3</v>
      </c>
      <c r="AQ71" s="1">
        <v>4</v>
      </c>
      <c r="AR71" s="1" t="s">
        <v>778</v>
      </c>
      <c r="AS71" s="1">
        <v>2.4899999999999999E-2</v>
      </c>
      <c r="AT71" s="1">
        <v>4</v>
      </c>
      <c r="AV71" s="1" t="str">
        <f t="shared" ref="AV71:AV134" si="30">AK71&amp;AN71</f>
        <v>B111End-J</v>
      </c>
      <c r="AW71" s="1">
        <f t="shared" ref="AW71:AW134" si="31">AQ71/10^2</f>
        <v>0.04</v>
      </c>
      <c r="AX71" s="1">
        <f t="shared" ref="AX71:AX134" si="32">AT71/10^2</f>
        <v>0.04</v>
      </c>
    </row>
    <row r="72" spans="1:50" x14ac:dyDescent="0.25">
      <c r="A72" s="39"/>
      <c r="B72" s="236"/>
      <c r="C72" s="236"/>
      <c r="D72" s="279"/>
      <c r="E72" s="279"/>
      <c r="F72" s="279"/>
      <c r="G72" s="279"/>
      <c r="H72" s="279"/>
      <c r="I72" s="279"/>
      <c r="J72" s="279"/>
      <c r="K72" s="279"/>
      <c r="L72" s="279"/>
      <c r="M72" s="279"/>
      <c r="N72" s="279"/>
      <c r="O72" s="279"/>
      <c r="P72" s="236"/>
      <c r="Q72" s="236"/>
      <c r="R72" s="236"/>
      <c r="S72" s="236"/>
      <c r="T72" s="278"/>
      <c r="U72" s="278"/>
      <c r="W72" s="79"/>
      <c r="X72" s="13"/>
      <c r="Y72" s="78"/>
      <c r="Z72" s="79"/>
      <c r="AA72" s="13"/>
      <c r="AF72" s="1" t="s">
        <v>822</v>
      </c>
      <c r="AG72" s="1" t="s">
        <v>813</v>
      </c>
      <c r="AJ72" s="1" t="s">
        <v>824</v>
      </c>
      <c r="AK72" s="1" t="s">
        <v>829</v>
      </c>
      <c r="AL72" s="1">
        <v>172</v>
      </c>
      <c r="AM72" s="1" t="s">
        <v>814</v>
      </c>
      <c r="AN72" s="1" t="s">
        <v>783</v>
      </c>
      <c r="AO72" s="1" t="s">
        <v>778</v>
      </c>
      <c r="AP72" s="1">
        <v>-0.03</v>
      </c>
      <c r="AQ72" s="1">
        <v>3</v>
      </c>
      <c r="AR72" s="1" t="s">
        <v>780</v>
      </c>
      <c r="AS72" s="1">
        <v>5.1000000000000004E-3</v>
      </c>
      <c r="AT72" s="1">
        <v>3</v>
      </c>
      <c r="AV72" s="1" t="str">
        <f t="shared" si="30"/>
        <v>B114End-I</v>
      </c>
      <c r="AW72" s="1">
        <f t="shared" si="31"/>
        <v>0.03</v>
      </c>
      <c r="AX72" s="1">
        <f t="shared" si="32"/>
        <v>0.03</v>
      </c>
    </row>
    <row r="73" spans="1:50" x14ac:dyDescent="0.25">
      <c r="A73" s="39"/>
      <c r="B73" s="236"/>
      <c r="C73" s="236"/>
      <c r="D73" s="279"/>
      <c r="E73" s="279"/>
      <c r="F73" s="279"/>
      <c r="G73" s="279"/>
      <c r="H73" s="279"/>
      <c r="I73" s="279"/>
      <c r="J73" s="279"/>
      <c r="K73" s="279"/>
      <c r="L73" s="279"/>
      <c r="M73" s="279"/>
      <c r="N73" s="279"/>
      <c r="O73" s="279"/>
      <c r="P73" s="236"/>
      <c r="Q73" s="236"/>
      <c r="R73" s="236"/>
      <c r="S73" s="236"/>
      <c r="T73" s="278"/>
      <c r="U73" s="278"/>
      <c r="W73" s="79"/>
      <c r="X73" s="13"/>
      <c r="Y73" s="78"/>
      <c r="Z73" s="79"/>
      <c r="AA73" s="13"/>
      <c r="AF73" s="1" t="s">
        <v>823</v>
      </c>
      <c r="AG73" s="1" t="s">
        <v>814</v>
      </c>
      <c r="AJ73" s="1" t="s">
        <v>824</v>
      </c>
      <c r="AK73" s="1" t="s">
        <v>829</v>
      </c>
      <c r="AL73" s="1">
        <v>172</v>
      </c>
      <c r="AM73" s="1" t="s">
        <v>814</v>
      </c>
      <c r="AN73" s="1" t="s">
        <v>784</v>
      </c>
      <c r="AV73" s="1" t="str">
        <f t="shared" si="30"/>
        <v>B114Middle</v>
      </c>
      <c r="AW73" s="1">
        <f t="shared" si="31"/>
        <v>0</v>
      </c>
      <c r="AX73" s="1">
        <f t="shared" si="32"/>
        <v>0</v>
      </c>
    </row>
    <row r="74" spans="1:50" x14ac:dyDescent="0.25">
      <c r="A74" s="39"/>
      <c r="B74" s="236"/>
      <c r="C74" s="236"/>
      <c r="D74" s="279"/>
      <c r="E74" s="279"/>
      <c r="F74" s="279"/>
      <c r="G74" s="279"/>
      <c r="H74" s="279"/>
      <c r="I74" s="279"/>
      <c r="J74" s="279"/>
      <c r="K74" s="279"/>
      <c r="L74" s="279"/>
      <c r="M74" s="279"/>
      <c r="N74" s="279"/>
      <c r="O74" s="279"/>
      <c r="P74" s="236"/>
      <c r="Q74" s="236"/>
      <c r="R74" s="236"/>
      <c r="S74" s="236"/>
      <c r="T74" s="278"/>
      <c r="U74" s="278"/>
      <c r="W74" s="79"/>
      <c r="X74" s="13"/>
      <c r="Y74" s="78"/>
      <c r="Z74" s="79"/>
      <c r="AA74" s="13"/>
      <c r="AF74" s="1" t="s">
        <v>827</v>
      </c>
      <c r="AG74" s="1" t="s">
        <v>814</v>
      </c>
      <c r="AJ74" s="1" t="s">
        <v>824</v>
      </c>
      <c r="AK74" s="1" t="s">
        <v>829</v>
      </c>
      <c r="AL74" s="1">
        <v>172</v>
      </c>
      <c r="AM74" s="1" t="s">
        <v>814</v>
      </c>
      <c r="AN74" s="1" t="s">
        <v>785</v>
      </c>
      <c r="AO74" s="1" t="s">
        <v>780</v>
      </c>
      <c r="AP74" s="1">
        <v>-3.7000000000000002E-3</v>
      </c>
      <c r="AQ74" s="1">
        <v>3</v>
      </c>
      <c r="AR74" s="1" t="s">
        <v>780</v>
      </c>
      <c r="AS74" s="1">
        <v>9.5999999999999992E-3</v>
      </c>
      <c r="AT74" s="1">
        <v>3</v>
      </c>
      <c r="AV74" s="1" t="str">
        <f t="shared" si="30"/>
        <v>B114End-J</v>
      </c>
      <c r="AW74" s="1">
        <f t="shared" si="31"/>
        <v>0.03</v>
      </c>
      <c r="AX74" s="1">
        <f t="shared" si="32"/>
        <v>0.03</v>
      </c>
    </row>
    <row r="75" spans="1:50" x14ac:dyDescent="0.25">
      <c r="A75" s="39"/>
      <c r="B75" s="236"/>
      <c r="C75" s="236"/>
      <c r="D75" s="279"/>
      <c r="E75" s="279"/>
      <c r="F75" s="279"/>
      <c r="G75" s="279"/>
      <c r="H75" s="279"/>
      <c r="I75" s="279"/>
      <c r="J75" s="279"/>
      <c r="K75" s="279"/>
      <c r="L75" s="279"/>
      <c r="M75" s="279"/>
      <c r="N75" s="279"/>
      <c r="O75" s="279"/>
      <c r="P75" s="236"/>
      <c r="Q75" s="236"/>
      <c r="R75" s="236"/>
      <c r="S75" s="236"/>
      <c r="T75" s="278"/>
      <c r="U75" s="278"/>
      <c r="W75" s="79"/>
      <c r="X75" s="13"/>
      <c r="Y75" s="78"/>
      <c r="Z75" s="79"/>
      <c r="AA75" s="13"/>
      <c r="AF75" s="1" t="s">
        <v>828</v>
      </c>
      <c r="AG75" s="1" t="s">
        <v>814</v>
      </c>
      <c r="AJ75" s="1" t="s">
        <v>824</v>
      </c>
      <c r="AK75" s="1" t="s">
        <v>830</v>
      </c>
      <c r="AL75" s="1">
        <v>173</v>
      </c>
      <c r="AM75" s="1" t="s">
        <v>814</v>
      </c>
      <c r="AN75" s="1" t="s">
        <v>783</v>
      </c>
      <c r="AO75" s="1" t="s">
        <v>776</v>
      </c>
      <c r="AP75" s="1">
        <v>-1.7000000000000001E-2</v>
      </c>
      <c r="AQ75" s="1">
        <v>4</v>
      </c>
      <c r="AR75" s="1" t="s">
        <v>776</v>
      </c>
      <c r="AS75" s="1">
        <v>5.7000000000000002E-3</v>
      </c>
      <c r="AT75" s="1">
        <v>3</v>
      </c>
      <c r="AV75" s="1" t="str">
        <f t="shared" si="30"/>
        <v>B118End-I</v>
      </c>
      <c r="AW75" s="1">
        <f t="shared" si="31"/>
        <v>0.04</v>
      </c>
      <c r="AX75" s="1">
        <f t="shared" si="32"/>
        <v>0.03</v>
      </c>
    </row>
    <row r="76" spans="1:50" x14ac:dyDescent="0.25">
      <c r="A76" s="39"/>
      <c r="B76" s="236"/>
      <c r="C76" s="236"/>
      <c r="D76" s="279"/>
      <c r="E76" s="279"/>
      <c r="F76" s="279"/>
      <c r="G76" s="279"/>
      <c r="H76" s="279"/>
      <c r="I76" s="279"/>
      <c r="J76" s="279"/>
      <c r="K76" s="279"/>
      <c r="L76" s="279"/>
      <c r="M76" s="279"/>
      <c r="N76" s="279"/>
      <c r="O76" s="279"/>
      <c r="P76" s="236"/>
      <c r="Q76" s="236"/>
      <c r="R76" s="236"/>
      <c r="S76" s="236"/>
      <c r="T76" s="278"/>
      <c r="U76" s="278"/>
      <c r="W76" s="79"/>
      <c r="X76" s="13"/>
      <c r="Y76" s="78"/>
      <c r="Z76" s="79"/>
      <c r="AA76" s="13"/>
      <c r="AF76" s="1" t="s">
        <v>829</v>
      </c>
      <c r="AG76" s="1" t="s">
        <v>814</v>
      </c>
      <c r="AJ76" s="1" t="s">
        <v>824</v>
      </c>
      <c r="AK76" s="1" t="s">
        <v>830</v>
      </c>
      <c r="AL76" s="1">
        <v>173</v>
      </c>
      <c r="AM76" s="1" t="s">
        <v>814</v>
      </c>
      <c r="AN76" s="1" t="s">
        <v>784</v>
      </c>
      <c r="AV76" s="1" t="str">
        <f t="shared" si="30"/>
        <v>B118Middle</v>
      </c>
      <c r="AW76" s="1">
        <f t="shared" si="31"/>
        <v>0</v>
      </c>
      <c r="AX76" s="1">
        <f t="shared" si="32"/>
        <v>0</v>
      </c>
    </row>
    <row r="77" spans="1:50" x14ac:dyDescent="0.25">
      <c r="A77" s="39"/>
      <c r="B77" s="236"/>
      <c r="C77" s="236"/>
      <c r="D77" s="279"/>
      <c r="E77" s="279"/>
      <c r="F77" s="279"/>
      <c r="G77" s="279"/>
      <c r="H77" s="279"/>
      <c r="I77" s="279"/>
      <c r="J77" s="279"/>
      <c r="K77" s="279"/>
      <c r="L77" s="279"/>
      <c r="M77" s="279"/>
      <c r="N77" s="279"/>
      <c r="O77" s="279"/>
      <c r="P77" s="236"/>
      <c r="Q77" s="236"/>
      <c r="R77" s="236"/>
      <c r="S77" s="236"/>
      <c r="T77" s="278"/>
      <c r="U77" s="278"/>
      <c r="W77" s="79"/>
      <c r="X77" s="13"/>
      <c r="Y77" s="78"/>
      <c r="Z77" s="79"/>
      <c r="AA77" s="13"/>
      <c r="AF77" s="1" t="s">
        <v>830</v>
      </c>
      <c r="AG77" s="1" t="s">
        <v>814</v>
      </c>
      <c r="AJ77" s="1" t="s">
        <v>824</v>
      </c>
      <c r="AK77" s="1" t="s">
        <v>830</v>
      </c>
      <c r="AL77" s="1">
        <v>173</v>
      </c>
      <c r="AM77" s="1" t="s">
        <v>814</v>
      </c>
      <c r="AN77" s="1" t="s">
        <v>785</v>
      </c>
      <c r="AO77" s="1" t="s">
        <v>777</v>
      </c>
      <c r="AP77" s="1">
        <v>-3.7000000000000002E-3</v>
      </c>
      <c r="AQ77" s="1">
        <v>3</v>
      </c>
      <c r="AR77" s="1" t="s">
        <v>776</v>
      </c>
      <c r="AS77" s="1">
        <v>2.6599999999999999E-2</v>
      </c>
      <c r="AT77" s="1">
        <v>3</v>
      </c>
      <c r="AV77" s="1" t="str">
        <f t="shared" si="30"/>
        <v>B118End-J</v>
      </c>
      <c r="AW77" s="1">
        <f t="shared" si="31"/>
        <v>0.03</v>
      </c>
      <c r="AX77" s="1">
        <f t="shared" si="32"/>
        <v>0.03</v>
      </c>
    </row>
    <row r="78" spans="1:50" x14ac:dyDescent="0.25">
      <c r="A78" s="39"/>
      <c r="B78" s="236"/>
      <c r="C78" s="236"/>
      <c r="D78" s="279"/>
      <c r="E78" s="279"/>
      <c r="F78" s="279"/>
      <c r="G78" s="279"/>
      <c r="H78" s="279"/>
      <c r="I78" s="279"/>
      <c r="J78" s="279"/>
      <c r="K78" s="279"/>
      <c r="L78" s="279"/>
      <c r="M78" s="279"/>
      <c r="N78" s="279"/>
      <c r="O78" s="279"/>
      <c r="P78" s="236"/>
      <c r="Q78" s="236"/>
      <c r="R78" s="236"/>
      <c r="S78" s="236"/>
      <c r="T78" s="278"/>
      <c r="U78" s="278"/>
      <c r="W78" s="79"/>
      <c r="X78" s="13"/>
      <c r="Y78" s="78"/>
      <c r="Z78" s="79"/>
      <c r="AA78" s="13"/>
      <c r="AJ78" s="1" t="s">
        <v>825</v>
      </c>
      <c r="AK78" s="1" t="s">
        <v>303</v>
      </c>
      <c r="AL78" s="1">
        <v>168</v>
      </c>
      <c r="AM78" s="1" t="s">
        <v>813</v>
      </c>
      <c r="AN78" s="1" t="s">
        <v>783</v>
      </c>
      <c r="AO78" s="1" t="s">
        <v>777</v>
      </c>
      <c r="AP78" s="1">
        <v>-0.26910000000000001</v>
      </c>
      <c r="AQ78" s="1">
        <v>440</v>
      </c>
      <c r="AR78" s="1" t="s">
        <v>777</v>
      </c>
      <c r="AS78" s="1">
        <v>0.13450000000000001</v>
      </c>
      <c r="AT78" s="1">
        <v>440</v>
      </c>
      <c r="AV78" s="1" t="str">
        <f t="shared" si="30"/>
        <v>B2End-I</v>
      </c>
      <c r="AW78" s="1">
        <f t="shared" si="31"/>
        <v>4.4000000000000004</v>
      </c>
      <c r="AX78" s="1">
        <f t="shared" si="32"/>
        <v>4.4000000000000004</v>
      </c>
    </row>
    <row r="79" spans="1:50" x14ac:dyDescent="0.25">
      <c r="A79" s="39"/>
      <c r="B79" s="236"/>
      <c r="C79" s="236"/>
      <c r="D79" s="279"/>
      <c r="E79" s="279"/>
      <c r="F79" s="279"/>
      <c r="G79" s="279"/>
      <c r="H79" s="279"/>
      <c r="I79" s="279"/>
      <c r="J79" s="279"/>
      <c r="K79" s="279"/>
      <c r="L79" s="279"/>
      <c r="M79" s="279"/>
      <c r="N79" s="279"/>
      <c r="O79" s="279"/>
      <c r="P79" s="236"/>
      <c r="Q79" s="236"/>
      <c r="R79" s="236"/>
      <c r="S79" s="236"/>
      <c r="T79" s="278"/>
      <c r="U79" s="278"/>
      <c r="W79" s="79"/>
      <c r="X79" s="13"/>
      <c r="Y79" s="78"/>
      <c r="Z79" s="79"/>
      <c r="AA79" s="13"/>
      <c r="AJ79" s="1" t="s">
        <v>825</v>
      </c>
      <c r="AK79" s="1" t="s">
        <v>303</v>
      </c>
      <c r="AL79" s="1">
        <v>168</v>
      </c>
      <c r="AM79" s="1" t="s">
        <v>813</v>
      </c>
      <c r="AN79" s="1" t="s">
        <v>784</v>
      </c>
      <c r="AO79" s="1" t="s">
        <v>812</v>
      </c>
      <c r="AP79" s="1">
        <v>-6.5983000000000001</v>
      </c>
      <c r="AQ79" s="1">
        <v>440</v>
      </c>
      <c r="AR79" s="1" t="s">
        <v>812</v>
      </c>
      <c r="AS79" s="1">
        <v>3.5363000000000002</v>
      </c>
      <c r="AT79" s="1">
        <v>440</v>
      </c>
      <c r="AV79" s="1" t="str">
        <f t="shared" si="30"/>
        <v>B2Middle</v>
      </c>
      <c r="AW79" s="1">
        <f t="shared" si="31"/>
        <v>4.4000000000000004</v>
      </c>
      <c r="AX79" s="1">
        <f t="shared" si="32"/>
        <v>4.4000000000000004</v>
      </c>
    </row>
    <row r="80" spans="1:50" x14ac:dyDescent="0.25">
      <c r="A80" s="39"/>
      <c r="B80" s="236"/>
      <c r="C80" s="236"/>
      <c r="D80" s="279"/>
      <c r="E80" s="279"/>
      <c r="F80" s="279"/>
      <c r="G80" s="279"/>
      <c r="H80" s="279"/>
      <c r="I80" s="279"/>
      <c r="J80" s="279"/>
      <c r="K80" s="279"/>
      <c r="L80" s="279"/>
      <c r="M80" s="279"/>
      <c r="N80" s="279"/>
      <c r="O80" s="279"/>
      <c r="P80" s="236"/>
      <c r="Q80" s="236"/>
      <c r="R80" s="236"/>
      <c r="S80" s="236"/>
      <c r="T80" s="278"/>
      <c r="U80" s="278"/>
      <c r="W80" s="79"/>
      <c r="X80" s="13"/>
      <c r="Y80" s="78"/>
      <c r="Z80" s="79"/>
      <c r="AA80" s="13"/>
      <c r="AJ80" s="1" t="s">
        <v>825</v>
      </c>
      <c r="AK80" s="1" t="s">
        <v>303</v>
      </c>
      <c r="AL80" s="1">
        <v>168</v>
      </c>
      <c r="AM80" s="1" t="s">
        <v>813</v>
      </c>
      <c r="AN80" s="1" t="s">
        <v>785</v>
      </c>
      <c r="AO80" s="1" t="s">
        <v>812</v>
      </c>
      <c r="AP80" s="1">
        <v>-14.145200000000001</v>
      </c>
      <c r="AQ80" s="1">
        <v>440</v>
      </c>
      <c r="AR80" s="1" t="s">
        <v>812</v>
      </c>
      <c r="AS80" s="1">
        <v>7.0726000000000004</v>
      </c>
      <c r="AT80" s="1">
        <v>440</v>
      </c>
      <c r="AV80" s="1" t="str">
        <f t="shared" si="30"/>
        <v>B2End-J</v>
      </c>
      <c r="AW80" s="1">
        <f t="shared" si="31"/>
        <v>4.4000000000000004</v>
      </c>
      <c r="AX80" s="1">
        <f t="shared" si="32"/>
        <v>4.4000000000000004</v>
      </c>
    </row>
    <row r="81" spans="1:50" x14ac:dyDescent="0.25">
      <c r="A81" s="39"/>
      <c r="B81" s="236"/>
      <c r="C81" s="236"/>
      <c r="D81" s="279"/>
      <c r="E81" s="279"/>
      <c r="F81" s="279"/>
      <c r="G81" s="279"/>
      <c r="H81" s="279"/>
      <c r="I81" s="279"/>
      <c r="J81" s="279"/>
      <c r="K81" s="279"/>
      <c r="L81" s="279"/>
      <c r="M81" s="279"/>
      <c r="N81" s="279"/>
      <c r="O81" s="279"/>
      <c r="P81" s="236"/>
      <c r="Q81" s="236"/>
      <c r="R81" s="236"/>
      <c r="S81" s="236"/>
      <c r="T81" s="278"/>
      <c r="U81" s="278"/>
      <c r="W81" s="79"/>
      <c r="X81" s="13"/>
      <c r="Y81" s="78"/>
      <c r="Z81" s="79"/>
      <c r="AA81" s="13"/>
      <c r="AJ81" s="1" t="s">
        <v>825</v>
      </c>
      <c r="AK81" s="1" t="s">
        <v>768</v>
      </c>
      <c r="AL81" s="1">
        <v>180</v>
      </c>
      <c r="AM81" s="1" t="s">
        <v>813</v>
      </c>
      <c r="AN81" s="1" t="s">
        <v>783</v>
      </c>
      <c r="AO81" s="1" t="s">
        <v>776</v>
      </c>
      <c r="AP81" s="1">
        <v>-0.29470000000000002</v>
      </c>
      <c r="AQ81" s="1">
        <v>440</v>
      </c>
      <c r="AR81" s="1" t="s">
        <v>776</v>
      </c>
      <c r="AS81" s="1">
        <v>0.1474</v>
      </c>
      <c r="AT81" s="1">
        <v>440</v>
      </c>
      <c r="AV81" s="1" t="str">
        <f t="shared" si="30"/>
        <v>B8End-I</v>
      </c>
      <c r="AW81" s="1">
        <f t="shared" si="31"/>
        <v>4.4000000000000004</v>
      </c>
      <c r="AX81" s="1">
        <f t="shared" si="32"/>
        <v>4.4000000000000004</v>
      </c>
    </row>
    <row r="82" spans="1:50" x14ac:dyDescent="0.25">
      <c r="A82" s="39"/>
      <c r="B82" s="236"/>
      <c r="C82" s="236"/>
      <c r="D82" s="279"/>
      <c r="E82" s="279"/>
      <c r="F82" s="279"/>
      <c r="G82" s="279"/>
      <c r="H82" s="279"/>
      <c r="I82" s="279"/>
      <c r="J82" s="279"/>
      <c r="K82" s="279"/>
      <c r="L82" s="279"/>
      <c r="M82" s="279"/>
      <c r="N82" s="279"/>
      <c r="O82" s="279"/>
      <c r="P82" s="236"/>
      <c r="Q82" s="236"/>
      <c r="R82" s="236"/>
      <c r="S82" s="236"/>
      <c r="T82" s="278"/>
      <c r="U82" s="278"/>
      <c r="W82" s="79"/>
      <c r="X82" s="13"/>
      <c r="Y82" s="78"/>
      <c r="Z82" s="79"/>
      <c r="AA82" s="13"/>
      <c r="AJ82" s="1" t="s">
        <v>825</v>
      </c>
      <c r="AK82" s="1" t="s">
        <v>768</v>
      </c>
      <c r="AL82" s="1">
        <v>180</v>
      </c>
      <c r="AM82" s="1" t="s">
        <v>813</v>
      </c>
      <c r="AN82" s="1" t="s">
        <v>784</v>
      </c>
      <c r="AO82" s="1" t="s">
        <v>816</v>
      </c>
      <c r="AP82" s="1">
        <v>-6.6304999999999996</v>
      </c>
      <c r="AQ82" s="1">
        <v>440</v>
      </c>
      <c r="AR82" s="1" t="s">
        <v>816</v>
      </c>
      <c r="AS82" s="1">
        <v>3.5438000000000001</v>
      </c>
      <c r="AT82" s="1">
        <v>440</v>
      </c>
      <c r="AV82" s="1" t="str">
        <f t="shared" si="30"/>
        <v>B8Middle</v>
      </c>
      <c r="AW82" s="1">
        <f t="shared" si="31"/>
        <v>4.4000000000000004</v>
      </c>
      <c r="AX82" s="1">
        <f t="shared" si="32"/>
        <v>4.4000000000000004</v>
      </c>
    </row>
    <row r="83" spans="1:50" x14ac:dyDescent="0.25">
      <c r="A83" s="39"/>
      <c r="B83" s="236"/>
      <c r="C83" s="236"/>
      <c r="D83" s="279"/>
      <c r="E83" s="279"/>
      <c r="F83" s="279"/>
      <c r="G83" s="279"/>
      <c r="H83" s="279"/>
      <c r="I83" s="279"/>
      <c r="J83" s="279"/>
      <c r="K83" s="279"/>
      <c r="L83" s="279"/>
      <c r="M83" s="279"/>
      <c r="N83" s="279"/>
      <c r="O83" s="279"/>
      <c r="P83" s="236"/>
      <c r="Q83" s="236"/>
      <c r="R83" s="236"/>
      <c r="S83" s="236"/>
      <c r="T83" s="278"/>
      <c r="U83" s="278"/>
      <c r="W83" s="79"/>
      <c r="X83" s="13"/>
      <c r="Y83" s="78"/>
      <c r="Z83" s="79"/>
      <c r="AA83" s="13"/>
      <c r="AJ83" s="1" t="s">
        <v>825</v>
      </c>
      <c r="AK83" s="1" t="s">
        <v>768</v>
      </c>
      <c r="AL83" s="1">
        <v>180</v>
      </c>
      <c r="AM83" s="1" t="s">
        <v>813</v>
      </c>
      <c r="AN83" s="1" t="s">
        <v>785</v>
      </c>
      <c r="AO83" s="1" t="s">
        <v>816</v>
      </c>
      <c r="AP83" s="1">
        <v>-14.1753</v>
      </c>
      <c r="AQ83" s="1">
        <v>440</v>
      </c>
      <c r="AR83" s="1" t="s">
        <v>816</v>
      </c>
      <c r="AS83" s="1">
        <v>7.0876000000000001</v>
      </c>
      <c r="AT83" s="1">
        <v>440</v>
      </c>
      <c r="AV83" s="1" t="str">
        <f t="shared" si="30"/>
        <v>B8End-J</v>
      </c>
      <c r="AW83" s="1">
        <f t="shared" si="31"/>
        <v>4.4000000000000004</v>
      </c>
      <c r="AX83" s="1">
        <f t="shared" si="32"/>
        <v>4.4000000000000004</v>
      </c>
    </row>
    <row r="84" spans="1:50" x14ac:dyDescent="0.25">
      <c r="A84" s="39"/>
      <c r="B84" s="236"/>
      <c r="C84" s="236"/>
      <c r="D84" s="279"/>
      <c r="E84" s="279"/>
      <c r="F84" s="279"/>
      <c r="G84" s="279"/>
      <c r="H84" s="279"/>
      <c r="I84" s="279"/>
      <c r="J84" s="279"/>
      <c r="K84" s="279"/>
      <c r="L84" s="279"/>
      <c r="M84" s="279"/>
      <c r="N84" s="279"/>
      <c r="O84" s="279"/>
      <c r="P84" s="236"/>
      <c r="Q84" s="236"/>
      <c r="R84" s="236"/>
      <c r="S84" s="236"/>
      <c r="T84" s="278"/>
      <c r="U84" s="278"/>
      <c r="W84" s="79"/>
      <c r="X84" s="13"/>
      <c r="Y84" s="78"/>
      <c r="Z84" s="79"/>
      <c r="AA84" s="13"/>
      <c r="AJ84" s="1" t="s">
        <v>825</v>
      </c>
      <c r="AK84" s="1" t="s">
        <v>769</v>
      </c>
      <c r="AL84" s="1">
        <v>95</v>
      </c>
      <c r="AM84" s="1" t="s">
        <v>814</v>
      </c>
      <c r="AN84" s="1" t="s">
        <v>783</v>
      </c>
      <c r="AO84" s="1" t="s">
        <v>776</v>
      </c>
      <c r="AP84" s="1">
        <v>-156.53919999999999</v>
      </c>
      <c r="AQ84" s="1">
        <v>1039</v>
      </c>
      <c r="AR84" s="1" t="s">
        <v>776</v>
      </c>
      <c r="AS84" s="1">
        <v>78.269599999999997</v>
      </c>
      <c r="AT84" s="1">
        <v>518</v>
      </c>
      <c r="AV84" s="1" t="str">
        <f t="shared" si="30"/>
        <v>B9End-I</v>
      </c>
      <c r="AW84" s="1">
        <f t="shared" si="31"/>
        <v>10.39</v>
      </c>
      <c r="AX84" s="1">
        <f t="shared" si="32"/>
        <v>5.18</v>
      </c>
    </row>
    <row r="85" spans="1:50" x14ac:dyDescent="0.25">
      <c r="A85" s="39"/>
      <c r="B85" s="236"/>
      <c r="C85" s="236"/>
      <c r="D85" s="279"/>
      <c r="E85" s="279"/>
      <c r="F85" s="279"/>
      <c r="G85" s="279"/>
      <c r="H85" s="279"/>
      <c r="I85" s="279"/>
      <c r="J85" s="279"/>
      <c r="K85" s="279"/>
      <c r="L85" s="279"/>
      <c r="M85" s="279"/>
      <c r="N85" s="279"/>
      <c r="O85" s="279"/>
      <c r="P85" s="236"/>
      <c r="Q85" s="236"/>
      <c r="R85" s="236"/>
      <c r="S85" s="236"/>
      <c r="T85" s="278"/>
      <c r="U85" s="278"/>
      <c r="W85" s="79"/>
      <c r="X85" s="13"/>
      <c r="Y85" s="78"/>
      <c r="Z85" s="79"/>
      <c r="AA85" s="13"/>
      <c r="AJ85" s="1" t="s">
        <v>825</v>
      </c>
      <c r="AK85" s="1" t="s">
        <v>769</v>
      </c>
      <c r="AL85" s="1">
        <v>95</v>
      </c>
      <c r="AM85" s="1" t="s">
        <v>814</v>
      </c>
      <c r="AN85" s="1" t="s">
        <v>784</v>
      </c>
      <c r="AO85" s="1" t="s">
        <v>776</v>
      </c>
      <c r="AP85" s="1">
        <v>-39.642699999999998</v>
      </c>
      <c r="AQ85" s="1">
        <v>513</v>
      </c>
      <c r="AR85" s="1" t="s">
        <v>782</v>
      </c>
      <c r="AS85" s="1">
        <v>115.57089999999999</v>
      </c>
      <c r="AT85" s="1">
        <v>740</v>
      </c>
      <c r="AV85" s="1" t="str">
        <f t="shared" si="30"/>
        <v>B9Middle</v>
      </c>
      <c r="AW85" s="1">
        <f t="shared" si="31"/>
        <v>5.13</v>
      </c>
      <c r="AX85" s="1">
        <f t="shared" si="32"/>
        <v>7.4</v>
      </c>
    </row>
    <row r="86" spans="1:50" x14ac:dyDescent="0.25">
      <c r="A86" s="39"/>
      <c r="B86" s="236"/>
      <c r="C86" s="236"/>
      <c r="D86" s="279"/>
      <c r="E86" s="279"/>
      <c r="F86" s="279"/>
      <c r="G86" s="279"/>
      <c r="H86" s="279"/>
      <c r="I86" s="279"/>
      <c r="J86" s="279"/>
      <c r="K86" s="279"/>
      <c r="L86" s="279"/>
      <c r="M86" s="279"/>
      <c r="N86" s="279"/>
      <c r="O86" s="279"/>
      <c r="P86" s="236"/>
      <c r="Q86" s="236"/>
      <c r="R86" s="236"/>
      <c r="S86" s="236"/>
      <c r="T86" s="278"/>
      <c r="U86" s="278"/>
      <c r="W86" s="79"/>
      <c r="X86" s="13"/>
      <c r="Y86" s="78"/>
      <c r="Z86" s="79"/>
      <c r="AA86" s="13"/>
      <c r="AJ86" s="1" t="s">
        <v>825</v>
      </c>
      <c r="AK86" s="1" t="s">
        <v>769</v>
      </c>
      <c r="AL86" s="1">
        <v>95</v>
      </c>
      <c r="AM86" s="1" t="s">
        <v>814</v>
      </c>
      <c r="AN86" s="1" t="s">
        <v>785</v>
      </c>
      <c r="AO86" s="1" t="s">
        <v>776</v>
      </c>
      <c r="AP86" s="1">
        <v>-158.57089999999999</v>
      </c>
      <c r="AQ86" s="1">
        <v>1051</v>
      </c>
      <c r="AR86" s="1" t="s">
        <v>776</v>
      </c>
      <c r="AS86" s="1">
        <v>79.285399999999996</v>
      </c>
      <c r="AT86" s="1">
        <v>522</v>
      </c>
      <c r="AV86" s="1" t="str">
        <f t="shared" si="30"/>
        <v>B9End-J</v>
      </c>
      <c r="AW86" s="1">
        <f t="shared" si="31"/>
        <v>10.51</v>
      </c>
      <c r="AX86" s="1">
        <f t="shared" si="32"/>
        <v>5.22</v>
      </c>
    </row>
    <row r="87" spans="1:50" x14ac:dyDescent="0.25">
      <c r="A87" s="39"/>
      <c r="B87" s="236"/>
      <c r="C87" s="236"/>
      <c r="D87" s="279"/>
      <c r="E87" s="279"/>
      <c r="F87" s="279"/>
      <c r="G87" s="279"/>
      <c r="H87" s="279"/>
      <c r="I87" s="279"/>
      <c r="J87" s="279"/>
      <c r="K87" s="279"/>
      <c r="L87" s="279"/>
      <c r="M87" s="279"/>
      <c r="N87" s="279"/>
      <c r="O87" s="279"/>
      <c r="P87" s="236"/>
      <c r="Q87" s="236"/>
      <c r="R87" s="236"/>
      <c r="S87" s="236"/>
      <c r="T87" s="278"/>
      <c r="U87" s="278"/>
      <c r="W87" s="79"/>
      <c r="X87" s="13"/>
      <c r="Y87" s="78"/>
      <c r="Z87" s="79"/>
      <c r="AA87" s="13"/>
      <c r="AJ87" s="1" t="s">
        <v>825</v>
      </c>
      <c r="AK87" s="1" t="s">
        <v>770</v>
      </c>
      <c r="AL87" s="1">
        <v>203</v>
      </c>
      <c r="AM87" s="1" t="s">
        <v>814</v>
      </c>
      <c r="AN87" s="1" t="s">
        <v>783</v>
      </c>
      <c r="AO87" s="1" t="s">
        <v>776</v>
      </c>
      <c r="AP87" s="1">
        <v>-0.31590000000000001</v>
      </c>
      <c r="AQ87" s="1">
        <v>5</v>
      </c>
      <c r="AR87" s="1" t="s">
        <v>777</v>
      </c>
      <c r="AS87" s="1">
        <v>0.26350000000000001</v>
      </c>
      <c r="AT87" s="1">
        <v>5</v>
      </c>
      <c r="AV87" s="1" t="str">
        <f t="shared" si="30"/>
        <v>B10End-I</v>
      </c>
      <c r="AW87" s="1">
        <f t="shared" si="31"/>
        <v>0.05</v>
      </c>
      <c r="AX87" s="1">
        <f t="shared" si="32"/>
        <v>0.05</v>
      </c>
    </row>
    <row r="88" spans="1:50" x14ac:dyDescent="0.25">
      <c r="A88" s="39"/>
      <c r="B88" s="236"/>
      <c r="C88" s="236"/>
      <c r="D88" s="279"/>
      <c r="E88" s="279"/>
      <c r="F88" s="279"/>
      <c r="G88" s="279"/>
      <c r="H88" s="279"/>
      <c r="I88" s="279"/>
      <c r="J88" s="279"/>
      <c r="K88" s="279"/>
      <c r="L88" s="279"/>
      <c r="M88" s="279"/>
      <c r="N88" s="279"/>
      <c r="O88" s="279"/>
      <c r="P88" s="236"/>
      <c r="Q88" s="236"/>
      <c r="R88" s="236"/>
      <c r="S88" s="236"/>
      <c r="T88" s="278"/>
      <c r="U88" s="278"/>
      <c r="W88" s="79"/>
      <c r="X88" s="13"/>
      <c r="Y88" s="78"/>
      <c r="Z88" s="79"/>
      <c r="AA88" s="13"/>
      <c r="AJ88" s="1" t="s">
        <v>825</v>
      </c>
      <c r="AK88" s="1" t="s">
        <v>770</v>
      </c>
      <c r="AL88" s="1">
        <v>203</v>
      </c>
      <c r="AM88" s="1" t="s">
        <v>814</v>
      </c>
      <c r="AN88" s="1" t="s">
        <v>784</v>
      </c>
      <c r="AV88" s="1" t="str">
        <f t="shared" si="30"/>
        <v>B10Middle</v>
      </c>
      <c r="AW88" s="1">
        <f t="shared" si="31"/>
        <v>0</v>
      </c>
      <c r="AX88" s="1">
        <f t="shared" si="32"/>
        <v>0</v>
      </c>
    </row>
    <row r="89" spans="1:50" x14ac:dyDescent="0.25">
      <c r="A89" s="39"/>
      <c r="B89" s="236"/>
      <c r="C89" s="236"/>
      <c r="D89" s="279"/>
      <c r="E89" s="279"/>
      <c r="F89" s="279"/>
      <c r="G89" s="279"/>
      <c r="H89" s="279"/>
      <c r="I89" s="279"/>
      <c r="J89" s="279"/>
      <c r="K89" s="279"/>
      <c r="L89" s="279"/>
      <c r="M89" s="279"/>
      <c r="N89" s="279"/>
      <c r="O89" s="279"/>
      <c r="P89" s="236"/>
      <c r="Q89" s="236"/>
      <c r="R89" s="236"/>
      <c r="S89" s="236"/>
      <c r="T89" s="278"/>
      <c r="U89" s="278"/>
      <c r="W89" s="79"/>
      <c r="X89" s="13"/>
      <c r="Y89" s="78"/>
      <c r="Z89" s="79"/>
      <c r="AA89" s="13"/>
      <c r="AJ89" s="1" t="s">
        <v>825</v>
      </c>
      <c r="AK89" s="1" t="s">
        <v>770</v>
      </c>
      <c r="AL89" s="1">
        <v>203</v>
      </c>
      <c r="AM89" s="1" t="s">
        <v>814</v>
      </c>
      <c r="AN89" s="1" t="s">
        <v>785</v>
      </c>
      <c r="AO89" s="1" t="s">
        <v>776</v>
      </c>
      <c r="AP89" s="1">
        <v>-0.2954</v>
      </c>
      <c r="AQ89" s="1">
        <v>5</v>
      </c>
      <c r="AR89" s="1" t="s">
        <v>776</v>
      </c>
      <c r="AS89" s="1">
        <v>0.27489999999999998</v>
      </c>
      <c r="AT89" s="1">
        <v>5</v>
      </c>
      <c r="AV89" s="1" t="str">
        <f t="shared" si="30"/>
        <v>B10End-J</v>
      </c>
      <c r="AW89" s="1">
        <f t="shared" si="31"/>
        <v>0.05</v>
      </c>
      <c r="AX89" s="1">
        <f t="shared" si="32"/>
        <v>0.05</v>
      </c>
    </row>
    <row r="90" spans="1:50" x14ac:dyDescent="0.25">
      <c r="A90" s="39"/>
      <c r="B90" s="236"/>
      <c r="C90" s="236"/>
      <c r="D90" s="279"/>
      <c r="E90" s="279"/>
      <c r="F90" s="279"/>
      <c r="G90" s="279"/>
      <c r="H90" s="279"/>
      <c r="I90" s="279"/>
      <c r="J90" s="279"/>
      <c r="K90" s="279"/>
      <c r="L90" s="279"/>
      <c r="M90" s="279"/>
      <c r="N90" s="279"/>
      <c r="O90" s="279"/>
      <c r="P90" s="236"/>
      <c r="Q90" s="236"/>
      <c r="R90" s="236"/>
      <c r="S90" s="236"/>
      <c r="T90" s="278"/>
      <c r="U90" s="278"/>
      <c r="W90" s="79"/>
      <c r="X90" s="13"/>
      <c r="Y90" s="78"/>
      <c r="Z90" s="79"/>
      <c r="AA90" s="13"/>
      <c r="AJ90" s="1" t="s">
        <v>825</v>
      </c>
      <c r="AK90" s="1" t="s">
        <v>771</v>
      </c>
      <c r="AL90" s="1">
        <v>110</v>
      </c>
      <c r="AM90" s="1" t="s">
        <v>813</v>
      </c>
      <c r="AN90" s="1" t="s">
        <v>783</v>
      </c>
      <c r="AO90" s="1" t="s">
        <v>778</v>
      </c>
      <c r="AP90" s="1">
        <v>-79.741799999999998</v>
      </c>
      <c r="AQ90" s="1">
        <v>505</v>
      </c>
      <c r="AR90" s="1" t="s">
        <v>778</v>
      </c>
      <c r="AS90" s="1">
        <v>39.870899999999999</v>
      </c>
      <c r="AT90" s="1">
        <v>440</v>
      </c>
      <c r="AV90" s="1" t="str">
        <f t="shared" si="30"/>
        <v>B11End-I</v>
      </c>
      <c r="AW90" s="1">
        <f t="shared" si="31"/>
        <v>5.05</v>
      </c>
      <c r="AX90" s="1">
        <f t="shared" si="32"/>
        <v>4.4000000000000004</v>
      </c>
    </row>
    <row r="91" spans="1:50" x14ac:dyDescent="0.25">
      <c r="A91" s="39"/>
      <c r="B91" s="236"/>
      <c r="C91" s="236"/>
      <c r="D91" s="279"/>
      <c r="E91" s="279"/>
      <c r="F91" s="279"/>
      <c r="G91" s="279"/>
      <c r="H91" s="279"/>
      <c r="I91" s="279"/>
      <c r="J91" s="279"/>
      <c r="K91" s="279"/>
      <c r="L91" s="279"/>
      <c r="M91" s="279"/>
      <c r="N91" s="279"/>
      <c r="O91" s="279"/>
      <c r="P91" s="236"/>
      <c r="Q91" s="236"/>
      <c r="R91" s="236"/>
      <c r="S91" s="236"/>
      <c r="T91" s="278"/>
      <c r="U91" s="278"/>
      <c r="W91" s="79"/>
      <c r="X91" s="13"/>
      <c r="Y91" s="78"/>
      <c r="Z91" s="79"/>
      <c r="AA91" s="13"/>
      <c r="AJ91" s="1" t="s">
        <v>825</v>
      </c>
      <c r="AK91" s="1" t="s">
        <v>771</v>
      </c>
      <c r="AL91" s="1">
        <v>110</v>
      </c>
      <c r="AM91" s="1" t="s">
        <v>813</v>
      </c>
      <c r="AN91" s="1" t="s">
        <v>784</v>
      </c>
      <c r="AO91" s="1" t="s">
        <v>778</v>
      </c>
      <c r="AP91" s="1">
        <v>-19.935500000000001</v>
      </c>
      <c r="AQ91" s="1">
        <v>440</v>
      </c>
      <c r="AR91" s="1" t="s">
        <v>778</v>
      </c>
      <c r="AS91" s="1">
        <v>33.219000000000001</v>
      </c>
      <c r="AT91" s="1">
        <v>440</v>
      </c>
      <c r="AV91" s="1" t="str">
        <f t="shared" si="30"/>
        <v>B11Middle</v>
      </c>
      <c r="AW91" s="1">
        <f t="shared" si="31"/>
        <v>4.4000000000000004</v>
      </c>
      <c r="AX91" s="1">
        <f t="shared" si="32"/>
        <v>4.4000000000000004</v>
      </c>
    </row>
    <row r="92" spans="1:50" x14ac:dyDescent="0.25">
      <c r="A92" s="39"/>
      <c r="B92" s="236"/>
      <c r="C92" s="236"/>
      <c r="D92" s="279"/>
      <c r="E92" s="279"/>
      <c r="F92" s="279"/>
      <c r="G92" s="279"/>
      <c r="H92" s="279"/>
      <c r="I92" s="279"/>
      <c r="J92" s="279"/>
      <c r="K92" s="279"/>
      <c r="L92" s="279"/>
      <c r="M92" s="279"/>
      <c r="N92" s="279"/>
      <c r="O92" s="279"/>
      <c r="P92" s="236"/>
      <c r="Q92" s="236"/>
      <c r="R92" s="236"/>
      <c r="S92" s="236"/>
      <c r="T92" s="278"/>
      <c r="U92" s="278"/>
      <c r="W92" s="79"/>
      <c r="X92" s="13"/>
      <c r="Y92" s="78"/>
      <c r="Z92" s="79"/>
      <c r="AA92" s="13"/>
      <c r="AJ92" s="1" t="s">
        <v>825</v>
      </c>
      <c r="AK92" s="1" t="s">
        <v>771</v>
      </c>
      <c r="AL92" s="1">
        <v>110</v>
      </c>
      <c r="AM92" s="1" t="s">
        <v>813</v>
      </c>
      <c r="AN92" s="1" t="s">
        <v>785</v>
      </c>
      <c r="AO92" s="1" t="s">
        <v>778</v>
      </c>
      <c r="AP92" s="1">
        <v>-74.649600000000007</v>
      </c>
      <c r="AQ92" s="1">
        <v>472</v>
      </c>
      <c r="AR92" s="1" t="s">
        <v>778</v>
      </c>
      <c r="AS92" s="1">
        <v>37.324800000000003</v>
      </c>
      <c r="AT92" s="1">
        <v>440</v>
      </c>
      <c r="AV92" s="1" t="str">
        <f t="shared" si="30"/>
        <v>B11End-J</v>
      </c>
      <c r="AW92" s="1">
        <f t="shared" si="31"/>
        <v>4.72</v>
      </c>
      <c r="AX92" s="1">
        <f t="shared" si="32"/>
        <v>4.4000000000000004</v>
      </c>
    </row>
    <row r="93" spans="1:50" x14ac:dyDescent="0.25">
      <c r="A93" s="39"/>
      <c r="B93" s="236"/>
      <c r="C93" s="236"/>
      <c r="D93" s="279"/>
      <c r="E93" s="279"/>
      <c r="F93" s="279"/>
      <c r="G93" s="279"/>
      <c r="H93" s="279"/>
      <c r="I93" s="279"/>
      <c r="J93" s="279"/>
      <c r="K93" s="279"/>
      <c r="L93" s="279"/>
      <c r="M93" s="279"/>
      <c r="N93" s="279"/>
      <c r="O93" s="279"/>
      <c r="P93" s="236"/>
      <c r="Q93" s="236"/>
      <c r="R93" s="236"/>
      <c r="S93" s="236"/>
      <c r="T93" s="278"/>
      <c r="U93" s="278"/>
      <c r="W93" s="79"/>
      <c r="X93" s="13"/>
      <c r="Y93" s="78"/>
      <c r="Z93" s="79"/>
      <c r="AA93" s="13"/>
      <c r="AJ93" s="1" t="s">
        <v>825</v>
      </c>
      <c r="AK93" s="1" t="s">
        <v>304</v>
      </c>
      <c r="AL93" s="1">
        <v>83</v>
      </c>
      <c r="AM93" s="1" t="s">
        <v>813</v>
      </c>
      <c r="AN93" s="1" t="s">
        <v>783</v>
      </c>
      <c r="AO93" s="1" t="s">
        <v>778</v>
      </c>
      <c r="AP93" s="1">
        <v>-83.151200000000003</v>
      </c>
      <c r="AQ93" s="1">
        <v>527</v>
      </c>
      <c r="AR93" s="1" t="s">
        <v>778</v>
      </c>
      <c r="AS93" s="1">
        <v>41.575600000000001</v>
      </c>
      <c r="AT93" s="1">
        <v>440</v>
      </c>
      <c r="AV93" s="1" t="str">
        <f t="shared" si="30"/>
        <v>B17End-I</v>
      </c>
      <c r="AW93" s="1">
        <f t="shared" si="31"/>
        <v>5.27</v>
      </c>
      <c r="AX93" s="1">
        <f t="shared" si="32"/>
        <v>4.4000000000000004</v>
      </c>
    </row>
    <row r="94" spans="1:50" x14ac:dyDescent="0.25">
      <c r="A94" s="39"/>
      <c r="B94" s="236"/>
      <c r="C94" s="236"/>
      <c r="D94" s="279"/>
      <c r="E94" s="279"/>
      <c r="F94" s="279"/>
      <c r="G94" s="279"/>
      <c r="H94" s="279"/>
      <c r="I94" s="279"/>
      <c r="J94" s="279"/>
      <c r="K94" s="279"/>
      <c r="L94" s="279"/>
      <c r="M94" s="279"/>
      <c r="N94" s="279"/>
      <c r="O94" s="279"/>
      <c r="P94" s="236"/>
      <c r="Q94" s="236"/>
      <c r="R94" s="236"/>
      <c r="S94" s="236"/>
      <c r="T94" s="278"/>
      <c r="U94" s="278"/>
      <c r="W94" s="79"/>
      <c r="X94" s="13"/>
      <c r="Y94" s="78"/>
      <c r="Z94" s="79"/>
      <c r="AA94" s="13"/>
      <c r="AJ94" s="1" t="s">
        <v>825</v>
      </c>
      <c r="AK94" s="1" t="s">
        <v>304</v>
      </c>
      <c r="AL94" s="1">
        <v>83</v>
      </c>
      <c r="AM94" s="1" t="s">
        <v>813</v>
      </c>
      <c r="AN94" s="1" t="s">
        <v>784</v>
      </c>
      <c r="AO94" s="1" t="s">
        <v>778</v>
      </c>
      <c r="AP94" s="1">
        <v>-20.787800000000001</v>
      </c>
      <c r="AQ94" s="1">
        <v>440</v>
      </c>
      <c r="AR94" s="1" t="s">
        <v>778</v>
      </c>
      <c r="AS94" s="1">
        <v>34.059899999999999</v>
      </c>
      <c r="AT94" s="1">
        <v>440</v>
      </c>
      <c r="AV94" s="1" t="str">
        <f t="shared" si="30"/>
        <v>B17Middle</v>
      </c>
      <c r="AW94" s="1">
        <f t="shared" si="31"/>
        <v>4.4000000000000004</v>
      </c>
      <c r="AX94" s="1">
        <f t="shared" si="32"/>
        <v>4.4000000000000004</v>
      </c>
    </row>
    <row r="95" spans="1:50" x14ac:dyDescent="0.25">
      <c r="A95" s="39"/>
      <c r="B95" s="236"/>
      <c r="C95" s="236"/>
      <c r="D95" s="279"/>
      <c r="E95" s="279"/>
      <c r="F95" s="279"/>
      <c r="G95" s="279"/>
      <c r="H95" s="279"/>
      <c r="I95" s="279"/>
      <c r="J95" s="279"/>
      <c r="K95" s="279"/>
      <c r="L95" s="279"/>
      <c r="M95" s="279"/>
      <c r="N95" s="279"/>
      <c r="O95" s="279"/>
      <c r="P95" s="236"/>
      <c r="Q95" s="236"/>
      <c r="R95" s="236"/>
      <c r="S95" s="236"/>
      <c r="T95" s="278"/>
      <c r="U95" s="278"/>
      <c r="W95" s="79"/>
      <c r="X95" s="13"/>
      <c r="Y95" s="78"/>
      <c r="Z95" s="79"/>
      <c r="AA95" s="13"/>
      <c r="AJ95" s="1" t="s">
        <v>825</v>
      </c>
      <c r="AK95" s="1" t="s">
        <v>304</v>
      </c>
      <c r="AL95" s="1">
        <v>83</v>
      </c>
      <c r="AM95" s="1" t="s">
        <v>813</v>
      </c>
      <c r="AN95" s="1" t="s">
        <v>785</v>
      </c>
      <c r="AO95" s="1" t="s">
        <v>778</v>
      </c>
      <c r="AP95" s="1">
        <v>-80.290400000000005</v>
      </c>
      <c r="AQ95" s="1">
        <v>508</v>
      </c>
      <c r="AR95" s="1" t="s">
        <v>778</v>
      </c>
      <c r="AS95" s="1">
        <v>40.145200000000003</v>
      </c>
      <c r="AT95" s="1">
        <v>440</v>
      </c>
      <c r="AV95" s="1" t="str">
        <f t="shared" si="30"/>
        <v>B17End-J</v>
      </c>
      <c r="AW95" s="1">
        <f t="shared" si="31"/>
        <v>5.08</v>
      </c>
      <c r="AX95" s="1">
        <f t="shared" si="32"/>
        <v>4.4000000000000004</v>
      </c>
    </row>
    <row r="96" spans="1:50" x14ac:dyDescent="0.25">
      <c r="A96" s="39"/>
      <c r="B96" s="236"/>
      <c r="C96" s="236"/>
      <c r="D96" s="279"/>
      <c r="E96" s="279"/>
      <c r="F96" s="279"/>
      <c r="G96" s="279"/>
      <c r="H96" s="279"/>
      <c r="I96" s="279"/>
      <c r="J96" s="279"/>
      <c r="K96" s="279"/>
      <c r="L96" s="279"/>
      <c r="M96" s="279"/>
      <c r="N96" s="279"/>
      <c r="O96" s="279"/>
      <c r="P96" s="236"/>
      <c r="Q96" s="236"/>
      <c r="R96" s="236"/>
      <c r="S96" s="236"/>
      <c r="T96" s="278"/>
      <c r="U96" s="278"/>
      <c r="W96" s="79"/>
      <c r="X96" s="13"/>
      <c r="Y96" s="78"/>
      <c r="Z96" s="79"/>
      <c r="AA96" s="13"/>
      <c r="AJ96" s="1" t="s">
        <v>825</v>
      </c>
      <c r="AK96" s="1" t="s">
        <v>772</v>
      </c>
      <c r="AL96" s="1">
        <v>101</v>
      </c>
      <c r="AM96" s="1" t="s">
        <v>814</v>
      </c>
      <c r="AN96" s="1" t="s">
        <v>783</v>
      </c>
      <c r="AO96" s="1" t="s">
        <v>776</v>
      </c>
      <c r="AP96" s="1">
        <v>-176.3246</v>
      </c>
      <c r="AQ96" s="1">
        <v>1172</v>
      </c>
      <c r="AR96" s="1" t="s">
        <v>776</v>
      </c>
      <c r="AS96" s="1">
        <v>88.162300000000002</v>
      </c>
      <c r="AT96" s="1">
        <v>577</v>
      </c>
      <c r="AV96" s="1" t="str">
        <f t="shared" si="30"/>
        <v>B19End-I</v>
      </c>
      <c r="AW96" s="1">
        <f t="shared" si="31"/>
        <v>11.72</v>
      </c>
      <c r="AX96" s="1">
        <f t="shared" si="32"/>
        <v>5.77</v>
      </c>
    </row>
    <row r="97" spans="1:50" x14ac:dyDescent="0.25">
      <c r="A97" s="39"/>
      <c r="B97" s="236"/>
      <c r="C97" s="236"/>
      <c r="D97" s="279"/>
      <c r="E97" s="279"/>
      <c r="F97" s="279"/>
      <c r="G97" s="279"/>
      <c r="H97" s="279"/>
      <c r="I97" s="279"/>
      <c r="J97" s="279"/>
      <c r="K97" s="279"/>
      <c r="L97" s="279"/>
      <c r="M97" s="279"/>
      <c r="N97" s="279"/>
      <c r="O97" s="279"/>
      <c r="P97" s="236"/>
      <c r="Q97" s="236"/>
      <c r="R97" s="236"/>
      <c r="S97" s="236"/>
      <c r="T97" s="278"/>
      <c r="U97" s="278"/>
      <c r="W97" s="79"/>
      <c r="X97" s="13"/>
      <c r="Y97" s="78"/>
      <c r="Z97" s="79"/>
      <c r="AA97" s="13"/>
      <c r="AJ97" s="1" t="s">
        <v>825</v>
      </c>
      <c r="AK97" s="1" t="s">
        <v>772</v>
      </c>
      <c r="AL97" s="1">
        <v>101</v>
      </c>
      <c r="AM97" s="1" t="s">
        <v>814</v>
      </c>
      <c r="AN97" s="1" t="s">
        <v>784</v>
      </c>
      <c r="AO97" s="1" t="s">
        <v>776</v>
      </c>
      <c r="AP97" s="1">
        <v>-44.253399999999999</v>
      </c>
      <c r="AQ97" s="1">
        <v>513</v>
      </c>
      <c r="AR97" s="1" t="s">
        <v>782</v>
      </c>
      <c r="AS97" s="1">
        <v>147.52930000000001</v>
      </c>
      <c r="AT97" s="1">
        <v>962</v>
      </c>
      <c r="AV97" s="1" t="str">
        <f t="shared" si="30"/>
        <v>B19Middle</v>
      </c>
      <c r="AW97" s="1">
        <f t="shared" si="31"/>
        <v>5.13</v>
      </c>
      <c r="AX97" s="1">
        <f t="shared" si="32"/>
        <v>9.6199999999999992</v>
      </c>
    </row>
    <row r="98" spans="1:50" x14ac:dyDescent="0.25">
      <c r="A98" s="39"/>
      <c r="B98" s="236"/>
      <c r="C98" s="236"/>
      <c r="D98" s="279"/>
      <c r="E98" s="279"/>
      <c r="F98" s="279"/>
      <c r="G98" s="279"/>
      <c r="H98" s="279"/>
      <c r="I98" s="279"/>
      <c r="J98" s="279"/>
      <c r="K98" s="279"/>
      <c r="L98" s="279"/>
      <c r="M98" s="279"/>
      <c r="N98" s="279"/>
      <c r="O98" s="279"/>
      <c r="P98" s="236"/>
      <c r="Q98" s="236"/>
      <c r="R98" s="236"/>
      <c r="S98" s="236"/>
      <c r="T98" s="278"/>
      <c r="U98" s="278"/>
      <c r="W98" s="79"/>
      <c r="X98" s="13"/>
      <c r="Y98" s="78"/>
      <c r="Z98" s="79"/>
      <c r="AA98" s="13"/>
      <c r="AJ98" s="1" t="s">
        <v>825</v>
      </c>
      <c r="AK98" s="1" t="s">
        <v>772</v>
      </c>
      <c r="AL98" s="1">
        <v>101</v>
      </c>
      <c r="AM98" s="1" t="s">
        <v>814</v>
      </c>
      <c r="AN98" s="1" t="s">
        <v>785</v>
      </c>
      <c r="AO98" s="1" t="s">
        <v>776</v>
      </c>
      <c r="AP98" s="1">
        <v>-177.01349999999999</v>
      </c>
      <c r="AQ98" s="1">
        <v>1174</v>
      </c>
      <c r="AR98" s="1" t="s">
        <v>776</v>
      </c>
      <c r="AS98" s="1">
        <v>88.506699999999995</v>
      </c>
      <c r="AT98" s="1">
        <v>576</v>
      </c>
      <c r="AV98" s="1" t="str">
        <f t="shared" si="30"/>
        <v>B19End-J</v>
      </c>
      <c r="AW98" s="1">
        <f t="shared" si="31"/>
        <v>11.74</v>
      </c>
      <c r="AX98" s="1">
        <f t="shared" si="32"/>
        <v>5.76</v>
      </c>
    </row>
    <row r="99" spans="1:50" x14ac:dyDescent="0.25">
      <c r="A99" s="39"/>
      <c r="B99" s="236"/>
      <c r="C99" s="236"/>
      <c r="D99" s="279"/>
      <c r="E99" s="279"/>
      <c r="F99" s="279"/>
      <c r="G99" s="279"/>
      <c r="H99" s="279"/>
      <c r="I99" s="279"/>
      <c r="J99" s="279"/>
      <c r="K99" s="279"/>
      <c r="L99" s="279"/>
      <c r="M99" s="279"/>
      <c r="N99" s="279"/>
      <c r="O99" s="279"/>
      <c r="P99" s="236"/>
      <c r="Q99" s="236"/>
      <c r="R99" s="236"/>
      <c r="S99" s="236"/>
      <c r="T99" s="278"/>
      <c r="U99" s="278"/>
      <c r="W99" s="79"/>
      <c r="X99" s="13"/>
      <c r="Y99" s="78"/>
      <c r="Z99" s="79"/>
      <c r="AA99" s="13"/>
      <c r="AJ99" s="1" t="s">
        <v>825</v>
      </c>
      <c r="AK99" s="1" t="s">
        <v>773</v>
      </c>
      <c r="AL99" s="1">
        <v>116</v>
      </c>
      <c r="AM99" s="1" t="s">
        <v>813</v>
      </c>
      <c r="AN99" s="1" t="s">
        <v>783</v>
      </c>
      <c r="AO99" s="1" t="s">
        <v>778</v>
      </c>
      <c r="AP99" s="1">
        <v>-79.211699999999993</v>
      </c>
      <c r="AQ99" s="1">
        <v>508</v>
      </c>
      <c r="AR99" s="1" t="s">
        <v>778</v>
      </c>
      <c r="AS99" s="1">
        <v>39.605800000000002</v>
      </c>
      <c r="AT99" s="1">
        <v>440</v>
      </c>
      <c r="AV99" s="1" t="str">
        <f t="shared" si="30"/>
        <v>B21End-I</v>
      </c>
      <c r="AW99" s="1">
        <f t="shared" si="31"/>
        <v>5.08</v>
      </c>
      <c r="AX99" s="1">
        <f t="shared" si="32"/>
        <v>4.4000000000000004</v>
      </c>
    </row>
    <row r="100" spans="1:50" x14ac:dyDescent="0.25">
      <c r="A100" s="39"/>
      <c r="B100" s="236"/>
      <c r="C100" s="236"/>
      <c r="D100" s="279"/>
      <c r="E100" s="279"/>
      <c r="F100" s="279"/>
      <c r="G100" s="279"/>
      <c r="H100" s="279"/>
      <c r="I100" s="279"/>
      <c r="J100" s="279"/>
      <c r="K100" s="279"/>
      <c r="L100" s="279"/>
      <c r="M100" s="279"/>
      <c r="N100" s="279"/>
      <c r="O100" s="279"/>
      <c r="P100" s="236"/>
      <c r="Q100" s="236"/>
      <c r="R100" s="236"/>
      <c r="S100" s="236"/>
      <c r="T100" s="278"/>
      <c r="U100" s="278"/>
      <c r="W100" s="79"/>
      <c r="X100" s="13"/>
      <c r="Y100" s="78"/>
      <c r="Z100" s="79"/>
      <c r="AA100" s="13"/>
      <c r="AJ100" s="1" t="s">
        <v>825</v>
      </c>
      <c r="AK100" s="1" t="s">
        <v>773</v>
      </c>
      <c r="AL100" s="1">
        <v>116</v>
      </c>
      <c r="AM100" s="1" t="s">
        <v>813</v>
      </c>
      <c r="AN100" s="1" t="s">
        <v>784</v>
      </c>
      <c r="AO100" s="1" t="s">
        <v>778</v>
      </c>
      <c r="AP100" s="1">
        <v>-19.802900000000001</v>
      </c>
      <c r="AQ100" s="1">
        <v>440</v>
      </c>
      <c r="AR100" s="1" t="s">
        <v>779</v>
      </c>
      <c r="AS100" s="1">
        <v>21.9589</v>
      </c>
      <c r="AT100" s="1">
        <v>440</v>
      </c>
      <c r="AV100" s="1" t="str">
        <f t="shared" si="30"/>
        <v>B21Middle</v>
      </c>
      <c r="AW100" s="1">
        <f t="shared" si="31"/>
        <v>4.4000000000000004</v>
      </c>
      <c r="AX100" s="1">
        <f t="shared" si="32"/>
        <v>4.4000000000000004</v>
      </c>
    </row>
    <row r="101" spans="1:50" x14ac:dyDescent="0.25">
      <c r="A101" s="39"/>
      <c r="B101" s="236"/>
      <c r="C101" s="236"/>
      <c r="D101" s="279"/>
      <c r="E101" s="279"/>
      <c r="F101" s="279"/>
      <c r="G101" s="279"/>
      <c r="H101" s="279"/>
      <c r="I101" s="279"/>
      <c r="J101" s="279"/>
      <c r="K101" s="279"/>
      <c r="L101" s="279"/>
      <c r="M101" s="279"/>
      <c r="N101" s="279"/>
      <c r="O101" s="279"/>
      <c r="P101" s="236"/>
      <c r="Q101" s="236"/>
      <c r="R101" s="236"/>
      <c r="S101" s="236"/>
      <c r="T101" s="278"/>
      <c r="U101" s="278"/>
      <c r="W101" s="79"/>
      <c r="X101" s="13"/>
      <c r="Y101" s="78"/>
      <c r="Z101" s="79"/>
      <c r="AA101" s="13"/>
      <c r="AJ101" s="1" t="s">
        <v>825</v>
      </c>
      <c r="AK101" s="1" t="s">
        <v>773</v>
      </c>
      <c r="AL101" s="1">
        <v>116</v>
      </c>
      <c r="AM101" s="1" t="s">
        <v>813</v>
      </c>
      <c r="AN101" s="1" t="s">
        <v>785</v>
      </c>
      <c r="AO101" s="1" t="s">
        <v>778</v>
      </c>
      <c r="AP101" s="1">
        <v>-74.317700000000002</v>
      </c>
      <c r="AQ101" s="1">
        <v>476</v>
      </c>
      <c r="AR101" s="1" t="s">
        <v>778</v>
      </c>
      <c r="AS101" s="1">
        <v>37.158799999999999</v>
      </c>
      <c r="AT101" s="1">
        <v>440</v>
      </c>
      <c r="AV101" s="1" t="str">
        <f t="shared" si="30"/>
        <v>B21End-J</v>
      </c>
      <c r="AW101" s="1">
        <f t="shared" si="31"/>
        <v>4.76</v>
      </c>
      <c r="AX101" s="1">
        <f t="shared" si="32"/>
        <v>4.4000000000000004</v>
      </c>
    </row>
    <row r="102" spans="1:50" x14ac:dyDescent="0.25">
      <c r="A102" s="39"/>
      <c r="B102" s="236"/>
      <c r="C102" s="236"/>
      <c r="D102" s="279"/>
      <c r="E102" s="279"/>
      <c r="F102" s="279"/>
      <c r="G102" s="279"/>
      <c r="H102" s="279"/>
      <c r="I102" s="279"/>
      <c r="J102" s="279"/>
      <c r="K102" s="279"/>
      <c r="L102" s="279"/>
      <c r="M102" s="279"/>
      <c r="N102" s="279"/>
      <c r="O102" s="279"/>
      <c r="P102" s="236"/>
      <c r="Q102" s="236"/>
      <c r="R102" s="236"/>
      <c r="S102" s="236"/>
      <c r="T102" s="278"/>
      <c r="U102" s="278"/>
      <c r="W102" s="79"/>
      <c r="X102" s="13"/>
      <c r="Y102" s="78"/>
      <c r="Z102" s="79"/>
      <c r="AA102" s="13"/>
      <c r="AJ102" s="1" t="s">
        <v>825</v>
      </c>
      <c r="AK102" s="1" t="s">
        <v>774</v>
      </c>
      <c r="AL102" s="1">
        <v>89</v>
      </c>
      <c r="AM102" s="1" t="s">
        <v>813</v>
      </c>
      <c r="AN102" s="1" t="s">
        <v>783</v>
      </c>
      <c r="AO102" s="1" t="s">
        <v>778</v>
      </c>
      <c r="AP102" s="1">
        <v>-82.864900000000006</v>
      </c>
      <c r="AQ102" s="1">
        <v>529</v>
      </c>
      <c r="AR102" s="1" t="s">
        <v>778</v>
      </c>
      <c r="AS102" s="1">
        <v>41.432499999999997</v>
      </c>
      <c r="AT102" s="1">
        <v>440</v>
      </c>
      <c r="AV102" s="1" t="str">
        <f t="shared" si="30"/>
        <v>B27End-I</v>
      </c>
      <c r="AW102" s="1">
        <f t="shared" si="31"/>
        <v>5.29</v>
      </c>
      <c r="AX102" s="1">
        <f t="shared" si="32"/>
        <v>4.4000000000000004</v>
      </c>
    </row>
    <row r="103" spans="1:50" x14ac:dyDescent="0.25">
      <c r="A103" s="39"/>
      <c r="B103" s="236"/>
      <c r="C103" s="236"/>
      <c r="D103" s="279"/>
      <c r="E103" s="279"/>
      <c r="F103" s="279"/>
      <c r="G103" s="279"/>
      <c r="H103" s="279"/>
      <c r="I103" s="279"/>
      <c r="J103" s="279"/>
      <c r="K103" s="279"/>
      <c r="L103" s="279"/>
      <c r="M103" s="279"/>
      <c r="N103" s="279"/>
      <c r="O103" s="279"/>
      <c r="P103" s="236"/>
      <c r="Q103" s="236"/>
      <c r="R103" s="236"/>
      <c r="S103" s="236"/>
      <c r="T103" s="278"/>
      <c r="U103" s="278"/>
      <c r="W103" s="79"/>
      <c r="X103" s="13"/>
      <c r="Y103" s="78"/>
      <c r="Z103" s="79"/>
      <c r="AA103" s="13"/>
      <c r="AJ103" s="1" t="s">
        <v>825</v>
      </c>
      <c r="AK103" s="1" t="s">
        <v>774</v>
      </c>
      <c r="AL103" s="1">
        <v>89</v>
      </c>
      <c r="AM103" s="1" t="s">
        <v>813</v>
      </c>
      <c r="AN103" s="1" t="s">
        <v>784</v>
      </c>
      <c r="AO103" s="1" t="s">
        <v>778</v>
      </c>
      <c r="AP103" s="1">
        <v>-20.716200000000001</v>
      </c>
      <c r="AQ103" s="1">
        <v>440</v>
      </c>
      <c r="AR103" s="1" t="s">
        <v>779</v>
      </c>
      <c r="AS103" s="1">
        <v>25.993600000000001</v>
      </c>
      <c r="AT103" s="1">
        <v>440</v>
      </c>
      <c r="AV103" s="1" t="str">
        <f t="shared" si="30"/>
        <v>B27Middle</v>
      </c>
      <c r="AW103" s="1">
        <f t="shared" si="31"/>
        <v>4.4000000000000004</v>
      </c>
      <c r="AX103" s="1">
        <f t="shared" si="32"/>
        <v>4.4000000000000004</v>
      </c>
    </row>
    <row r="104" spans="1:50" x14ac:dyDescent="0.25">
      <c r="A104" s="39"/>
      <c r="B104" s="236"/>
      <c r="C104" s="236"/>
      <c r="D104" s="279"/>
      <c r="E104" s="279"/>
      <c r="F104" s="279"/>
      <c r="G104" s="279"/>
      <c r="H104" s="279"/>
      <c r="I104" s="279"/>
      <c r="J104" s="279"/>
      <c r="K104" s="279"/>
      <c r="L104" s="279"/>
      <c r="M104" s="279"/>
      <c r="N104" s="279"/>
      <c r="O104" s="279"/>
      <c r="P104" s="236"/>
      <c r="Q104" s="236"/>
      <c r="R104" s="236"/>
      <c r="S104" s="236"/>
      <c r="T104" s="278"/>
      <c r="U104" s="278"/>
      <c r="W104" s="79"/>
      <c r="X104" s="13"/>
      <c r="Y104" s="78"/>
      <c r="Z104" s="79"/>
      <c r="AA104" s="13"/>
      <c r="AJ104" s="1" t="s">
        <v>825</v>
      </c>
      <c r="AK104" s="1" t="s">
        <v>774</v>
      </c>
      <c r="AL104" s="1">
        <v>89</v>
      </c>
      <c r="AM104" s="1" t="s">
        <v>813</v>
      </c>
      <c r="AN104" s="1" t="s">
        <v>785</v>
      </c>
      <c r="AO104" s="1" t="s">
        <v>778</v>
      </c>
      <c r="AP104" s="1">
        <v>-80.19</v>
      </c>
      <c r="AQ104" s="1">
        <v>511</v>
      </c>
      <c r="AR104" s="1" t="s">
        <v>778</v>
      </c>
      <c r="AS104" s="1">
        <v>40.094999999999999</v>
      </c>
      <c r="AT104" s="1">
        <v>440</v>
      </c>
      <c r="AV104" s="1" t="str">
        <f t="shared" si="30"/>
        <v>B27End-J</v>
      </c>
      <c r="AW104" s="1">
        <f t="shared" si="31"/>
        <v>5.1100000000000003</v>
      </c>
      <c r="AX104" s="1">
        <f t="shared" si="32"/>
        <v>4.4000000000000004</v>
      </c>
    </row>
    <row r="105" spans="1:50" x14ac:dyDescent="0.25">
      <c r="A105" s="39"/>
      <c r="B105" s="236"/>
      <c r="C105" s="236"/>
      <c r="D105" s="279"/>
      <c r="E105" s="279"/>
      <c r="F105" s="279"/>
      <c r="G105" s="279"/>
      <c r="H105" s="279"/>
      <c r="I105" s="279"/>
      <c r="J105" s="279"/>
      <c r="K105" s="279"/>
      <c r="L105" s="279"/>
      <c r="M105" s="279"/>
      <c r="N105" s="279"/>
      <c r="O105" s="279"/>
      <c r="P105" s="236"/>
      <c r="Q105" s="236"/>
      <c r="R105" s="236"/>
      <c r="S105" s="236"/>
      <c r="T105" s="278"/>
      <c r="U105" s="278"/>
      <c r="W105" s="79"/>
      <c r="X105" s="13"/>
      <c r="Y105" s="78"/>
      <c r="Z105" s="79"/>
      <c r="AA105" s="13"/>
      <c r="AJ105" s="1" t="s">
        <v>825</v>
      </c>
      <c r="AK105" s="1" t="s">
        <v>775</v>
      </c>
      <c r="AL105" s="1">
        <v>104</v>
      </c>
      <c r="AM105" s="1" t="s">
        <v>814</v>
      </c>
      <c r="AN105" s="1" t="s">
        <v>783</v>
      </c>
      <c r="AO105" s="1" t="s">
        <v>776</v>
      </c>
      <c r="AP105" s="1">
        <v>-154.6302</v>
      </c>
      <c r="AQ105" s="1">
        <v>1018</v>
      </c>
      <c r="AR105" s="1" t="s">
        <v>776</v>
      </c>
      <c r="AS105" s="1">
        <v>77.315100000000001</v>
      </c>
      <c r="AT105" s="1">
        <v>513</v>
      </c>
      <c r="AV105" s="1" t="str">
        <f t="shared" si="30"/>
        <v>B29End-I</v>
      </c>
      <c r="AW105" s="1">
        <f t="shared" si="31"/>
        <v>10.18</v>
      </c>
      <c r="AX105" s="1">
        <f t="shared" si="32"/>
        <v>5.13</v>
      </c>
    </row>
    <row r="106" spans="1:50" x14ac:dyDescent="0.25">
      <c r="A106" s="39"/>
      <c r="B106" s="236"/>
      <c r="C106" s="236"/>
      <c r="D106" s="279"/>
      <c r="E106" s="279"/>
      <c r="F106" s="279"/>
      <c r="G106" s="279"/>
      <c r="H106" s="279"/>
      <c r="I106" s="279"/>
      <c r="J106" s="279"/>
      <c r="K106" s="279"/>
      <c r="L106" s="279"/>
      <c r="M106" s="279"/>
      <c r="N106" s="279"/>
      <c r="O106" s="279"/>
      <c r="P106" s="236"/>
      <c r="Q106" s="236"/>
      <c r="R106" s="236"/>
      <c r="S106" s="236"/>
      <c r="T106" s="278"/>
      <c r="U106" s="278"/>
      <c r="W106" s="79"/>
      <c r="X106" s="13"/>
      <c r="Y106" s="78"/>
      <c r="Z106" s="79"/>
      <c r="AA106" s="13"/>
      <c r="AJ106" s="1" t="s">
        <v>825</v>
      </c>
      <c r="AK106" s="1" t="s">
        <v>775</v>
      </c>
      <c r="AL106" s="1">
        <v>104</v>
      </c>
      <c r="AM106" s="1" t="s">
        <v>814</v>
      </c>
      <c r="AN106" s="1" t="s">
        <v>784</v>
      </c>
      <c r="AO106" s="1" t="s">
        <v>776</v>
      </c>
      <c r="AP106" s="1">
        <v>-38.657499999999999</v>
      </c>
      <c r="AQ106" s="1">
        <v>513</v>
      </c>
      <c r="AR106" s="1" t="s">
        <v>781</v>
      </c>
      <c r="AS106" s="1">
        <v>133.03270000000001</v>
      </c>
      <c r="AT106" s="1">
        <v>863</v>
      </c>
      <c r="AV106" s="1" t="str">
        <f t="shared" si="30"/>
        <v>B29Middle</v>
      </c>
      <c r="AW106" s="1">
        <f t="shared" si="31"/>
        <v>5.13</v>
      </c>
      <c r="AX106" s="1">
        <f t="shared" si="32"/>
        <v>8.6300000000000008</v>
      </c>
    </row>
    <row r="107" spans="1:50" x14ac:dyDescent="0.25">
      <c r="A107" s="39"/>
      <c r="B107" s="236"/>
      <c r="C107" s="236"/>
      <c r="D107" s="279"/>
      <c r="E107" s="279"/>
      <c r="F107" s="279"/>
      <c r="G107" s="279"/>
      <c r="H107" s="279"/>
      <c r="I107" s="279"/>
      <c r="J107" s="279"/>
      <c r="K107" s="279"/>
      <c r="L107" s="279"/>
      <c r="M107" s="279"/>
      <c r="N107" s="279"/>
      <c r="O107" s="279"/>
      <c r="P107" s="236"/>
      <c r="Q107" s="236"/>
      <c r="R107" s="236"/>
      <c r="S107" s="236"/>
      <c r="T107" s="278"/>
      <c r="U107" s="278"/>
      <c r="W107" s="79"/>
      <c r="X107" s="13"/>
      <c r="Y107" s="78"/>
      <c r="Z107" s="79"/>
      <c r="AA107" s="13"/>
      <c r="AJ107" s="1" t="s">
        <v>825</v>
      </c>
      <c r="AK107" s="1" t="s">
        <v>775</v>
      </c>
      <c r="AL107" s="1">
        <v>104</v>
      </c>
      <c r="AM107" s="1" t="s">
        <v>814</v>
      </c>
      <c r="AN107" s="1" t="s">
        <v>785</v>
      </c>
      <c r="AO107" s="1" t="s">
        <v>776</v>
      </c>
      <c r="AP107" s="1">
        <v>-153.95570000000001</v>
      </c>
      <c r="AQ107" s="1">
        <v>1011</v>
      </c>
      <c r="AR107" s="1" t="s">
        <v>776</v>
      </c>
      <c r="AS107" s="1">
        <v>76.977900000000005</v>
      </c>
      <c r="AT107" s="1">
        <v>513</v>
      </c>
      <c r="AV107" s="1" t="str">
        <f t="shared" si="30"/>
        <v>B29End-J</v>
      </c>
      <c r="AW107" s="1">
        <f t="shared" si="31"/>
        <v>10.11</v>
      </c>
      <c r="AX107" s="1">
        <f t="shared" si="32"/>
        <v>5.13</v>
      </c>
    </row>
    <row r="108" spans="1:50" x14ac:dyDescent="0.25">
      <c r="A108" s="39"/>
      <c r="B108" s="236"/>
      <c r="C108" s="236"/>
      <c r="D108" s="279"/>
      <c r="E108" s="279"/>
      <c r="F108" s="279"/>
      <c r="G108" s="279"/>
      <c r="H108" s="279"/>
      <c r="I108" s="279"/>
      <c r="J108" s="279"/>
      <c r="K108" s="279"/>
      <c r="L108" s="279"/>
      <c r="M108" s="279"/>
      <c r="N108" s="279"/>
      <c r="O108" s="279"/>
      <c r="P108" s="236"/>
      <c r="Q108" s="236"/>
      <c r="R108" s="236"/>
      <c r="S108" s="236"/>
      <c r="T108" s="278"/>
      <c r="U108" s="278"/>
      <c r="W108" s="79"/>
      <c r="X108" s="13"/>
      <c r="Y108" s="78"/>
      <c r="Z108" s="79"/>
      <c r="AA108" s="13"/>
      <c r="AJ108" s="1" t="s">
        <v>825</v>
      </c>
      <c r="AK108" s="1" t="s">
        <v>815</v>
      </c>
      <c r="AL108" s="1">
        <v>119</v>
      </c>
      <c r="AM108" s="1" t="s">
        <v>813</v>
      </c>
      <c r="AN108" s="1" t="s">
        <v>783</v>
      </c>
      <c r="AO108" s="1" t="s">
        <v>778</v>
      </c>
      <c r="AP108" s="1">
        <v>-77.837000000000003</v>
      </c>
      <c r="AQ108" s="1">
        <v>510</v>
      </c>
      <c r="AR108" s="1" t="s">
        <v>780</v>
      </c>
      <c r="AS108" s="1">
        <v>48.026899999999998</v>
      </c>
      <c r="AT108" s="1">
        <v>440</v>
      </c>
      <c r="AV108" s="1" t="str">
        <f t="shared" si="30"/>
        <v>B31End-I</v>
      </c>
      <c r="AW108" s="1">
        <f t="shared" si="31"/>
        <v>5.0999999999999996</v>
      </c>
      <c r="AX108" s="1">
        <f t="shared" si="32"/>
        <v>4.4000000000000004</v>
      </c>
    </row>
    <row r="109" spans="1:50" x14ac:dyDescent="0.25">
      <c r="A109" s="39"/>
      <c r="B109" s="236"/>
      <c r="C109" s="236"/>
      <c r="D109" s="279"/>
      <c r="E109" s="279"/>
      <c r="F109" s="279"/>
      <c r="G109" s="279"/>
      <c r="H109" s="279"/>
      <c r="I109" s="279"/>
      <c r="J109" s="279"/>
      <c r="K109" s="279"/>
      <c r="L109" s="279"/>
      <c r="M109" s="279"/>
      <c r="N109" s="279"/>
      <c r="O109" s="279"/>
      <c r="P109" s="236"/>
      <c r="Q109" s="236"/>
      <c r="R109" s="236"/>
      <c r="S109" s="236"/>
      <c r="T109" s="278"/>
      <c r="U109" s="278"/>
      <c r="W109" s="79"/>
      <c r="X109" s="13"/>
      <c r="Y109" s="78"/>
      <c r="Z109" s="79"/>
      <c r="AA109" s="13"/>
      <c r="AJ109" s="1" t="s">
        <v>825</v>
      </c>
      <c r="AK109" s="1" t="s">
        <v>815</v>
      </c>
      <c r="AL109" s="1">
        <v>119</v>
      </c>
      <c r="AM109" s="1" t="s">
        <v>813</v>
      </c>
      <c r="AN109" s="1" t="s">
        <v>784</v>
      </c>
      <c r="AO109" s="1" t="s">
        <v>780</v>
      </c>
      <c r="AP109" s="1">
        <v>-27.926100000000002</v>
      </c>
      <c r="AQ109" s="1">
        <v>440</v>
      </c>
      <c r="AR109" s="1" t="s">
        <v>778</v>
      </c>
      <c r="AS109" s="1">
        <v>35.356900000000003</v>
      </c>
      <c r="AT109" s="1">
        <v>440</v>
      </c>
      <c r="AV109" s="1" t="str">
        <f t="shared" si="30"/>
        <v>B31Middle</v>
      </c>
      <c r="AW109" s="1">
        <f t="shared" si="31"/>
        <v>4.4000000000000004</v>
      </c>
      <c r="AX109" s="1">
        <f t="shared" si="32"/>
        <v>4.4000000000000004</v>
      </c>
    </row>
    <row r="110" spans="1:50" x14ac:dyDescent="0.25">
      <c r="A110" s="39"/>
      <c r="B110" s="236"/>
      <c r="C110" s="236"/>
      <c r="D110" s="279"/>
      <c r="E110" s="279"/>
      <c r="F110" s="279"/>
      <c r="G110" s="279"/>
      <c r="H110" s="279"/>
      <c r="I110" s="279"/>
      <c r="J110" s="279"/>
      <c r="K110" s="279"/>
      <c r="L110" s="279"/>
      <c r="M110" s="279"/>
      <c r="N110" s="279"/>
      <c r="O110" s="279"/>
      <c r="P110" s="236"/>
      <c r="Q110" s="236"/>
      <c r="R110" s="236"/>
      <c r="S110" s="236"/>
      <c r="T110" s="278"/>
      <c r="U110" s="278"/>
      <c r="W110" s="79"/>
      <c r="X110" s="13"/>
      <c r="Y110" s="78"/>
      <c r="Z110" s="79"/>
      <c r="AA110" s="13"/>
      <c r="AJ110" s="1" t="s">
        <v>825</v>
      </c>
      <c r="AK110" s="1" t="s">
        <v>815</v>
      </c>
      <c r="AL110" s="1">
        <v>119</v>
      </c>
      <c r="AM110" s="1" t="s">
        <v>813</v>
      </c>
      <c r="AN110" s="1" t="s">
        <v>785</v>
      </c>
      <c r="AO110" s="1" t="s">
        <v>778</v>
      </c>
      <c r="AP110" s="1">
        <v>-71.386099999999999</v>
      </c>
      <c r="AQ110" s="1">
        <v>468</v>
      </c>
      <c r="AR110" s="1" t="s">
        <v>780</v>
      </c>
      <c r="AS110" s="1">
        <v>50.3994</v>
      </c>
      <c r="AT110" s="1">
        <v>440</v>
      </c>
      <c r="AV110" s="1" t="str">
        <f t="shared" si="30"/>
        <v>B31End-J</v>
      </c>
      <c r="AW110" s="1">
        <f t="shared" si="31"/>
        <v>4.68</v>
      </c>
      <c r="AX110" s="1">
        <f t="shared" si="32"/>
        <v>4.4000000000000004</v>
      </c>
    </row>
    <row r="111" spans="1:50" x14ac:dyDescent="0.25">
      <c r="A111" s="5"/>
      <c r="B111" s="312"/>
      <c r="C111" s="312"/>
      <c r="D111" s="300"/>
      <c r="E111" s="300"/>
      <c r="F111" s="300"/>
      <c r="G111" s="300"/>
      <c r="H111" s="300"/>
      <c r="I111" s="300"/>
      <c r="J111" s="300"/>
      <c r="K111" s="300"/>
      <c r="L111" s="300"/>
      <c r="M111" s="300"/>
      <c r="N111" s="300"/>
      <c r="O111" s="300"/>
      <c r="P111" s="312"/>
      <c r="Q111" s="312"/>
      <c r="R111" s="312"/>
      <c r="S111" s="312"/>
      <c r="T111" s="259"/>
      <c r="U111" s="301"/>
      <c r="W111" s="79"/>
      <c r="X111" s="13"/>
      <c r="Y111" s="78"/>
      <c r="Z111" s="79"/>
      <c r="AA111" s="13"/>
      <c r="AJ111" s="1" t="s">
        <v>825</v>
      </c>
      <c r="AK111" s="1" t="s">
        <v>817</v>
      </c>
      <c r="AL111" s="1">
        <v>92</v>
      </c>
      <c r="AM111" s="1" t="s">
        <v>813</v>
      </c>
      <c r="AN111" s="1" t="s">
        <v>783</v>
      </c>
      <c r="AO111" s="1" t="s">
        <v>778</v>
      </c>
      <c r="AP111" s="1">
        <v>-79.617699999999999</v>
      </c>
      <c r="AQ111" s="1">
        <v>512</v>
      </c>
      <c r="AR111" s="1" t="s">
        <v>780</v>
      </c>
      <c r="AS111" s="1">
        <v>48.633400000000002</v>
      </c>
      <c r="AT111" s="1">
        <v>440</v>
      </c>
      <c r="AV111" s="1" t="str">
        <f t="shared" si="30"/>
        <v>B37End-I</v>
      </c>
      <c r="AW111" s="1">
        <f t="shared" si="31"/>
        <v>5.12</v>
      </c>
      <c r="AX111" s="1">
        <f t="shared" si="32"/>
        <v>4.4000000000000004</v>
      </c>
    </row>
    <row r="112" spans="1:50" x14ac:dyDescent="0.25">
      <c r="A112" s="5"/>
      <c r="B112" s="312"/>
      <c r="C112" s="312"/>
      <c r="D112" s="300"/>
      <c r="E112" s="300"/>
      <c r="F112" s="300"/>
      <c r="G112" s="300"/>
      <c r="H112" s="300"/>
      <c r="I112" s="300"/>
      <c r="J112" s="300"/>
      <c r="K112" s="300"/>
      <c r="L112" s="300"/>
      <c r="M112" s="300"/>
      <c r="N112" s="300"/>
      <c r="O112" s="300"/>
      <c r="P112" s="312"/>
      <c r="Q112" s="312"/>
      <c r="R112" s="312"/>
      <c r="S112" s="312"/>
      <c r="T112" s="259"/>
      <c r="U112" s="301"/>
      <c r="W112" s="79"/>
      <c r="X112" s="13"/>
      <c r="Y112" s="78"/>
      <c r="Z112" s="79"/>
      <c r="AA112" s="13"/>
      <c r="AJ112" s="1" t="s">
        <v>825</v>
      </c>
      <c r="AK112" s="1" t="s">
        <v>817</v>
      </c>
      <c r="AL112" s="1">
        <v>92</v>
      </c>
      <c r="AM112" s="1" t="s">
        <v>813</v>
      </c>
      <c r="AN112" s="1" t="s">
        <v>784</v>
      </c>
      <c r="AO112" s="1" t="s">
        <v>780</v>
      </c>
      <c r="AP112" s="1">
        <v>-27.6267</v>
      </c>
      <c r="AQ112" s="1">
        <v>440</v>
      </c>
      <c r="AR112" s="1" t="s">
        <v>778</v>
      </c>
      <c r="AS112" s="1">
        <v>35.7239</v>
      </c>
      <c r="AT112" s="1">
        <v>440</v>
      </c>
      <c r="AV112" s="1" t="str">
        <f t="shared" si="30"/>
        <v>B37Middle</v>
      </c>
      <c r="AW112" s="1">
        <f t="shared" si="31"/>
        <v>4.4000000000000004</v>
      </c>
      <c r="AX112" s="1">
        <f t="shared" si="32"/>
        <v>4.4000000000000004</v>
      </c>
    </row>
    <row r="113" spans="1:53" x14ac:dyDescent="0.25">
      <c r="A113" s="5"/>
      <c r="B113" s="312"/>
      <c r="C113" s="312"/>
      <c r="D113" s="300"/>
      <c r="E113" s="300"/>
      <c r="F113" s="300"/>
      <c r="G113" s="300"/>
      <c r="H113" s="300"/>
      <c r="I113" s="300"/>
      <c r="J113" s="300"/>
      <c r="K113" s="300"/>
      <c r="L113" s="300"/>
      <c r="M113" s="300"/>
      <c r="N113" s="300"/>
      <c r="O113" s="300"/>
      <c r="P113" s="312"/>
      <c r="Q113" s="312"/>
      <c r="R113" s="312"/>
      <c r="S113" s="312"/>
      <c r="T113" s="259"/>
      <c r="U113" s="301"/>
      <c r="W113" s="79"/>
      <c r="X113" s="13"/>
      <c r="Y113" s="78"/>
      <c r="Z113" s="79"/>
      <c r="AA113" s="13"/>
      <c r="AJ113" s="1" t="s">
        <v>825</v>
      </c>
      <c r="AK113" s="1" t="s">
        <v>817</v>
      </c>
      <c r="AL113" s="1">
        <v>92</v>
      </c>
      <c r="AM113" s="1" t="s">
        <v>813</v>
      </c>
      <c r="AN113" s="1" t="s">
        <v>785</v>
      </c>
      <c r="AO113" s="1" t="s">
        <v>778</v>
      </c>
      <c r="AP113" s="1">
        <v>-75.834000000000003</v>
      </c>
      <c r="AQ113" s="1">
        <v>488</v>
      </c>
      <c r="AR113" s="1" t="s">
        <v>780</v>
      </c>
      <c r="AS113" s="1">
        <v>49.144199999999998</v>
      </c>
      <c r="AT113" s="1">
        <v>440</v>
      </c>
      <c r="AV113" s="1" t="str">
        <f t="shared" si="30"/>
        <v>B37End-J</v>
      </c>
      <c r="AW113" s="1">
        <f t="shared" si="31"/>
        <v>4.88</v>
      </c>
      <c r="AX113" s="1">
        <f t="shared" si="32"/>
        <v>4.4000000000000004</v>
      </c>
    </row>
    <row r="114" spans="1:53" x14ac:dyDescent="0.25">
      <c r="A114" s="5"/>
      <c r="B114" s="312"/>
      <c r="C114" s="312"/>
      <c r="D114" s="300"/>
      <c r="E114" s="300"/>
      <c r="F114" s="300"/>
      <c r="G114" s="300"/>
      <c r="H114" s="300"/>
      <c r="I114" s="300"/>
      <c r="J114" s="300"/>
      <c r="K114" s="300"/>
      <c r="L114" s="300"/>
      <c r="M114" s="300"/>
      <c r="N114" s="300"/>
      <c r="O114" s="300"/>
      <c r="P114" s="312"/>
      <c r="Q114" s="312"/>
      <c r="R114" s="312"/>
      <c r="S114" s="312"/>
      <c r="T114" s="259"/>
      <c r="U114" s="301"/>
      <c r="W114" s="79"/>
      <c r="X114" s="13"/>
      <c r="Y114" s="78"/>
      <c r="Z114" s="79"/>
      <c r="AA114" s="13"/>
      <c r="AJ114" s="1" t="s">
        <v>825</v>
      </c>
      <c r="AK114" s="1" t="s">
        <v>809</v>
      </c>
      <c r="AL114" s="1">
        <v>107</v>
      </c>
      <c r="AM114" s="1" t="s">
        <v>814</v>
      </c>
      <c r="AN114" s="1" t="s">
        <v>783</v>
      </c>
      <c r="AO114" s="1" t="s">
        <v>776</v>
      </c>
      <c r="AP114" s="1">
        <v>-103.4427</v>
      </c>
      <c r="AQ114" s="1">
        <v>676</v>
      </c>
      <c r="AR114" s="1" t="s">
        <v>776</v>
      </c>
      <c r="AS114" s="1">
        <v>53.7423</v>
      </c>
      <c r="AT114" s="1">
        <v>513</v>
      </c>
      <c r="AV114" s="1" t="str">
        <f t="shared" si="30"/>
        <v>B39End-I</v>
      </c>
      <c r="AW114" s="1">
        <f t="shared" si="31"/>
        <v>6.76</v>
      </c>
      <c r="AX114" s="1">
        <f t="shared" si="32"/>
        <v>5.13</v>
      </c>
    </row>
    <row r="115" spans="1:53" x14ac:dyDescent="0.25">
      <c r="A115" s="5"/>
      <c r="B115" s="312"/>
      <c r="C115" s="312"/>
      <c r="D115" s="300"/>
      <c r="E115" s="300"/>
      <c r="F115" s="300"/>
      <c r="G115" s="300"/>
      <c r="H115" s="300"/>
      <c r="I115" s="300"/>
      <c r="J115" s="300"/>
      <c r="K115" s="300"/>
      <c r="L115" s="300"/>
      <c r="M115" s="300"/>
      <c r="N115" s="300"/>
      <c r="O115" s="300"/>
      <c r="P115" s="312"/>
      <c r="Q115" s="312"/>
      <c r="R115" s="312"/>
      <c r="S115" s="312"/>
      <c r="T115" s="259"/>
      <c r="U115" s="301"/>
      <c r="W115" s="79"/>
      <c r="X115" s="13"/>
      <c r="Y115" s="78"/>
      <c r="Z115" s="79"/>
      <c r="AA115" s="13"/>
      <c r="AJ115" s="1" t="s">
        <v>825</v>
      </c>
      <c r="AK115" s="1" t="s">
        <v>809</v>
      </c>
      <c r="AL115" s="1">
        <v>107</v>
      </c>
      <c r="AM115" s="1" t="s">
        <v>814</v>
      </c>
      <c r="AN115" s="1" t="s">
        <v>784</v>
      </c>
      <c r="AO115" s="1" t="s">
        <v>776</v>
      </c>
      <c r="AP115" s="1">
        <v>-25.860700000000001</v>
      </c>
      <c r="AQ115" s="1">
        <v>513</v>
      </c>
      <c r="AR115" s="1" t="s">
        <v>781</v>
      </c>
      <c r="AS115" s="1">
        <v>68.873000000000005</v>
      </c>
      <c r="AT115" s="1">
        <v>513</v>
      </c>
      <c r="AV115" s="1" t="str">
        <f t="shared" si="30"/>
        <v>B39Middle</v>
      </c>
      <c r="AW115" s="1">
        <f t="shared" si="31"/>
        <v>5.13</v>
      </c>
      <c r="AX115" s="1">
        <f t="shared" si="32"/>
        <v>5.13</v>
      </c>
    </row>
    <row r="116" spans="1:53" x14ac:dyDescent="0.25">
      <c r="A116" s="5"/>
      <c r="B116" s="312"/>
      <c r="C116" s="312"/>
      <c r="D116" s="300"/>
      <c r="E116" s="300"/>
      <c r="F116" s="300"/>
      <c r="G116" s="300"/>
      <c r="H116" s="300"/>
      <c r="I116" s="300"/>
      <c r="J116" s="300"/>
      <c r="K116" s="300"/>
      <c r="L116" s="300"/>
      <c r="M116" s="300"/>
      <c r="N116" s="300"/>
      <c r="O116" s="300"/>
      <c r="P116" s="312"/>
      <c r="Q116" s="312"/>
      <c r="R116" s="312"/>
      <c r="S116" s="312"/>
      <c r="T116" s="259"/>
      <c r="U116" s="301"/>
      <c r="W116" s="79"/>
      <c r="X116" s="13"/>
      <c r="Y116" s="78"/>
      <c r="Z116" s="79"/>
      <c r="AA116" s="13"/>
      <c r="AJ116" s="1" t="s">
        <v>825</v>
      </c>
      <c r="AK116" s="1" t="s">
        <v>809</v>
      </c>
      <c r="AL116" s="1">
        <v>107</v>
      </c>
      <c r="AM116" s="1" t="s">
        <v>814</v>
      </c>
      <c r="AN116" s="1" t="s">
        <v>785</v>
      </c>
      <c r="AO116" s="1" t="s">
        <v>776</v>
      </c>
      <c r="AP116" s="1">
        <v>-94.946299999999994</v>
      </c>
      <c r="AQ116" s="1">
        <v>618</v>
      </c>
      <c r="AR116" s="1" t="s">
        <v>776</v>
      </c>
      <c r="AS116" s="1">
        <v>47.473199999999999</v>
      </c>
      <c r="AT116" s="1">
        <v>513</v>
      </c>
      <c r="AV116" s="1" t="str">
        <f t="shared" si="30"/>
        <v>B39End-J</v>
      </c>
      <c r="AW116" s="1">
        <f t="shared" si="31"/>
        <v>6.18</v>
      </c>
      <c r="AX116" s="1">
        <f t="shared" si="32"/>
        <v>5.13</v>
      </c>
    </row>
    <row r="117" spans="1:53" x14ac:dyDescent="0.25">
      <c r="A117" s="5"/>
      <c r="B117" s="312"/>
      <c r="C117" s="312"/>
      <c r="D117" s="300"/>
      <c r="E117" s="300"/>
      <c r="F117" s="300"/>
      <c r="G117" s="300"/>
      <c r="H117" s="300"/>
      <c r="I117" s="300"/>
      <c r="J117" s="300"/>
      <c r="K117" s="300"/>
      <c r="L117" s="300"/>
      <c r="M117" s="300"/>
      <c r="N117" s="300"/>
      <c r="O117" s="300"/>
      <c r="P117" s="312"/>
      <c r="Q117" s="312"/>
      <c r="R117" s="312"/>
      <c r="S117" s="312"/>
      <c r="T117" s="259"/>
      <c r="U117" s="301"/>
      <c r="W117" s="79"/>
      <c r="X117" s="13"/>
      <c r="Y117" s="78"/>
      <c r="Z117" s="79"/>
      <c r="AA117" s="13"/>
      <c r="AJ117" s="1" t="s">
        <v>825</v>
      </c>
      <c r="AK117" s="1" t="s">
        <v>810</v>
      </c>
      <c r="AL117" s="1">
        <v>305</v>
      </c>
      <c r="AM117" s="1" t="s">
        <v>813</v>
      </c>
      <c r="AN117" s="1" t="s">
        <v>783</v>
      </c>
      <c r="AO117" s="1" t="s">
        <v>778</v>
      </c>
      <c r="AP117" s="1">
        <v>-20.158999999999999</v>
      </c>
      <c r="AQ117" s="1">
        <v>440</v>
      </c>
      <c r="AR117" s="1" t="s">
        <v>778</v>
      </c>
      <c r="AS117" s="1">
        <v>10.079499999999999</v>
      </c>
      <c r="AT117" s="1">
        <v>440</v>
      </c>
      <c r="AV117" s="1" t="str">
        <f t="shared" si="30"/>
        <v>B41End-I</v>
      </c>
      <c r="AW117" s="1">
        <f t="shared" si="31"/>
        <v>4.4000000000000004</v>
      </c>
      <c r="AX117" s="1">
        <f t="shared" si="32"/>
        <v>4.4000000000000004</v>
      </c>
      <c r="BA117" s="69"/>
    </row>
    <row r="118" spans="1:53" x14ac:dyDescent="0.25">
      <c r="A118" s="5"/>
      <c r="B118" s="312"/>
      <c r="C118" s="312"/>
      <c r="D118" s="300"/>
      <c r="E118" s="300"/>
      <c r="F118" s="300"/>
      <c r="G118" s="300"/>
      <c r="H118" s="300"/>
      <c r="I118" s="300"/>
      <c r="J118" s="300"/>
      <c r="K118" s="300"/>
      <c r="L118" s="300"/>
      <c r="M118" s="300"/>
      <c r="N118" s="300"/>
      <c r="O118" s="300"/>
      <c r="P118" s="312"/>
      <c r="Q118" s="312"/>
      <c r="R118" s="312"/>
      <c r="S118" s="312"/>
      <c r="T118" s="259"/>
      <c r="U118" s="301"/>
      <c r="W118" s="79"/>
      <c r="X118" s="13"/>
      <c r="Y118" s="78"/>
      <c r="Z118" s="79"/>
      <c r="AA118" s="13"/>
      <c r="AJ118" s="1" t="s">
        <v>825</v>
      </c>
      <c r="AK118" s="1" t="s">
        <v>810</v>
      </c>
      <c r="AL118" s="1">
        <v>305</v>
      </c>
      <c r="AM118" s="1" t="s">
        <v>813</v>
      </c>
      <c r="AN118" s="1" t="s">
        <v>784</v>
      </c>
      <c r="AO118" s="1" t="s">
        <v>778</v>
      </c>
      <c r="AP118" s="1">
        <v>-12.146699999999999</v>
      </c>
      <c r="AQ118" s="1">
        <v>440</v>
      </c>
      <c r="AR118" s="1" t="s">
        <v>778</v>
      </c>
      <c r="AS118" s="1">
        <v>7.4749999999999996</v>
      </c>
      <c r="AT118" s="1">
        <v>440</v>
      </c>
      <c r="AV118" s="1" t="str">
        <f t="shared" si="30"/>
        <v>B41Middle</v>
      </c>
      <c r="AW118" s="1">
        <f t="shared" si="31"/>
        <v>4.4000000000000004</v>
      </c>
      <c r="AX118" s="1">
        <f t="shared" si="32"/>
        <v>4.4000000000000004</v>
      </c>
      <c r="BA118" s="69"/>
    </row>
    <row r="119" spans="1:53" x14ac:dyDescent="0.25">
      <c r="A119" s="5"/>
      <c r="B119" s="312"/>
      <c r="C119" s="312"/>
      <c r="D119" s="300"/>
      <c r="E119" s="300"/>
      <c r="F119" s="300"/>
      <c r="G119" s="300"/>
      <c r="H119" s="300"/>
      <c r="I119" s="300"/>
      <c r="J119" s="300"/>
      <c r="K119" s="300"/>
      <c r="L119" s="300"/>
      <c r="M119" s="300"/>
      <c r="N119" s="300"/>
      <c r="O119" s="300"/>
      <c r="P119" s="312"/>
      <c r="Q119" s="312"/>
      <c r="R119" s="312"/>
      <c r="S119" s="312"/>
      <c r="T119" s="259"/>
      <c r="U119" s="301"/>
      <c r="W119" s="79"/>
      <c r="X119" s="13"/>
      <c r="Y119" s="78"/>
      <c r="Z119" s="79"/>
      <c r="AA119" s="13"/>
      <c r="AJ119" s="1" t="s">
        <v>825</v>
      </c>
      <c r="AK119" s="1" t="s">
        <v>810</v>
      </c>
      <c r="AL119" s="1">
        <v>305</v>
      </c>
      <c r="AM119" s="1" t="s">
        <v>813</v>
      </c>
      <c r="AN119" s="1" t="s">
        <v>785</v>
      </c>
      <c r="AO119" s="1" t="s">
        <v>780</v>
      </c>
      <c r="AP119" s="1">
        <v>-1.5002</v>
      </c>
      <c r="AQ119" s="1">
        <v>440</v>
      </c>
      <c r="AR119" s="1" t="s">
        <v>778</v>
      </c>
      <c r="AS119" s="1">
        <v>12.087199999999999</v>
      </c>
      <c r="AT119" s="1">
        <v>440</v>
      </c>
      <c r="AV119" s="1" t="str">
        <f t="shared" si="30"/>
        <v>B41End-J</v>
      </c>
      <c r="AW119" s="1">
        <f t="shared" si="31"/>
        <v>4.4000000000000004</v>
      </c>
      <c r="AX119" s="1">
        <f t="shared" si="32"/>
        <v>4.4000000000000004</v>
      </c>
      <c r="BA119" s="69"/>
    </row>
    <row r="120" spans="1:53" x14ac:dyDescent="0.25">
      <c r="A120" s="5"/>
      <c r="B120" s="312"/>
      <c r="C120" s="312"/>
      <c r="D120" s="300"/>
      <c r="E120" s="300"/>
      <c r="F120" s="300"/>
      <c r="G120" s="300"/>
      <c r="H120" s="300"/>
      <c r="I120" s="300"/>
      <c r="J120" s="300"/>
      <c r="K120" s="300"/>
      <c r="L120" s="300"/>
      <c r="M120" s="300"/>
      <c r="N120" s="300"/>
      <c r="O120" s="300"/>
      <c r="P120" s="312"/>
      <c r="Q120" s="312"/>
      <c r="R120" s="312"/>
      <c r="S120" s="312"/>
      <c r="T120" s="259"/>
      <c r="U120" s="301"/>
      <c r="W120" s="79"/>
      <c r="X120" s="13"/>
      <c r="Y120" s="78"/>
      <c r="Z120" s="79"/>
      <c r="AA120" s="13"/>
      <c r="AJ120" s="1" t="s">
        <v>825</v>
      </c>
      <c r="AK120" s="1" t="s">
        <v>818</v>
      </c>
      <c r="AL120" s="1">
        <v>62</v>
      </c>
      <c r="AM120" s="1" t="s">
        <v>813</v>
      </c>
      <c r="AN120" s="1" t="s">
        <v>783</v>
      </c>
      <c r="AO120" s="1" t="s">
        <v>778</v>
      </c>
      <c r="AP120" s="1">
        <v>-87.131900000000002</v>
      </c>
      <c r="AQ120" s="1">
        <v>570</v>
      </c>
      <c r="AR120" s="1" t="s">
        <v>780</v>
      </c>
      <c r="AS120" s="1">
        <v>76.740399999999994</v>
      </c>
      <c r="AT120" s="1">
        <v>502</v>
      </c>
      <c r="AV120" s="1" t="str">
        <f t="shared" si="30"/>
        <v>B46End-I</v>
      </c>
      <c r="AW120" s="1">
        <f t="shared" si="31"/>
        <v>5.7</v>
      </c>
      <c r="AX120" s="1">
        <f t="shared" si="32"/>
        <v>5.0199999999999996</v>
      </c>
      <c r="BA120" s="69"/>
    </row>
    <row r="121" spans="1:53" x14ac:dyDescent="0.25">
      <c r="A121" s="5"/>
      <c r="B121" s="312"/>
      <c r="C121" s="312"/>
      <c r="D121" s="300"/>
      <c r="E121" s="300"/>
      <c r="F121" s="300"/>
      <c r="G121" s="300"/>
      <c r="H121" s="300"/>
      <c r="I121" s="300"/>
      <c r="J121" s="300"/>
      <c r="K121" s="300"/>
      <c r="L121" s="300"/>
      <c r="M121" s="300"/>
      <c r="N121" s="300"/>
      <c r="O121" s="300"/>
      <c r="P121" s="312"/>
      <c r="Q121" s="312"/>
      <c r="R121" s="312"/>
      <c r="S121" s="312"/>
      <c r="T121" s="259"/>
      <c r="U121" s="301"/>
      <c r="W121" s="79"/>
      <c r="X121" s="13"/>
      <c r="Y121" s="78"/>
      <c r="Z121" s="79"/>
      <c r="AA121" s="13"/>
      <c r="AJ121" s="1" t="s">
        <v>825</v>
      </c>
      <c r="AK121" s="1" t="s">
        <v>818</v>
      </c>
      <c r="AL121" s="1">
        <v>62</v>
      </c>
      <c r="AM121" s="1" t="s">
        <v>813</v>
      </c>
      <c r="AN121" s="1" t="s">
        <v>784</v>
      </c>
      <c r="AO121" s="1" t="s">
        <v>778</v>
      </c>
      <c r="AP121" s="1">
        <v>-39.855699999999999</v>
      </c>
      <c r="AQ121" s="1">
        <v>440</v>
      </c>
      <c r="AR121" s="1" t="s">
        <v>778</v>
      </c>
      <c r="AS121" s="1">
        <v>44.996699999999997</v>
      </c>
      <c r="AT121" s="1">
        <v>440</v>
      </c>
      <c r="AV121" s="1" t="str">
        <f t="shared" si="30"/>
        <v>B46Middle</v>
      </c>
      <c r="AW121" s="1">
        <f t="shared" si="31"/>
        <v>4.4000000000000004</v>
      </c>
      <c r="AX121" s="1">
        <f t="shared" si="32"/>
        <v>4.4000000000000004</v>
      </c>
      <c r="BA121" s="69"/>
    </row>
    <row r="122" spans="1:53" x14ac:dyDescent="0.25">
      <c r="A122" s="5"/>
      <c r="B122" s="312"/>
      <c r="C122" s="312"/>
      <c r="D122" s="300"/>
      <c r="E122" s="300"/>
      <c r="F122" s="300"/>
      <c r="G122" s="300"/>
      <c r="H122" s="300"/>
      <c r="I122" s="300"/>
      <c r="J122" s="300"/>
      <c r="K122" s="300"/>
      <c r="L122" s="300"/>
      <c r="M122" s="300"/>
      <c r="N122" s="300"/>
      <c r="O122" s="300"/>
      <c r="P122" s="312"/>
      <c r="Q122" s="312"/>
      <c r="R122" s="312"/>
      <c r="S122" s="312"/>
      <c r="T122" s="259"/>
      <c r="U122" s="301"/>
      <c r="W122" s="79"/>
      <c r="X122" s="13"/>
      <c r="Y122" s="78"/>
      <c r="Z122" s="79"/>
      <c r="AA122" s="13"/>
      <c r="AJ122" s="1" t="s">
        <v>825</v>
      </c>
      <c r="AK122" s="1" t="s">
        <v>818</v>
      </c>
      <c r="AL122" s="1">
        <v>62</v>
      </c>
      <c r="AM122" s="1" t="s">
        <v>813</v>
      </c>
      <c r="AN122" s="1" t="s">
        <v>785</v>
      </c>
      <c r="AO122" s="1" t="s">
        <v>780</v>
      </c>
      <c r="AP122" s="1">
        <v>-83.1922</v>
      </c>
      <c r="AQ122" s="1">
        <v>544</v>
      </c>
      <c r="AR122" s="1" t="s">
        <v>778</v>
      </c>
      <c r="AS122" s="1">
        <v>82.571100000000001</v>
      </c>
      <c r="AT122" s="1">
        <v>540</v>
      </c>
      <c r="AV122" s="1" t="str">
        <f t="shared" si="30"/>
        <v>B46End-J</v>
      </c>
      <c r="AW122" s="1">
        <f t="shared" si="31"/>
        <v>5.44</v>
      </c>
      <c r="AX122" s="1">
        <f t="shared" si="32"/>
        <v>5.4</v>
      </c>
      <c r="BA122" s="69"/>
    </row>
    <row r="123" spans="1:53" x14ac:dyDescent="0.25">
      <c r="A123" s="5"/>
      <c r="B123" s="312"/>
      <c r="C123" s="312"/>
      <c r="D123" s="300"/>
      <c r="E123" s="300"/>
      <c r="F123" s="300"/>
      <c r="G123" s="300"/>
      <c r="H123" s="300"/>
      <c r="I123" s="300"/>
      <c r="J123" s="300"/>
      <c r="K123" s="300"/>
      <c r="L123" s="300"/>
      <c r="M123" s="300"/>
      <c r="N123" s="300"/>
      <c r="O123" s="300"/>
      <c r="P123" s="312"/>
      <c r="Q123" s="312"/>
      <c r="R123" s="312"/>
      <c r="S123" s="312"/>
      <c r="T123" s="259"/>
      <c r="U123" s="301"/>
      <c r="W123" s="79"/>
      <c r="X123" s="13"/>
      <c r="Y123" s="78"/>
      <c r="Z123" s="79"/>
      <c r="AA123" s="13"/>
      <c r="AJ123" s="1" t="s">
        <v>825</v>
      </c>
      <c r="AK123" s="1" t="s">
        <v>819</v>
      </c>
      <c r="AL123" s="1">
        <v>307</v>
      </c>
      <c r="AM123" s="1" t="s">
        <v>813</v>
      </c>
      <c r="AN123" s="1" t="s">
        <v>783</v>
      </c>
      <c r="AO123" s="1" t="s">
        <v>776</v>
      </c>
      <c r="AP123" s="1">
        <v>-7.5522</v>
      </c>
      <c r="AQ123" s="1">
        <v>440</v>
      </c>
      <c r="AR123" s="1" t="s">
        <v>812</v>
      </c>
      <c r="AS123" s="1">
        <v>31.290199999999999</v>
      </c>
      <c r="AT123" s="1">
        <v>440</v>
      </c>
      <c r="AV123" s="1" t="str">
        <f t="shared" si="30"/>
        <v>B47End-I</v>
      </c>
      <c r="AW123" s="1">
        <f t="shared" si="31"/>
        <v>4.4000000000000004</v>
      </c>
      <c r="AX123" s="1">
        <f t="shared" si="32"/>
        <v>4.4000000000000004</v>
      </c>
      <c r="BA123" s="69"/>
    </row>
    <row r="124" spans="1:53" x14ac:dyDescent="0.25">
      <c r="A124" s="5"/>
      <c r="B124" s="312"/>
      <c r="C124" s="312"/>
      <c r="D124" s="300"/>
      <c r="E124" s="300"/>
      <c r="F124" s="300"/>
      <c r="G124" s="300"/>
      <c r="H124" s="300"/>
      <c r="I124" s="300"/>
      <c r="J124" s="300"/>
      <c r="K124" s="300"/>
      <c r="L124" s="300"/>
      <c r="M124" s="300"/>
      <c r="N124" s="300"/>
      <c r="O124" s="300"/>
      <c r="P124" s="312"/>
      <c r="Q124" s="312"/>
      <c r="R124" s="312"/>
      <c r="S124" s="312"/>
      <c r="T124" s="259"/>
      <c r="U124" s="301"/>
      <c r="W124" s="79"/>
      <c r="X124" s="13"/>
      <c r="Y124" s="78"/>
      <c r="Z124" s="79"/>
      <c r="AA124" s="13"/>
      <c r="AJ124" s="1" t="s">
        <v>825</v>
      </c>
      <c r="AK124" s="1" t="s">
        <v>819</v>
      </c>
      <c r="AL124" s="1">
        <v>307</v>
      </c>
      <c r="AM124" s="1" t="s">
        <v>813</v>
      </c>
      <c r="AN124" s="1" t="s">
        <v>784</v>
      </c>
      <c r="AO124" s="1" t="s">
        <v>776</v>
      </c>
      <c r="AP124" s="1">
        <v>-7.5522</v>
      </c>
      <c r="AQ124" s="1">
        <v>440</v>
      </c>
      <c r="AR124" s="1" t="s">
        <v>776</v>
      </c>
      <c r="AS124" s="1">
        <v>37.615400000000001</v>
      </c>
      <c r="AT124" s="1">
        <v>440</v>
      </c>
      <c r="AV124" s="1" t="str">
        <f t="shared" si="30"/>
        <v>B47Middle</v>
      </c>
      <c r="AW124" s="1">
        <f t="shared" si="31"/>
        <v>4.4000000000000004</v>
      </c>
      <c r="AX124" s="1">
        <f t="shared" si="32"/>
        <v>4.4000000000000004</v>
      </c>
      <c r="BA124" s="69"/>
    </row>
    <row r="125" spans="1:53" x14ac:dyDescent="0.25">
      <c r="A125" s="5"/>
      <c r="B125" s="312"/>
      <c r="C125" s="312"/>
      <c r="D125" s="300"/>
      <c r="E125" s="300"/>
      <c r="F125" s="300"/>
      <c r="G125" s="300"/>
      <c r="H125" s="300"/>
      <c r="I125" s="300"/>
      <c r="J125" s="300"/>
      <c r="K125" s="300"/>
      <c r="L125" s="300"/>
      <c r="M125" s="300"/>
      <c r="N125" s="300"/>
      <c r="O125" s="300"/>
      <c r="P125" s="312"/>
      <c r="Q125" s="312"/>
      <c r="R125" s="312"/>
      <c r="S125" s="312"/>
      <c r="T125" s="259"/>
      <c r="U125" s="301"/>
      <c r="W125" s="79"/>
      <c r="X125" s="13"/>
      <c r="Y125" s="78"/>
      <c r="Z125" s="79"/>
      <c r="AA125" s="13"/>
      <c r="AJ125" s="1" t="s">
        <v>825</v>
      </c>
      <c r="AK125" s="1" t="s">
        <v>819</v>
      </c>
      <c r="AL125" s="1">
        <v>307</v>
      </c>
      <c r="AM125" s="1" t="s">
        <v>813</v>
      </c>
      <c r="AN125" s="1" t="s">
        <v>785</v>
      </c>
      <c r="AO125" s="1" t="s">
        <v>776</v>
      </c>
      <c r="AP125" s="1">
        <v>-7.5522</v>
      </c>
      <c r="AQ125" s="1">
        <v>440</v>
      </c>
      <c r="AR125" s="1" t="s">
        <v>776</v>
      </c>
      <c r="AS125" s="1">
        <v>35.880200000000002</v>
      </c>
      <c r="AT125" s="1">
        <v>440</v>
      </c>
      <c r="AV125" s="1" t="str">
        <f t="shared" si="30"/>
        <v>B47End-J</v>
      </c>
      <c r="AW125" s="1">
        <f t="shared" si="31"/>
        <v>4.4000000000000004</v>
      </c>
      <c r="AX125" s="1">
        <f t="shared" si="32"/>
        <v>4.4000000000000004</v>
      </c>
    </row>
    <row r="126" spans="1:53" x14ac:dyDescent="0.25">
      <c r="A126" s="5"/>
      <c r="B126" s="312"/>
      <c r="C126" s="312"/>
      <c r="D126" s="300"/>
      <c r="E126" s="300"/>
      <c r="F126" s="300"/>
      <c r="G126" s="300"/>
      <c r="H126" s="300"/>
      <c r="I126" s="300"/>
      <c r="J126" s="300"/>
      <c r="K126" s="300"/>
      <c r="L126" s="300"/>
      <c r="M126" s="300"/>
      <c r="N126" s="300"/>
      <c r="O126" s="300"/>
      <c r="P126" s="312"/>
      <c r="Q126" s="312"/>
      <c r="R126" s="312"/>
      <c r="S126" s="312"/>
      <c r="T126" s="259"/>
      <c r="U126" s="301"/>
      <c r="W126" s="79"/>
      <c r="X126" s="13"/>
      <c r="Y126" s="78"/>
      <c r="Z126" s="79"/>
      <c r="AA126" s="13"/>
      <c r="AJ126" s="1" t="s">
        <v>825</v>
      </c>
      <c r="AK126" s="1" t="s">
        <v>820</v>
      </c>
      <c r="AL126" s="1">
        <v>231</v>
      </c>
      <c r="AM126" s="1" t="s">
        <v>813</v>
      </c>
      <c r="AN126" s="1" t="s">
        <v>783</v>
      </c>
      <c r="AO126" s="1" t="s">
        <v>780</v>
      </c>
      <c r="AP126" s="1">
        <v>-15.8261</v>
      </c>
      <c r="AQ126" s="1">
        <v>440</v>
      </c>
      <c r="AR126" s="1" t="s">
        <v>778</v>
      </c>
      <c r="AS126" s="1">
        <v>28.008099999999999</v>
      </c>
      <c r="AT126" s="1">
        <v>440</v>
      </c>
      <c r="AV126" s="1" t="str">
        <f t="shared" si="30"/>
        <v>B48End-I</v>
      </c>
      <c r="AW126" s="1">
        <f t="shared" si="31"/>
        <v>4.4000000000000004</v>
      </c>
      <c r="AX126" s="1">
        <f t="shared" si="32"/>
        <v>4.4000000000000004</v>
      </c>
    </row>
    <row r="127" spans="1:53" x14ac:dyDescent="0.25">
      <c r="A127" s="9"/>
      <c r="B127" s="220"/>
      <c r="C127" s="220"/>
      <c r="D127" s="315"/>
      <c r="E127" s="315"/>
      <c r="F127" s="315"/>
      <c r="G127" s="315"/>
      <c r="H127" s="315"/>
      <c r="I127" s="315"/>
      <c r="J127" s="315"/>
      <c r="K127" s="315"/>
      <c r="L127" s="315"/>
      <c r="M127" s="315"/>
      <c r="N127" s="315"/>
      <c r="O127" s="315"/>
      <c r="P127" s="220"/>
      <c r="Q127" s="220"/>
      <c r="R127" s="220"/>
      <c r="S127" s="220"/>
      <c r="T127" s="316"/>
      <c r="U127" s="317"/>
      <c r="W127" s="79"/>
      <c r="X127" s="13"/>
      <c r="Y127" s="78"/>
      <c r="Z127" s="79"/>
      <c r="AA127" s="13"/>
      <c r="AJ127" s="1" t="s">
        <v>825</v>
      </c>
      <c r="AK127" s="1" t="s">
        <v>820</v>
      </c>
      <c r="AL127" s="1">
        <v>231</v>
      </c>
      <c r="AM127" s="1" t="s">
        <v>813</v>
      </c>
      <c r="AN127" s="1" t="s">
        <v>784</v>
      </c>
      <c r="AO127" s="1" t="s">
        <v>778</v>
      </c>
      <c r="AP127" s="1">
        <v>-9.1392000000000007</v>
      </c>
      <c r="AQ127" s="1">
        <v>440</v>
      </c>
      <c r="AR127" s="1" t="s">
        <v>778</v>
      </c>
      <c r="AS127" s="1">
        <v>17.579899999999999</v>
      </c>
      <c r="AT127" s="1">
        <v>440</v>
      </c>
      <c r="AV127" s="1" t="str">
        <f t="shared" si="30"/>
        <v>B48Middle</v>
      </c>
      <c r="AW127" s="1">
        <f t="shared" si="31"/>
        <v>4.4000000000000004</v>
      </c>
      <c r="AX127" s="1">
        <f t="shared" si="32"/>
        <v>4.4000000000000004</v>
      </c>
    </row>
    <row r="128" spans="1:53" x14ac:dyDescent="0.25">
      <c r="B128" s="312"/>
      <c r="C128" s="312"/>
      <c r="D128" s="300"/>
      <c r="E128" s="300"/>
      <c r="F128" s="300"/>
      <c r="G128" s="300"/>
      <c r="H128" s="300"/>
      <c r="I128" s="300"/>
      <c r="J128" s="300"/>
      <c r="K128" s="300"/>
      <c r="L128" s="300"/>
      <c r="M128" s="300"/>
      <c r="N128" s="300"/>
      <c r="O128" s="300"/>
      <c r="P128" s="312"/>
      <c r="Q128" s="312"/>
      <c r="R128" s="312"/>
      <c r="S128" s="312"/>
      <c r="T128" s="259"/>
      <c r="U128" s="301"/>
      <c r="W128" s="79"/>
      <c r="X128" s="13"/>
      <c r="Y128" s="78"/>
      <c r="Z128" s="79"/>
      <c r="AA128" s="13"/>
      <c r="AJ128" s="1" t="s">
        <v>825</v>
      </c>
      <c r="AK128" s="1" t="s">
        <v>820</v>
      </c>
      <c r="AL128" s="1">
        <v>231</v>
      </c>
      <c r="AM128" s="1" t="s">
        <v>813</v>
      </c>
      <c r="AN128" s="1" t="s">
        <v>785</v>
      </c>
      <c r="AO128" s="1" t="s">
        <v>778</v>
      </c>
      <c r="AP128" s="1">
        <v>-36.556899999999999</v>
      </c>
      <c r="AQ128" s="1">
        <v>440</v>
      </c>
      <c r="AR128" s="1" t="s">
        <v>778</v>
      </c>
      <c r="AS128" s="1">
        <v>18.278500000000001</v>
      </c>
      <c r="AT128" s="1">
        <v>440</v>
      </c>
      <c r="AV128" s="1" t="str">
        <f t="shared" si="30"/>
        <v>B48End-J</v>
      </c>
      <c r="AW128" s="1">
        <f t="shared" si="31"/>
        <v>4.4000000000000004</v>
      </c>
      <c r="AX128" s="1">
        <f t="shared" si="32"/>
        <v>4.4000000000000004</v>
      </c>
    </row>
    <row r="129" spans="2:53" x14ac:dyDescent="0.25">
      <c r="B129" s="312"/>
      <c r="C129" s="312"/>
      <c r="D129" s="300"/>
      <c r="E129" s="300"/>
      <c r="F129" s="300"/>
      <c r="G129" s="300"/>
      <c r="H129" s="300"/>
      <c r="I129" s="300"/>
      <c r="J129" s="300"/>
      <c r="K129" s="300"/>
      <c r="L129" s="300"/>
      <c r="M129" s="300"/>
      <c r="N129" s="300"/>
      <c r="O129" s="300"/>
      <c r="P129" s="312"/>
      <c r="Q129" s="312"/>
      <c r="R129" s="312"/>
      <c r="S129" s="312"/>
      <c r="T129" s="259"/>
      <c r="U129" s="301"/>
      <c r="W129" s="79"/>
      <c r="X129" s="13"/>
      <c r="Y129" s="78"/>
      <c r="Z129" s="79"/>
      <c r="AA129" s="13"/>
      <c r="AJ129" s="1" t="s">
        <v>825</v>
      </c>
      <c r="AK129" s="1" t="s">
        <v>821</v>
      </c>
      <c r="AL129" s="1">
        <v>308</v>
      </c>
      <c r="AM129" s="1" t="s">
        <v>813</v>
      </c>
      <c r="AN129" s="1" t="s">
        <v>783</v>
      </c>
      <c r="AO129" s="1" t="s">
        <v>776</v>
      </c>
      <c r="AP129" s="1">
        <v>-14.613099999999999</v>
      </c>
      <c r="AQ129" s="1">
        <v>440</v>
      </c>
      <c r="AR129" s="1" t="s">
        <v>777</v>
      </c>
      <c r="AS129" s="1">
        <v>22.872299999999999</v>
      </c>
      <c r="AT129" s="1">
        <v>440</v>
      </c>
      <c r="AV129" s="1" t="str">
        <f t="shared" si="30"/>
        <v>B49End-I</v>
      </c>
      <c r="AW129" s="1">
        <f t="shared" si="31"/>
        <v>4.4000000000000004</v>
      </c>
      <c r="AX129" s="1">
        <f t="shared" si="32"/>
        <v>4.4000000000000004</v>
      </c>
    </row>
    <row r="130" spans="2:53" x14ac:dyDescent="0.25">
      <c r="B130" s="312"/>
      <c r="C130" s="312"/>
      <c r="D130" s="300"/>
      <c r="E130" s="300"/>
      <c r="F130" s="300"/>
      <c r="G130" s="300"/>
      <c r="H130" s="300"/>
      <c r="I130" s="300"/>
      <c r="J130" s="300"/>
      <c r="K130" s="300"/>
      <c r="L130" s="300"/>
      <c r="M130" s="300"/>
      <c r="N130" s="300"/>
      <c r="O130" s="300"/>
      <c r="P130" s="312"/>
      <c r="Q130" s="312"/>
      <c r="R130" s="312"/>
      <c r="S130" s="312"/>
      <c r="T130" s="259"/>
      <c r="U130" s="301"/>
      <c r="W130" s="79"/>
      <c r="X130" s="13"/>
      <c r="Y130" s="78"/>
      <c r="Z130" s="79"/>
      <c r="AA130" s="13"/>
      <c r="AJ130" s="1" t="s">
        <v>825</v>
      </c>
      <c r="AK130" s="1" t="s">
        <v>821</v>
      </c>
      <c r="AL130" s="1">
        <v>308</v>
      </c>
      <c r="AM130" s="1" t="s">
        <v>813</v>
      </c>
      <c r="AN130" s="1" t="s">
        <v>784</v>
      </c>
      <c r="AO130" s="1" t="s">
        <v>776</v>
      </c>
      <c r="AP130" s="1">
        <v>-29.150200000000002</v>
      </c>
      <c r="AQ130" s="1">
        <v>440</v>
      </c>
      <c r="AR130" s="1" t="s">
        <v>776</v>
      </c>
      <c r="AS130" s="1">
        <v>14.613099999999999</v>
      </c>
      <c r="AT130" s="1">
        <v>440</v>
      </c>
      <c r="AV130" s="1" t="str">
        <f t="shared" si="30"/>
        <v>B49Middle</v>
      </c>
      <c r="AW130" s="1">
        <f t="shared" si="31"/>
        <v>4.4000000000000004</v>
      </c>
      <c r="AX130" s="1">
        <f t="shared" si="32"/>
        <v>4.4000000000000004</v>
      </c>
    </row>
    <row r="131" spans="2:53" x14ac:dyDescent="0.25">
      <c r="B131" s="312"/>
      <c r="C131" s="312"/>
      <c r="D131" s="300"/>
      <c r="E131" s="300"/>
      <c r="F131" s="300"/>
      <c r="G131" s="300"/>
      <c r="H131" s="300"/>
      <c r="I131" s="300"/>
      <c r="J131" s="300"/>
      <c r="K131" s="300"/>
      <c r="L131" s="300"/>
      <c r="M131" s="300"/>
      <c r="N131" s="300"/>
      <c r="O131" s="300"/>
      <c r="P131" s="312"/>
      <c r="Q131" s="312"/>
      <c r="R131" s="312"/>
      <c r="S131" s="312"/>
      <c r="T131" s="259"/>
      <c r="U131" s="301"/>
      <c r="W131" s="79"/>
      <c r="X131" s="13"/>
      <c r="Y131" s="78"/>
      <c r="Z131" s="79"/>
      <c r="AA131" s="13"/>
      <c r="AJ131" s="1" t="s">
        <v>825</v>
      </c>
      <c r="AK131" s="1" t="s">
        <v>821</v>
      </c>
      <c r="AL131" s="1">
        <v>308</v>
      </c>
      <c r="AM131" s="1" t="s">
        <v>813</v>
      </c>
      <c r="AN131" s="1" t="s">
        <v>785</v>
      </c>
      <c r="AO131" s="1" t="s">
        <v>776</v>
      </c>
      <c r="AP131" s="1">
        <v>-58.452300000000001</v>
      </c>
      <c r="AQ131" s="1">
        <v>440</v>
      </c>
      <c r="AR131" s="1" t="s">
        <v>776</v>
      </c>
      <c r="AS131" s="1">
        <v>29.226099999999999</v>
      </c>
      <c r="AT131" s="1">
        <v>440</v>
      </c>
      <c r="AV131" s="1" t="str">
        <f t="shared" si="30"/>
        <v>B49End-J</v>
      </c>
      <c r="AW131" s="1">
        <f t="shared" si="31"/>
        <v>4.4000000000000004</v>
      </c>
      <c r="AX131" s="1">
        <f t="shared" si="32"/>
        <v>4.4000000000000004</v>
      </c>
    </row>
    <row r="132" spans="2:53" x14ac:dyDescent="0.25">
      <c r="B132" s="312"/>
      <c r="C132" s="312"/>
      <c r="D132" s="300"/>
      <c r="E132" s="300"/>
      <c r="F132" s="300"/>
      <c r="G132" s="300"/>
      <c r="H132" s="300"/>
      <c r="I132" s="300"/>
      <c r="J132" s="300"/>
      <c r="K132" s="300"/>
      <c r="L132" s="300"/>
      <c r="M132" s="300"/>
      <c r="N132" s="300"/>
      <c r="O132" s="300"/>
      <c r="P132" s="312"/>
      <c r="Q132" s="312"/>
      <c r="R132" s="312"/>
      <c r="S132" s="312"/>
      <c r="T132" s="259"/>
      <c r="U132" s="301"/>
      <c r="W132" s="79"/>
      <c r="X132" s="13"/>
      <c r="Y132" s="78"/>
      <c r="Z132" s="79"/>
      <c r="AA132" s="13"/>
      <c r="AJ132" s="1" t="s">
        <v>825</v>
      </c>
      <c r="AK132" s="1" t="s">
        <v>822</v>
      </c>
      <c r="AL132" s="1">
        <v>68</v>
      </c>
      <c r="AM132" s="1" t="s">
        <v>813</v>
      </c>
      <c r="AN132" s="1" t="s">
        <v>783</v>
      </c>
      <c r="AO132" s="1" t="s">
        <v>778</v>
      </c>
      <c r="AP132" s="1">
        <v>-95.976799999999997</v>
      </c>
      <c r="AQ132" s="1">
        <v>618</v>
      </c>
      <c r="AR132" s="1" t="s">
        <v>780</v>
      </c>
      <c r="AS132" s="1">
        <v>72.550799999999995</v>
      </c>
      <c r="AT132" s="1">
        <v>464</v>
      </c>
      <c r="AV132" s="1" t="str">
        <f t="shared" si="30"/>
        <v>B50End-I</v>
      </c>
      <c r="AW132" s="1">
        <f t="shared" si="31"/>
        <v>6.18</v>
      </c>
      <c r="AX132" s="1">
        <f t="shared" si="32"/>
        <v>4.6399999999999997</v>
      </c>
      <c r="BA132" s="69"/>
    </row>
    <row r="133" spans="2:53" x14ac:dyDescent="0.25">
      <c r="B133" s="312"/>
      <c r="C133" s="312"/>
      <c r="D133" s="300"/>
      <c r="E133" s="300"/>
      <c r="F133" s="300"/>
      <c r="G133" s="300"/>
      <c r="H133" s="300"/>
      <c r="I133" s="300"/>
      <c r="J133" s="300"/>
      <c r="K133" s="300"/>
      <c r="L133" s="300"/>
      <c r="M133" s="300"/>
      <c r="N133" s="300"/>
      <c r="O133" s="300"/>
      <c r="P133" s="312"/>
      <c r="Q133" s="312"/>
      <c r="R133" s="312"/>
      <c r="S133" s="312"/>
      <c r="T133" s="259"/>
      <c r="U133" s="301"/>
      <c r="W133" s="79"/>
      <c r="X133" s="13"/>
      <c r="Y133" s="78"/>
      <c r="Z133" s="79"/>
      <c r="AA133" s="13"/>
      <c r="AJ133" s="1" t="s">
        <v>825</v>
      </c>
      <c r="AK133" s="1" t="s">
        <v>822</v>
      </c>
      <c r="AL133" s="1">
        <v>68</v>
      </c>
      <c r="AM133" s="1" t="s">
        <v>813</v>
      </c>
      <c r="AN133" s="1" t="s">
        <v>784</v>
      </c>
      <c r="AO133" s="1" t="s">
        <v>780</v>
      </c>
      <c r="AP133" s="1">
        <v>-38.047600000000003</v>
      </c>
      <c r="AQ133" s="1">
        <v>440</v>
      </c>
      <c r="AR133" s="1" t="s">
        <v>778</v>
      </c>
      <c r="AS133" s="1">
        <v>45.068399999999997</v>
      </c>
      <c r="AT133" s="1">
        <v>440</v>
      </c>
      <c r="AV133" s="1" t="str">
        <f t="shared" si="30"/>
        <v>B50Middle</v>
      </c>
      <c r="AW133" s="1">
        <f t="shared" si="31"/>
        <v>4.4000000000000004</v>
      </c>
      <c r="AX133" s="1">
        <f t="shared" si="32"/>
        <v>4.4000000000000004</v>
      </c>
      <c r="BA133" s="69"/>
    </row>
    <row r="134" spans="2:53" x14ac:dyDescent="0.25">
      <c r="B134" s="312"/>
      <c r="C134" s="312"/>
      <c r="D134" s="300"/>
      <c r="E134" s="300"/>
      <c r="F134" s="300"/>
      <c r="G134" s="300"/>
      <c r="H134" s="300"/>
      <c r="I134" s="300"/>
      <c r="J134" s="300"/>
      <c r="K134" s="300"/>
      <c r="L134" s="300"/>
      <c r="M134" s="300"/>
      <c r="N134" s="300"/>
      <c r="O134" s="300"/>
      <c r="P134" s="312"/>
      <c r="Q134" s="312"/>
      <c r="R134" s="312"/>
      <c r="S134" s="312"/>
      <c r="T134" s="259"/>
      <c r="U134" s="301"/>
      <c r="W134" s="79"/>
      <c r="X134" s="13"/>
      <c r="Y134" s="78"/>
      <c r="Z134" s="79"/>
      <c r="AA134" s="13"/>
      <c r="AJ134" s="1" t="s">
        <v>825</v>
      </c>
      <c r="AK134" s="1" t="s">
        <v>822</v>
      </c>
      <c r="AL134" s="1">
        <v>68</v>
      </c>
      <c r="AM134" s="1" t="s">
        <v>813</v>
      </c>
      <c r="AN134" s="1" t="s">
        <v>785</v>
      </c>
      <c r="AO134" s="1" t="s">
        <v>778</v>
      </c>
      <c r="AP134" s="1">
        <v>-93.069000000000003</v>
      </c>
      <c r="AQ134" s="1">
        <v>600</v>
      </c>
      <c r="AR134" s="1" t="s">
        <v>780</v>
      </c>
      <c r="AS134" s="1">
        <v>78.127099999999999</v>
      </c>
      <c r="AT134" s="1">
        <v>502</v>
      </c>
      <c r="AV134" s="1" t="str">
        <f t="shared" si="30"/>
        <v>B50End-J</v>
      </c>
      <c r="AW134" s="1">
        <f t="shared" si="31"/>
        <v>6</v>
      </c>
      <c r="AX134" s="1">
        <f t="shared" si="32"/>
        <v>5.0199999999999996</v>
      </c>
      <c r="BA134" s="69"/>
    </row>
    <row r="135" spans="2:53" x14ac:dyDescent="0.25">
      <c r="B135" s="312"/>
      <c r="C135" s="312"/>
      <c r="D135" s="300"/>
      <c r="E135" s="300"/>
      <c r="F135" s="300"/>
      <c r="G135" s="300"/>
      <c r="H135" s="300"/>
      <c r="I135" s="300"/>
      <c r="J135" s="300"/>
      <c r="K135" s="300"/>
      <c r="L135" s="300"/>
      <c r="M135" s="300"/>
      <c r="N135" s="300"/>
      <c r="O135" s="300"/>
      <c r="P135" s="312"/>
      <c r="Q135" s="312"/>
      <c r="R135" s="312"/>
      <c r="S135" s="312"/>
      <c r="T135" s="259"/>
      <c r="U135" s="301"/>
      <c r="W135" s="79"/>
      <c r="X135" s="13"/>
      <c r="Y135" s="78"/>
      <c r="Z135" s="79"/>
      <c r="AA135" s="13"/>
      <c r="AJ135" s="1" t="s">
        <v>825</v>
      </c>
      <c r="AK135" s="1" t="s">
        <v>823</v>
      </c>
      <c r="AL135" s="1">
        <v>56</v>
      </c>
      <c r="AM135" s="1" t="s">
        <v>814</v>
      </c>
      <c r="AN135" s="1" t="s">
        <v>783</v>
      </c>
      <c r="AO135" s="1" t="s">
        <v>776</v>
      </c>
      <c r="AP135" s="1">
        <v>-69.108500000000006</v>
      </c>
      <c r="AQ135" s="1">
        <v>513</v>
      </c>
      <c r="AR135" s="1" t="s">
        <v>776</v>
      </c>
      <c r="AS135" s="1">
        <v>34.554200000000002</v>
      </c>
      <c r="AT135" s="1">
        <v>513</v>
      </c>
      <c r="AV135" s="1" t="str">
        <f t="shared" ref="AV135:AV198" si="33">AK135&amp;AN135</f>
        <v>B53End-I</v>
      </c>
      <c r="AW135" s="1">
        <f t="shared" ref="AW135:AW198" si="34">AQ135/10^2</f>
        <v>5.13</v>
      </c>
      <c r="AX135" s="1">
        <f t="shared" ref="AX135:AX198" si="35">AT135/10^2</f>
        <v>5.13</v>
      </c>
      <c r="BA135" s="69"/>
    </row>
    <row r="136" spans="2:53" x14ac:dyDescent="0.25">
      <c r="B136" s="312"/>
      <c r="C136" s="312"/>
      <c r="D136" s="300"/>
      <c r="E136" s="300"/>
      <c r="F136" s="300"/>
      <c r="G136" s="300"/>
      <c r="H136" s="300"/>
      <c r="I136" s="300"/>
      <c r="J136" s="300"/>
      <c r="K136" s="300"/>
      <c r="L136" s="300"/>
      <c r="M136" s="300"/>
      <c r="N136" s="300"/>
      <c r="O136" s="300"/>
      <c r="P136" s="312"/>
      <c r="Q136" s="312"/>
      <c r="R136" s="312"/>
      <c r="S136" s="312"/>
      <c r="T136" s="259"/>
      <c r="U136" s="301"/>
      <c r="W136" s="79"/>
      <c r="X136" s="13"/>
      <c r="Y136" s="78"/>
      <c r="Z136" s="79"/>
      <c r="AA136" s="13"/>
      <c r="AJ136" s="1" t="s">
        <v>825</v>
      </c>
      <c r="AK136" s="1" t="s">
        <v>823</v>
      </c>
      <c r="AL136" s="1">
        <v>56</v>
      </c>
      <c r="AM136" s="1" t="s">
        <v>814</v>
      </c>
      <c r="AN136" s="1" t="s">
        <v>784</v>
      </c>
      <c r="AO136" s="1" t="s">
        <v>776</v>
      </c>
      <c r="AP136" s="1">
        <v>-18.4495</v>
      </c>
      <c r="AQ136" s="1">
        <v>513</v>
      </c>
      <c r="AR136" s="1" t="s">
        <v>776</v>
      </c>
      <c r="AS136" s="1">
        <v>50.734900000000003</v>
      </c>
      <c r="AT136" s="1">
        <v>513</v>
      </c>
      <c r="AV136" s="1" t="str">
        <f t="shared" si="33"/>
        <v>B53Middle</v>
      </c>
      <c r="AW136" s="1">
        <f t="shared" si="34"/>
        <v>5.13</v>
      </c>
      <c r="AX136" s="1">
        <f t="shared" si="35"/>
        <v>5.13</v>
      </c>
      <c r="BA136" s="69"/>
    </row>
    <row r="137" spans="2:53" x14ac:dyDescent="0.25">
      <c r="B137" s="312"/>
      <c r="C137" s="312"/>
      <c r="D137" s="300"/>
      <c r="E137" s="300"/>
      <c r="F137" s="300"/>
      <c r="G137" s="300"/>
      <c r="H137" s="300"/>
      <c r="I137" s="300"/>
      <c r="J137" s="300"/>
      <c r="K137" s="300"/>
      <c r="L137" s="300"/>
      <c r="M137" s="300"/>
      <c r="N137" s="300"/>
      <c r="O137" s="300"/>
      <c r="P137" s="312"/>
      <c r="Q137" s="312"/>
      <c r="R137" s="312"/>
      <c r="S137" s="312"/>
      <c r="T137" s="259"/>
      <c r="U137" s="301"/>
      <c r="W137" s="79"/>
      <c r="X137" s="13"/>
      <c r="Y137" s="78"/>
      <c r="Z137" s="79"/>
      <c r="AA137" s="13"/>
      <c r="AJ137" s="1" t="s">
        <v>825</v>
      </c>
      <c r="AK137" s="1" t="s">
        <v>823</v>
      </c>
      <c r="AL137" s="1">
        <v>56</v>
      </c>
      <c r="AM137" s="1" t="s">
        <v>814</v>
      </c>
      <c r="AN137" s="1" t="s">
        <v>785</v>
      </c>
      <c r="AO137" s="1" t="s">
        <v>776</v>
      </c>
      <c r="AP137" s="1">
        <v>-73.798100000000005</v>
      </c>
      <c r="AQ137" s="1">
        <v>513</v>
      </c>
      <c r="AR137" s="1" t="s">
        <v>776</v>
      </c>
      <c r="AS137" s="1">
        <v>36.899099999999997</v>
      </c>
      <c r="AT137" s="1">
        <v>513</v>
      </c>
      <c r="AV137" s="1" t="str">
        <f t="shared" si="33"/>
        <v>B53End-J</v>
      </c>
      <c r="AW137" s="1">
        <f t="shared" si="34"/>
        <v>5.13</v>
      </c>
      <c r="AX137" s="1">
        <f t="shared" si="35"/>
        <v>5.13</v>
      </c>
      <c r="BA137" s="69"/>
    </row>
    <row r="138" spans="2:53" x14ac:dyDescent="0.25">
      <c r="B138" s="312"/>
      <c r="C138" s="312"/>
      <c r="D138" s="300"/>
      <c r="E138" s="300"/>
      <c r="F138" s="300"/>
      <c r="G138" s="300"/>
      <c r="H138" s="300"/>
      <c r="I138" s="300"/>
      <c r="J138" s="300"/>
      <c r="K138" s="300"/>
      <c r="L138" s="300"/>
      <c r="M138" s="300"/>
      <c r="N138" s="300"/>
      <c r="O138" s="300"/>
      <c r="P138" s="312"/>
      <c r="Q138" s="312"/>
      <c r="R138" s="312"/>
      <c r="S138" s="312"/>
      <c r="T138" s="259"/>
      <c r="U138" s="301"/>
      <c r="W138" s="79"/>
      <c r="X138" s="13"/>
      <c r="Y138" s="78"/>
      <c r="Z138" s="79"/>
      <c r="AA138" s="13"/>
      <c r="AJ138" s="1" t="s">
        <v>825</v>
      </c>
      <c r="AK138" s="1" t="s">
        <v>827</v>
      </c>
      <c r="AL138" s="1">
        <v>198</v>
      </c>
      <c r="AM138" s="1" t="s">
        <v>814</v>
      </c>
      <c r="AN138" s="1" t="s">
        <v>783</v>
      </c>
      <c r="AO138" s="1" t="s">
        <v>776</v>
      </c>
      <c r="AP138" s="1">
        <v>-0.34510000000000002</v>
      </c>
      <c r="AQ138" s="1">
        <v>5</v>
      </c>
      <c r="AR138" s="1" t="s">
        <v>777</v>
      </c>
      <c r="AS138" s="1">
        <v>0.23910000000000001</v>
      </c>
      <c r="AT138" s="1">
        <v>4</v>
      </c>
      <c r="AV138" s="1" t="str">
        <f t="shared" si="33"/>
        <v>B109End-I</v>
      </c>
      <c r="AW138" s="1">
        <f t="shared" si="34"/>
        <v>0.05</v>
      </c>
      <c r="AX138" s="1">
        <f t="shared" si="35"/>
        <v>0.04</v>
      </c>
      <c r="BA138" s="69"/>
    </row>
    <row r="139" spans="2:53" x14ac:dyDescent="0.25">
      <c r="B139" s="312"/>
      <c r="C139" s="312"/>
      <c r="D139" s="300"/>
      <c r="E139" s="300"/>
      <c r="F139" s="300"/>
      <c r="G139" s="300"/>
      <c r="H139" s="300"/>
      <c r="I139" s="300"/>
      <c r="J139" s="300"/>
      <c r="K139" s="300"/>
      <c r="L139" s="300"/>
      <c r="M139" s="300"/>
      <c r="N139" s="300"/>
      <c r="O139" s="300"/>
      <c r="P139" s="312"/>
      <c r="Q139" s="312"/>
      <c r="R139" s="312"/>
      <c r="S139" s="312"/>
      <c r="T139" s="259"/>
      <c r="U139" s="301"/>
      <c r="W139" s="79"/>
      <c r="X139" s="13"/>
      <c r="Y139" s="78"/>
      <c r="Z139" s="79"/>
      <c r="AA139" s="13"/>
      <c r="AJ139" s="1" t="s">
        <v>825</v>
      </c>
      <c r="AK139" s="1" t="s">
        <v>827</v>
      </c>
      <c r="AL139" s="1">
        <v>198</v>
      </c>
      <c r="AM139" s="1" t="s">
        <v>814</v>
      </c>
      <c r="AN139" s="1" t="s">
        <v>784</v>
      </c>
      <c r="AV139" s="1" t="str">
        <f t="shared" si="33"/>
        <v>B109Middle</v>
      </c>
      <c r="AW139" s="1">
        <f t="shared" si="34"/>
        <v>0</v>
      </c>
      <c r="AX139" s="1">
        <f t="shared" si="35"/>
        <v>0</v>
      </c>
    </row>
    <row r="140" spans="2:53" x14ac:dyDescent="0.25">
      <c r="B140" s="312"/>
      <c r="C140" s="312"/>
      <c r="D140" s="300"/>
      <c r="E140" s="300"/>
      <c r="F140" s="300"/>
      <c r="G140" s="300"/>
      <c r="H140" s="300"/>
      <c r="I140" s="300"/>
      <c r="J140" s="300"/>
      <c r="K140" s="300"/>
      <c r="L140" s="300"/>
      <c r="M140" s="300"/>
      <c r="N140" s="300"/>
      <c r="O140" s="300"/>
      <c r="P140" s="312"/>
      <c r="Q140" s="312"/>
      <c r="R140" s="312"/>
      <c r="S140" s="312"/>
      <c r="T140" s="259"/>
      <c r="U140" s="301"/>
      <c r="W140" s="79"/>
      <c r="X140" s="13"/>
      <c r="Y140" s="78"/>
      <c r="Z140" s="79"/>
      <c r="AA140" s="13"/>
      <c r="AJ140" s="1" t="s">
        <v>825</v>
      </c>
      <c r="AK140" s="1" t="s">
        <v>827</v>
      </c>
      <c r="AL140" s="1">
        <v>198</v>
      </c>
      <c r="AM140" s="1" t="s">
        <v>814</v>
      </c>
      <c r="AN140" s="1" t="s">
        <v>785</v>
      </c>
      <c r="AO140" s="1" t="s">
        <v>776</v>
      </c>
      <c r="AP140" s="1">
        <v>-0.33460000000000001</v>
      </c>
      <c r="AQ140" s="1">
        <v>4</v>
      </c>
      <c r="AR140" s="1" t="s">
        <v>777</v>
      </c>
      <c r="AS140" s="1">
        <v>0.24590000000000001</v>
      </c>
      <c r="AT140" s="1">
        <v>4</v>
      </c>
      <c r="AV140" s="1" t="str">
        <f t="shared" si="33"/>
        <v>B109End-J</v>
      </c>
      <c r="AW140" s="1">
        <f t="shared" si="34"/>
        <v>0.04</v>
      </c>
      <c r="AX140" s="1">
        <f t="shared" si="35"/>
        <v>0.04</v>
      </c>
    </row>
    <row r="141" spans="2:53" x14ac:dyDescent="0.25">
      <c r="B141" s="312"/>
      <c r="C141" s="312"/>
      <c r="D141" s="300"/>
      <c r="E141" s="300"/>
      <c r="F141" s="300"/>
      <c r="G141" s="300"/>
      <c r="H141" s="300"/>
      <c r="I141" s="300"/>
      <c r="J141" s="300"/>
      <c r="K141" s="300"/>
      <c r="L141" s="300"/>
      <c r="M141" s="300"/>
      <c r="N141" s="300"/>
      <c r="O141" s="300"/>
      <c r="P141" s="312"/>
      <c r="Q141" s="312"/>
      <c r="R141" s="312"/>
      <c r="S141" s="312"/>
      <c r="T141" s="259"/>
      <c r="U141" s="301"/>
      <c r="W141" s="79"/>
      <c r="X141" s="13"/>
      <c r="Y141" s="78"/>
      <c r="Z141" s="79"/>
      <c r="AA141" s="13"/>
      <c r="AJ141" s="1" t="s">
        <v>825</v>
      </c>
      <c r="AK141" s="1" t="s">
        <v>828</v>
      </c>
      <c r="AL141" s="1">
        <v>199</v>
      </c>
      <c r="AM141" s="1" t="s">
        <v>814</v>
      </c>
      <c r="AN141" s="1" t="s">
        <v>783</v>
      </c>
      <c r="AO141" s="1" t="s">
        <v>780</v>
      </c>
      <c r="AP141" s="1">
        <v>-1.17E-2</v>
      </c>
      <c r="AQ141" s="1">
        <v>2</v>
      </c>
      <c r="AR141" s="1" t="s">
        <v>780</v>
      </c>
      <c r="AS141" s="1">
        <v>1.26E-2</v>
      </c>
      <c r="AT141" s="1">
        <v>2</v>
      </c>
      <c r="AV141" s="1" t="str">
        <f t="shared" si="33"/>
        <v>B111End-I</v>
      </c>
      <c r="AW141" s="1">
        <f t="shared" si="34"/>
        <v>0.02</v>
      </c>
      <c r="AX141" s="1">
        <f t="shared" si="35"/>
        <v>0.02</v>
      </c>
    </row>
    <row r="142" spans="2:53" x14ac:dyDescent="0.25">
      <c r="B142" s="312"/>
      <c r="C142" s="312"/>
      <c r="D142" s="300"/>
      <c r="E142" s="300"/>
      <c r="F142" s="300"/>
      <c r="G142" s="300"/>
      <c r="H142" s="300"/>
      <c r="I142" s="300"/>
      <c r="J142" s="300"/>
      <c r="K142" s="300"/>
      <c r="L142" s="300"/>
      <c r="M142" s="300"/>
      <c r="N142" s="300"/>
      <c r="O142" s="300"/>
      <c r="P142" s="312"/>
      <c r="Q142" s="312"/>
      <c r="R142" s="312"/>
      <c r="S142" s="312"/>
      <c r="T142" s="259"/>
      <c r="U142" s="301"/>
      <c r="W142" s="79"/>
      <c r="X142" s="13"/>
      <c r="Y142" s="78"/>
      <c r="Z142" s="79"/>
      <c r="AA142" s="13"/>
      <c r="AJ142" s="1" t="s">
        <v>825</v>
      </c>
      <c r="AK142" s="1" t="s">
        <v>828</v>
      </c>
      <c r="AL142" s="1">
        <v>199</v>
      </c>
      <c r="AM142" s="1" t="s">
        <v>814</v>
      </c>
      <c r="AN142" s="1" t="s">
        <v>784</v>
      </c>
      <c r="AV142" s="1" t="str">
        <f t="shared" si="33"/>
        <v>B111Middle</v>
      </c>
      <c r="AW142" s="1">
        <f t="shared" si="34"/>
        <v>0</v>
      </c>
      <c r="AX142" s="1">
        <f t="shared" si="35"/>
        <v>0</v>
      </c>
    </row>
    <row r="143" spans="2:53" x14ac:dyDescent="0.25">
      <c r="B143" s="312"/>
      <c r="C143" s="312"/>
      <c r="D143" s="300"/>
      <c r="E143" s="300"/>
      <c r="F143" s="300"/>
      <c r="G143" s="300"/>
      <c r="H143" s="300"/>
      <c r="I143" s="300"/>
      <c r="J143" s="300"/>
      <c r="K143" s="300"/>
      <c r="L143" s="300"/>
      <c r="M143" s="300"/>
      <c r="N143" s="300"/>
      <c r="O143" s="300"/>
      <c r="P143" s="312"/>
      <c r="Q143" s="312"/>
      <c r="R143" s="312"/>
      <c r="S143" s="312"/>
      <c r="T143" s="259"/>
      <c r="U143" s="301"/>
      <c r="W143" s="79"/>
      <c r="X143" s="13"/>
      <c r="Y143" s="78"/>
      <c r="Z143" s="79"/>
      <c r="AA143" s="13"/>
      <c r="AJ143" s="1" t="s">
        <v>825</v>
      </c>
      <c r="AK143" s="1" t="s">
        <v>828</v>
      </c>
      <c r="AL143" s="1">
        <v>199</v>
      </c>
      <c r="AM143" s="1" t="s">
        <v>814</v>
      </c>
      <c r="AN143" s="1" t="s">
        <v>785</v>
      </c>
      <c r="AO143" s="1" t="s">
        <v>780</v>
      </c>
      <c r="AP143" s="1">
        <v>0</v>
      </c>
      <c r="AQ143" s="1">
        <v>2</v>
      </c>
      <c r="AR143" s="1" t="s">
        <v>778</v>
      </c>
      <c r="AS143" s="1">
        <v>3.9399999999999998E-2</v>
      </c>
      <c r="AT143" s="1">
        <v>3</v>
      </c>
      <c r="AV143" s="1" t="str">
        <f t="shared" si="33"/>
        <v>B111End-J</v>
      </c>
      <c r="AW143" s="1">
        <f t="shared" si="34"/>
        <v>0.02</v>
      </c>
      <c r="AX143" s="1">
        <f t="shared" si="35"/>
        <v>0.03</v>
      </c>
    </row>
    <row r="144" spans="2:53" x14ac:dyDescent="0.25">
      <c r="B144" s="312"/>
      <c r="C144" s="312"/>
      <c r="D144" s="300"/>
      <c r="E144" s="300"/>
      <c r="F144" s="300"/>
      <c r="G144" s="300"/>
      <c r="H144" s="300"/>
      <c r="I144" s="300"/>
      <c r="J144" s="300"/>
      <c r="K144" s="300"/>
      <c r="L144" s="300"/>
      <c r="M144" s="300"/>
      <c r="N144" s="300"/>
      <c r="O144" s="300"/>
      <c r="P144" s="312"/>
      <c r="Q144" s="312"/>
      <c r="R144" s="312"/>
      <c r="S144" s="312"/>
      <c r="T144" s="259"/>
      <c r="U144" s="301"/>
      <c r="W144" s="79"/>
      <c r="X144" s="13"/>
      <c r="Y144" s="78"/>
      <c r="Z144" s="79"/>
      <c r="AA144" s="13"/>
      <c r="AJ144" s="1" t="s">
        <v>825</v>
      </c>
      <c r="AK144" s="1" t="s">
        <v>829</v>
      </c>
      <c r="AL144" s="1">
        <v>200</v>
      </c>
      <c r="AM144" s="1" t="s">
        <v>814</v>
      </c>
      <c r="AN144" s="1" t="s">
        <v>783</v>
      </c>
      <c r="AO144" s="1" t="s">
        <v>778</v>
      </c>
      <c r="AP144" s="1">
        <v>-2.6599999999999999E-2</v>
      </c>
      <c r="AQ144" s="1">
        <v>2</v>
      </c>
      <c r="AR144" s="1" t="s">
        <v>778</v>
      </c>
      <c r="AS144" s="1">
        <v>8.8999999999999999E-3</v>
      </c>
      <c r="AT144" s="1">
        <v>1</v>
      </c>
      <c r="AV144" s="1" t="str">
        <f t="shared" si="33"/>
        <v>B114End-I</v>
      </c>
      <c r="AW144" s="1">
        <f t="shared" si="34"/>
        <v>0.02</v>
      </c>
      <c r="AX144" s="1">
        <f t="shared" si="35"/>
        <v>0.01</v>
      </c>
    </row>
    <row r="145" spans="2:50" x14ac:dyDescent="0.25">
      <c r="B145" s="312"/>
      <c r="C145" s="312"/>
      <c r="D145" s="300"/>
      <c r="E145" s="300"/>
      <c r="F145" s="300"/>
      <c r="G145" s="300"/>
      <c r="H145" s="300"/>
      <c r="I145" s="300"/>
      <c r="J145" s="300"/>
      <c r="K145" s="300"/>
      <c r="L145" s="300"/>
      <c r="M145" s="300"/>
      <c r="N145" s="300"/>
      <c r="O145" s="300"/>
      <c r="P145" s="312"/>
      <c r="Q145" s="312"/>
      <c r="R145" s="312"/>
      <c r="S145" s="312"/>
      <c r="T145" s="259"/>
      <c r="U145" s="301"/>
      <c r="W145" s="79"/>
      <c r="X145" s="13"/>
      <c r="Y145" s="78"/>
      <c r="Z145" s="79"/>
      <c r="AA145" s="13"/>
      <c r="AJ145" s="1" t="s">
        <v>825</v>
      </c>
      <c r="AK145" s="1" t="s">
        <v>829</v>
      </c>
      <c r="AL145" s="1">
        <v>200</v>
      </c>
      <c r="AM145" s="1" t="s">
        <v>814</v>
      </c>
      <c r="AN145" s="1" t="s">
        <v>784</v>
      </c>
      <c r="AV145" s="1" t="str">
        <f t="shared" si="33"/>
        <v>B114Middle</v>
      </c>
      <c r="AW145" s="1">
        <f t="shared" si="34"/>
        <v>0</v>
      </c>
      <c r="AX145" s="1">
        <f t="shared" si="35"/>
        <v>0</v>
      </c>
    </row>
    <row r="146" spans="2:50" x14ac:dyDescent="0.25">
      <c r="B146" s="312"/>
      <c r="C146" s="312"/>
      <c r="D146" s="300"/>
      <c r="E146" s="300"/>
      <c r="F146" s="300"/>
      <c r="G146" s="300"/>
      <c r="H146" s="300"/>
      <c r="I146" s="300"/>
      <c r="J146" s="300"/>
      <c r="K146" s="300"/>
      <c r="L146" s="300"/>
      <c r="M146" s="300"/>
      <c r="N146" s="300"/>
      <c r="O146" s="300"/>
      <c r="P146" s="312"/>
      <c r="Q146" s="312"/>
      <c r="R146" s="312"/>
      <c r="S146" s="312"/>
      <c r="T146" s="259"/>
      <c r="U146" s="301"/>
      <c r="W146" s="79"/>
      <c r="X146" s="13"/>
      <c r="Y146" s="78"/>
      <c r="Z146" s="79"/>
      <c r="AA146" s="13"/>
      <c r="AJ146" s="1" t="s">
        <v>825</v>
      </c>
      <c r="AK146" s="1" t="s">
        <v>829</v>
      </c>
      <c r="AL146" s="1">
        <v>200</v>
      </c>
      <c r="AM146" s="1" t="s">
        <v>814</v>
      </c>
      <c r="AN146" s="1" t="s">
        <v>785</v>
      </c>
      <c r="AO146" s="1" t="s">
        <v>778</v>
      </c>
      <c r="AP146" s="1">
        <v>0</v>
      </c>
      <c r="AQ146" s="1">
        <v>1</v>
      </c>
      <c r="AR146" s="1" t="s">
        <v>778</v>
      </c>
      <c r="AS146" s="1">
        <v>1.1299999999999999E-2</v>
      </c>
      <c r="AT146" s="1">
        <v>1</v>
      </c>
      <c r="AV146" s="1" t="str">
        <f t="shared" si="33"/>
        <v>B114End-J</v>
      </c>
      <c r="AW146" s="1">
        <f t="shared" si="34"/>
        <v>0.01</v>
      </c>
      <c r="AX146" s="1">
        <f t="shared" si="35"/>
        <v>0.01</v>
      </c>
    </row>
    <row r="147" spans="2:50" x14ac:dyDescent="0.25">
      <c r="B147" s="312"/>
      <c r="C147" s="312"/>
      <c r="D147" s="300"/>
      <c r="E147" s="300"/>
      <c r="F147" s="300"/>
      <c r="G147" s="300"/>
      <c r="H147" s="300"/>
      <c r="I147" s="300"/>
      <c r="J147" s="300"/>
      <c r="K147" s="300"/>
      <c r="L147" s="300"/>
      <c r="M147" s="300"/>
      <c r="N147" s="300"/>
      <c r="O147" s="300"/>
      <c r="P147" s="312"/>
      <c r="Q147" s="312"/>
      <c r="R147" s="312"/>
      <c r="S147" s="312"/>
      <c r="T147" s="259"/>
      <c r="U147" s="301"/>
      <c r="W147" s="79"/>
      <c r="X147" s="13"/>
      <c r="Y147" s="78"/>
      <c r="Z147" s="79"/>
      <c r="AA147" s="13"/>
      <c r="AJ147" s="1" t="s">
        <v>825</v>
      </c>
      <c r="AK147" s="1" t="s">
        <v>830</v>
      </c>
      <c r="AL147" s="1">
        <v>201</v>
      </c>
      <c r="AM147" s="1" t="s">
        <v>814</v>
      </c>
      <c r="AN147" s="1" t="s">
        <v>783</v>
      </c>
      <c r="AO147" s="1" t="s">
        <v>776</v>
      </c>
      <c r="AP147" s="1">
        <v>-5.8999999999999999E-3</v>
      </c>
      <c r="AQ147" s="1">
        <v>2</v>
      </c>
      <c r="AR147" s="1" t="s">
        <v>776</v>
      </c>
      <c r="AS147" s="1">
        <v>2E-3</v>
      </c>
      <c r="AT147" s="1">
        <v>2</v>
      </c>
      <c r="AV147" s="1" t="str">
        <f t="shared" si="33"/>
        <v>B118End-I</v>
      </c>
      <c r="AW147" s="1">
        <f t="shared" si="34"/>
        <v>0.02</v>
      </c>
      <c r="AX147" s="1">
        <f t="shared" si="35"/>
        <v>0.02</v>
      </c>
    </row>
    <row r="148" spans="2:50" x14ac:dyDescent="0.25">
      <c r="B148" s="312"/>
      <c r="C148" s="312"/>
      <c r="D148" s="300"/>
      <c r="E148" s="300"/>
      <c r="F148" s="300"/>
      <c r="G148" s="300"/>
      <c r="H148" s="300"/>
      <c r="I148" s="300"/>
      <c r="J148" s="300"/>
      <c r="K148" s="300"/>
      <c r="L148" s="300"/>
      <c r="M148" s="300"/>
      <c r="N148" s="300"/>
      <c r="O148" s="300"/>
      <c r="P148" s="312"/>
      <c r="Q148" s="312"/>
      <c r="R148" s="312"/>
      <c r="S148" s="312"/>
      <c r="T148" s="259"/>
      <c r="U148" s="301"/>
      <c r="W148" s="79"/>
      <c r="X148" s="13"/>
      <c r="Y148" s="78"/>
      <c r="Z148" s="79"/>
      <c r="AA148" s="13"/>
      <c r="AJ148" s="1" t="s">
        <v>825</v>
      </c>
      <c r="AK148" s="1" t="s">
        <v>830</v>
      </c>
      <c r="AL148" s="1">
        <v>201</v>
      </c>
      <c r="AM148" s="1" t="s">
        <v>814</v>
      </c>
      <c r="AN148" s="1" t="s">
        <v>784</v>
      </c>
      <c r="AV148" s="1" t="str">
        <f t="shared" si="33"/>
        <v>B118Middle</v>
      </c>
      <c r="AW148" s="1">
        <f t="shared" si="34"/>
        <v>0</v>
      </c>
      <c r="AX148" s="1">
        <f t="shared" si="35"/>
        <v>0</v>
      </c>
    </row>
    <row r="149" spans="2:50" x14ac:dyDescent="0.25">
      <c r="B149" s="312"/>
      <c r="C149" s="312"/>
      <c r="D149" s="300"/>
      <c r="E149" s="300"/>
      <c r="F149" s="300"/>
      <c r="G149" s="300"/>
      <c r="H149" s="300"/>
      <c r="I149" s="300"/>
      <c r="J149" s="300"/>
      <c r="K149" s="300"/>
      <c r="L149" s="300"/>
      <c r="M149" s="300"/>
      <c r="N149" s="300"/>
      <c r="O149" s="300"/>
      <c r="P149" s="312"/>
      <c r="Q149" s="312"/>
      <c r="R149" s="312"/>
      <c r="S149" s="312"/>
      <c r="T149" s="259"/>
      <c r="U149" s="301"/>
      <c r="W149" s="79"/>
      <c r="X149" s="13"/>
      <c r="Y149" s="78"/>
      <c r="Z149" s="79"/>
      <c r="AA149" s="13"/>
      <c r="AJ149" s="1" t="s">
        <v>825</v>
      </c>
      <c r="AK149" s="1" t="s">
        <v>830</v>
      </c>
      <c r="AL149" s="1">
        <v>201</v>
      </c>
      <c r="AM149" s="1" t="s">
        <v>814</v>
      </c>
      <c r="AN149" s="1" t="s">
        <v>785</v>
      </c>
      <c r="AO149" s="1" t="s">
        <v>777</v>
      </c>
      <c r="AP149" s="1">
        <v>0</v>
      </c>
      <c r="AQ149" s="1">
        <v>1</v>
      </c>
      <c r="AR149" s="1" t="s">
        <v>776</v>
      </c>
      <c r="AS149" s="1">
        <v>3.73E-2</v>
      </c>
      <c r="AT149" s="1">
        <v>2</v>
      </c>
      <c r="AV149" s="1" t="str">
        <f t="shared" si="33"/>
        <v>B118End-J</v>
      </c>
      <c r="AW149" s="1">
        <f t="shared" si="34"/>
        <v>0.01</v>
      </c>
      <c r="AX149" s="1">
        <f t="shared" si="35"/>
        <v>0.02</v>
      </c>
    </row>
    <row r="150" spans="2:50" x14ac:dyDescent="0.25">
      <c r="B150" s="312"/>
      <c r="C150" s="312"/>
      <c r="D150" s="300"/>
      <c r="E150" s="300"/>
      <c r="F150" s="300"/>
      <c r="G150" s="300"/>
      <c r="H150" s="300"/>
      <c r="I150" s="300"/>
      <c r="J150" s="300"/>
      <c r="K150" s="300"/>
      <c r="L150" s="300"/>
      <c r="M150" s="300"/>
      <c r="N150" s="300"/>
      <c r="O150" s="300"/>
      <c r="P150" s="312"/>
      <c r="Q150" s="312"/>
      <c r="R150" s="312"/>
      <c r="S150" s="312"/>
      <c r="T150" s="259"/>
      <c r="U150" s="301"/>
      <c r="W150" s="79"/>
      <c r="X150" s="13"/>
      <c r="Y150" s="78"/>
      <c r="Z150" s="79"/>
      <c r="AA150" s="13"/>
      <c r="AJ150" s="1" t="s">
        <v>826</v>
      </c>
      <c r="AK150" s="1" t="s">
        <v>303</v>
      </c>
      <c r="AL150" s="1">
        <v>121</v>
      </c>
      <c r="AM150" s="1" t="s">
        <v>813</v>
      </c>
      <c r="AN150" s="1" t="s">
        <v>783</v>
      </c>
      <c r="AO150" s="1" t="s">
        <v>777</v>
      </c>
      <c r="AP150" s="1">
        <v>-0.19220000000000001</v>
      </c>
      <c r="AQ150" s="1">
        <v>440</v>
      </c>
      <c r="AR150" s="1" t="s">
        <v>777</v>
      </c>
      <c r="AS150" s="1">
        <v>9.6100000000000005E-2</v>
      </c>
      <c r="AT150" s="1">
        <v>440</v>
      </c>
      <c r="AV150" s="1" t="str">
        <f t="shared" si="33"/>
        <v>B2End-I</v>
      </c>
      <c r="AW150" s="1">
        <f t="shared" si="34"/>
        <v>4.4000000000000004</v>
      </c>
      <c r="AX150" s="1">
        <f t="shared" si="35"/>
        <v>4.4000000000000004</v>
      </c>
    </row>
    <row r="151" spans="2:50" x14ac:dyDescent="0.25">
      <c r="B151" s="312"/>
      <c r="C151" s="312"/>
      <c r="D151" s="300"/>
      <c r="E151" s="300"/>
      <c r="F151" s="300"/>
      <c r="G151" s="300"/>
      <c r="H151" s="300"/>
      <c r="I151" s="300"/>
      <c r="J151" s="300"/>
      <c r="K151" s="300"/>
      <c r="L151" s="300"/>
      <c r="M151" s="300"/>
      <c r="N151" s="300"/>
      <c r="O151" s="300"/>
      <c r="P151" s="312"/>
      <c r="Q151" s="312"/>
      <c r="R151" s="312"/>
      <c r="S151" s="312"/>
      <c r="T151" s="259"/>
      <c r="U151" s="301"/>
      <c r="W151" s="79"/>
      <c r="X151" s="13"/>
      <c r="Y151" s="78"/>
      <c r="Z151" s="79"/>
      <c r="AA151" s="13"/>
      <c r="AJ151" s="1" t="s">
        <v>826</v>
      </c>
      <c r="AK151" s="1" t="s">
        <v>303</v>
      </c>
      <c r="AL151" s="1">
        <v>121</v>
      </c>
      <c r="AM151" s="1" t="s">
        <v>813</v>
      </c>
      <c r="AN151" s="1" t="s">
        <v>784</v>
      </c>
      <c r="AO151" s="1" t="s">
        <v>812</v>
      </c>
      <c r="AP151" s="1">
        <v>-6.5997000000000003</v>
      </c>
      <c r="AQ151" s="1">
        <v>440</v>
      </c>
      <c r="AR151" s="1" t="s">
        <v>812</v>
      </c>
      <c r="AS151" s="1">
        <v>3.5356999999999998</v>
      </c>
      <c r="AT151" s="1">
        <v>440</v>
      </c>
      <c r="AV151" s="1" t="str">
        <f t="shared" si="33"/>
        <v>B2Middle</v>
      </c>
      <c r="AW151" s="1">
        <f t="shared" si="34"/>
        <v>4.4000000000000004</v>
      </c>
      <c r="AX151" s="1">
        <f t="shared" si="35"/>
        <v>4.4000000000000004</v>
      </c>
    </row>
    <row r="152" spans="2:50" x14ac:dyDescent="0.25">
      <c r="B152" s="312"/>
      <c r="C152" s="312"/>
      <c r="D152" s="300"/>
      <c r="E152" s="300"/>
      <c r="F152" s="300"/>
      <c r="G152" s="300"/>
      <c r="H152" s="300"/>
      <c r="I152" s="300"/>
      <c r="J152" s="300"/>
      <c r="K152" s="300"/>
      <c r="L152" s="300"/>
      <c r="M152" s="300"/>
      <c r="N152" s="300"/>
      <c r="O152" s="300"/>
      <c r="P152" s="312"/>
      <c r="Q152" s="312"/>
      <c r="R152" s="312"/>
      <c r="S152" s="312"/>
      <c r="T152" s="259"/>
      <c r="U152" s="301"/>
      <c r="W152" s="79"/>
      <c r="X152" s="13"/>
      <c r="Y152" s="78"/>
      <c r="Z152" s="79"/>
      <c r="AA152" s="13"/>
      <c r="AJ152" s="1" t="s">
        <v>826</v>
      </c>
      <c r="AK152" s="1" t="s">
        <v>303</v>
      </c>
      <c r="AL152" s="1">
        <v>121</v>
      </c>
      <c r="AM152" s="1" t="s">
        <v>813</v>
      </c>
      <c r="AN152" s="1" t="s">
        <v>785</v>
      </c>
      <c r="AO152" s="1" t="s">
        <v>812</v>
      </c>
      <c r="AP152" s="1">
        <v>-14.142799999999999</v>
      </c>
      <c r="AQ152" s="1">
        <v>440</v>
      </c>
      <c r="AR152" s="1" t="s">
        <v>812</v>
      </c>
      <c r="AS152" s="1">
        <v>7.0713999999999997</v>
      </c>
      <c r="AT152" s="1">
        <v>440</v>
      </c>
      <c r="AV152" s="1" t="str">
        <f t="shared" si="33"/>
        <v>B2End-J</v>
      </c>
      <c r="AW152" s="1">
        <f t="shared" si="34"/>
        <v>4.4000000000000004</v>
      </c>
      <c r="AX152" s="1">
        <f t="shared" si="35"/>
        <v>4.4000000000000004</v>
      </c>
    </row>
    <row r="153" spans="2:50" x14ac:dyDescent="0.25">
      <c r="B153" s="312"/>
      <c r="C153" s="312"/>
      <c r="D153" s="300"/>
      <c r="E153" s="300"/>
      <c r="F153" s="300"/>
      <c r="G153" s="300"/>
      <c r="H153" s="300"/>
      <c r="I153" s="300"/>
      <c r="J153" s="300"/>
      <c r="K153" s="300"/>
      <c r="L153" s="300"/>
      <c r="M153" s="300"/>
      <c r="N153" s="300"/>
      <c r="O153" s="300"/>
      <c r="P153" s="312"/>
      <c r="Q153" s="312"/>
      <c r="R153" s="312"/>
      <c r="S153" s="312"/>
      <c r="T153" s="259"/>
      <c r="U153" s="301"/>
      <c r="W153" s="79"/>
      <c r="X153" s="13"/>
      <c r="Y153" s="78"/>
      <c r="Z153" s="79"/>
      <c r="AA153" s="13"/>
      <c r="AJ153" s="1" t="s">
        <v>826</v>
      </c>
      <c r="AK153" s="1" t="s">
        <v>768</v>
      </c>
      <c r="AL153" s="1">
        <v>123</v>
      </c>
      <c r="AM153" s="1" t="s">
        <v>813</v>
      </c>
      <c r="AN153" s="1" t="s">
        <v>783</v>
      </c>
      <c r="AO153" s="1" t="s">
        <v>776</v>
      </c>
      <c r="AP153" s="1">
        <v>-0.2107</v>
      </c>
      <c r="AQ153" s="1">
        <v>440</v>
      </c>
      <c r="AR153" s="1" t="s">
        <v>776</v>
      </c>
      <c r="AS153" s="1">
        <v>0.10539999999999999</v>
      </c>
      <c r="AT153" s="1">
        <v>440</v>
      </c>
      <c r="AV153" s="1" t="str">
        <f t="shared" si="33"/>
        <v>B8End-I</v>
      </c>
      <c r="AW153" s="1">
        <f t="shared" si="34"/>
        <v>4.4000000000000004</v>
      </c>
      <c r="AX153" s="1">
        <f t="shared" si="35"/>
        <v>4.4000000000000004</v>
      </c>
    </row>
    <row r="154" spans="2:50" x14ac:dyDescent="0.25">
      <c r="B154" s="312"/>
      <c r="C154" s="312"/>
      <c r="D154" s="300"/>
      <c r="E154" s="300"/>
      <c r="F154" s="300"/>
      <c r="G154" s="300"/>
      <c r="H154" s="300"/>
      <c r="I154" s="300"/>
      <c r="J154" s="300"/>
      <c r="K154" s="300"/>
      <c r="L154" s="300"/>
      <c r="M154" s="300"/>
      <c r="N154" s="300"/>
      <c r="O154" s="300"/>
      <c r="P154" s="312"/>
      <c r="Q154" s="312"/>
      <c r="R154" s="312"/>
      <c r="S154" s="312"/>
      <c r="T154" s="259"/>
      <c r="U154" s="301"/>
      <c r="W154" s="79"/>
      <c r="X154" s="13"/>
      <c r="Y154" s="78"/>
      <c r="Z154" s="79"/>
      <c r="AA154" s="13"/>
      <c r="AJ154" s="1" t="s">
        <v>826</v>
      </c>
      <c r="AK154" s="1" t="s">
        <v>768</v>
      </c>
      <c r="AL154" s="1">
        <v>123</v>
      </c>
      <c r="AM154" s="1" t="s">
        <v>813</v>
      </c>
      <c r="AN154" s="1" t="s">
        <v>784</v>
      </c>
      <c r="AO154" s="1" t="s">
        <v>816</v>
      </c>
      <c r="AP154" s="1">
        <v>-6.6246999999999998</v>
      </c>
      <c r="AQ154" s="1">
        <v>440</v>
      </c>
      <c r="AR154" s="1" t="s">
        <v>816</v>
      </c>
      <c r="AS154" s="1">
        <v>3.5419999999999998</v>
      </c>
      <c r="AT154" s="1">
        <v>440</v>
      </c>
      <c r="AV154" s="1" t="str">
        <f t="shared" si="33"/>
        <v>B8Middle</v>
      </c>
      <c r="AW154" s="1">
        <f t="shared" si="34"/>
        <v>4.4000000000000004</v>
      </c>
      <c r="AX154" s="1">
        <f t="shared" si="35"/>
        <v>4.4000000000000004</v>
      </c>
    </row>
    <row r="155" spans="2:50" x14ac:dyDescent="0.25">
      <c r="B155" s="312"/>
      <c r="C155" s="312"/>
      <c r="D155" s="300"/>
      <c r="E155" s="300"/>
      <c r="F155" s="300"/>
      <c r="G155" s="300"/>
      <c r="H155" s="300"/>
      <c r="I155" s="300"/>
      <c r="J155" s="300"/>
      <c r="K155" s="300"/>
      <c r="L155" s="300"/>
      <c r="M155" s="300"/>
      <c r="N155" s="300"/>
      <c r="O155" s="300"/>
      <c r="P155" s="312"/>
      <c r="Q155" s="312"/>
      <c r="R155" s="312"/>
      <c r="S155" s="312"/>
      <c r="T155" s="259"/>
      <c r="U155" s="301"/>
      <c r="W155" s="79"/>
      <c r="X155" s="13"/>
      <c r="Y155" s="78"/>
      <c r="Z155" s="79"/>
      <c r="AA155" s="13"/>
      <c r="AJ155" s="1" t="s">
        <v>826</v>
      </c>
      <c r="AK155" s="1" t="s">
        <v>768</v>
      </c>
      <c r="AL155" s="1">
        <v>123</v>
      </c>
      <c r="AM155" s="1" t="s">
        <v>813</v>
      </c>
      <c r="AN155" s="1" t="s">
        <v>785</v>
      </c>
      <c r="AO155" s="1" t="s">
        <v>816</v>
      </c>
      <c r="AP155" s="1">
        <v>-14.167899999999999</v>
      </c>
      <c r="AQ155" s="1">
        <v>440</v>
      </c>
      <c r="AR155" s="1" t="s">
        <v>816</v>
      </c>
      <c r="AS155" s="1">
        <v>7.0838999999999999</v>
      </c>
      <c r="AT155" s="1">
        <v>440</v>
      </c>
      <c r="AV155" s="1" t="str">
        <f t="shared" si="33"/>
        <v>B8End-J</v>
      </c>
      <c r="AW155" s="1">
        <f t="shared" si="34"/>
        <v>4.4000000000000004</v>
      </c>
      <c r="AX155" s="1">
        <f t="shared" si="35"/>
        <v>4.4000000000000004</v>
      </c>
    </row>
    <row r="156" spans="2:50" x14ac:dyDescent="0.25">
      <c r="B156" s="312"/>
      <c r="C156" s="312"/>
      <c r="D156" s="300"/>
      <c r="E156" s="300"/>
      <c r="F156" s="300"/>
      <c r="G156" s="300"/>
      <c r="H156" s="300"/>
      <c r="I156" s="300"/>
      <c r="J156" s="300"/>
      <c r="K156" s="300"/>
      <c r="L156" s="300"/>
      <c r="M156" s="300"/>
      <c r="N156" s="300"/>
      <c r="O156" s="300"/>
      <c r="P156" s="312"/>
      <c r="Q156" s="312"/>
      <c r="R156" s="312"/>
      <c r="S156" s="312"/>
      <c r="T156" s="259"/>
      <c r="U156" s="301"/>
      <c r="W156" s="79"/>
      <c r="X156" s="13"/>
      <c r="Y156" s="78"/>
      <c r="Z156" s="79"/>
      <c r="AA156" s="13"/>
      <c r="AJ156" s="1" t="s">
        <v>826</v>
      </c>
      <c r="AK156" s="1" t="s">
        <v>769</v>
      </c>
      <c r="AL156" s="1">
        <v>96</v>
      </c>
      <c r="AM156" s="1" t="s">
        <v>814</v>
      </c>
      <c r="AN156" s="1" t="s">
        <v>783</v>
      </c>
      <c r="AO156" s="1" t="s">
        <v>776</v>
      </c>
      <c r="AP156" s="1">
        <v>-140.17150000000001</v>
      </c>
      <c r="AQ156" s="1">
        <v>931</v>
      </c>
      <c r="AR156" s="1" t="s">
        <v>776</v>
      </c>
      <c r="AS156" s="1">
        <v>70.085700000000003</v>
      </c>
      <c r="AT156" s="1">
        <v>513</v>
      </c>
      <c r="AV156" s="1" t="str">
        <f t="shared" si="33"/>
        <v>B9End-I</v>
      </c>
      <c r="AW156" s="1">
        <f t="shared" si="34"/>
        <v>9.31</v>
      </c>
      <c r="AX156" s="1">
        <f t="shared" si="35"/>
        <v>5.13</v>
      </c>
    </row>
    <row r="157" spans="2:50" x14ac:dyDescent="0.25">
      <c r="B157" s="312"/>
      <c r="C157" s="312"/>
      <c r="D157" s="300"/>
      <c r="E157" s="300"/>
      <c r="F157" s="300"/>
      <c r="G157" s="300"/>
      <c r="H157" s="300"/>
      <c r="I157" s="300"/>
      <c r="J157" s="300"/>
      <c r="K157" s="300"/>
      <c r="L157" s="300"/>
      <c r="M157" s="300"/>
      <c r="N157" s="300"/>
      <c r="O157" s="300"/>
      <c r="P157" s="312"/>
      <c r="Q157" s="312"/>
      <c r="R157" s="312"/>
      <c r="S157" s="312"/>
      <c r="T157" s="259"/>
      <c r="U157" s="301"/>
      <c r="W157" s="79"/>
      <c r="X157" s="13"/>
      <c r="Y157" s="78"/>
      <c r="Z157" s="79"/>
      <c r="AA157" s="13"/>
      <c r="AJ157" s="1" t="s">
        <v>826</v>
      </c>
      <c r="AK157" s="1" t="s">
        <v>769</v>
      </c>
      <c r="AL157" s="1">
        <v>96</v>
      </c>
      <c r="AM157" s="1" t="s">
        <v>814</v>
      </c>
      <c r="AN157" s="1" t="s">
        <v>784</v>
      </c>
      <c r="AO157" s="1" t="s">
        <v>776</v>
      </c>
      <c r="AP157" s="1">
        <v>-35.359499999999997</v>
      </c>
      <c r="AQ157" s="1">
        <v>513</v>
      </c>
      <c r="AR157" s="1" t="s">
        <v>781</v>
      </c>
      <c r="AS157" s="1">
        <v>115.523</v>
      </c>
      <c r="AT157" s="1">
        <v>750</v>
      </c>
      <c r="AV157" s="1" t="str">
        <f t="shared" si="33"/>
        <v>B9Middle</v>
      </c>
      <c r="AW157" s="1">
        <f t="shared" si="34"/>
        <v>5.13</v>
      </c>
      <c r="AX157" s="1">
        <f t="shared" si="35"/>
        <v>7.5</v>
      </c>
    </row>
    <row r="158" spans="2:50" x14ac:dyDescent="0.25">
      <c r="B158" s="312"/>
      <c r="C158" s="312"/>
      <c r="D158" s="300"/>
      <c r="E158" s="300"/>
      <c r="F158" s="300"/>
      <c r="G158" s="300"/>
      <c r="H158" s="300"/>
      <c r="I158" s="300"/>
      <c r="J158" s="300"/>
      <c r="K158" s="300"/>
      <c r="L158" s="300"/>
      <c r="M158" s="300"/>
      <c r="N158" s="300"/>
      <c r="O158" s="300"/>
      <c r="P158" s="312"/>
      <c r="Q158" s="312"/>
      <c r="R158" s="312"/>
      <c r="S158" s="312"/>
      <c r="T158" s="259"/>
      <c r="U158" s="301"/>
      <c r="W158" s="79"/>
      <c r="X158" s="13"/>
      <c r="Y158" s="78"/>
      <c r="Z158" s="79"/>
      <c r="AA158" s="13"/>
      <c r="AJ158" s="1" t="s">
        <v>826</v>
      </c>
      <c r="AK158" s="1" t="s">
        <v>769</v>
      </c>
      <c r="AL158" s="1">
        <v>96</v>
      </c>
      <c r="AM158" s="1" t="s">
        <v>814</v>
      </c>
      <c r="AN158" s="1" t="s">
        <v>785</v>
      </c>
      <c r="AO158" s="1" t="s">
        <v>776</v>
      </c>
      <c r="AP158" s="1">
        <v>-141.43780000000001</v>
      </c>
      <c r="AQ158" s="1">
        <v>937</v>
      </c>
      <c r="AR158" s="1" t="s">
        <v>776</v>
      </c>
      <c r="AS158" s="1">
        <v>70.718900000000005</v>
      </c>
      <c r="AT158" s="1">
        <v>513</v>
      </c>
      <c r="AV158" s="1" t="str">
        <f t="shared" si="33"/>
        <v>B9End-J</v>
      </c>
      <c r="AW158" s="1">
        <f t="shared" si="34"/>
        <v>9.3699999999999992</v>
      </c>
      <c r="AX158" s="1">
        <f t="shared" si="35"/>
        <v>5.13</v>
      </c>
    </row>
    <row r="159" spans="2:50" x14ac:dyDescent="0.25">
      <c r="B159" s="312"/>
      <c r="C159" s="312"/>
      <c r="D159" s="300"/>
      <c r="E159" s="300"/>
      <c r="F159" s="300"/>
      <c r="G159" s="300"/>
      <c r="H159" s="300"/>
      <c r="I159" s="300"/>
      <c r="J159" s="300"/>
      <c r="K159" s="300"/>
      <c r="L159" s="300"/>
      <c r="M159" s="300"/>
      <c r="N159" s="300"/>
      <c r="O159" s="300"/>
      <c r="P159" s="312"/>
      <c r="Q159" s="312"/>
      <c r="R159" s="312"/>
      <c r="S159" s="312"/>
      <c r="T159" s="259"/>
      <c r="U159" s="301"/>
      <c r="W159" s="79"/>
      <c r="X159" s="13"/>
      <c r="Y159" s="78"/>
      <c r="Z159" s="79"/>
      <c r="AA159" s="13"/>
      <c r="AJ159" s="1" t="s">
        <v>826</v>
      </c>
      <c r="AK159" s="1" t="s">
        <v>770</v>
      </c>
      <c r="AL159" s="1">
        <v>129</v>
      </c>
      <c r="AM159" s="1" t="s">
        <v>814</v>
      </c>
      <c r="AN159" s="1" t="s">
        <v>783</v>
      </c>
      <c r="AO159" s="1" t="s">
        <v>776</v>
      </c>
      <c r="AP159" s="1">
        <v>-0.2349</v>
      </c>
      <c r="AQ159" s="1">
        <v>5</v>
      </c>
      <c r="AR159" s="1" t="s">
        <v>777</v>
      </c>
      <c r="AS159" s="1">
        <v>0.1794</v>
      </c>
      <c r="AT159" s="1">
        <v>4</v>
      </c>
      <c r="AV159" s="1" t="str">
        <f t="shared" si="33"/>
        <v>B10End-I</v>
      </c>
      <c r="AW159" s="1">
        <f t="shared" si="34"/>
        <v>0.05</v>
      </c>
      <c r="AX159" s="1">
        <f t="shared" si="35"/>
        <v>0.04</v>
      </c>
    </row>
    <row r="160" spans="2:50" x14ac:dyDescent="0.25">
      <c r="B160" s="312"/>
      <c r="C160" s="312"/>
      <c r="D160" s="300"/>
      <c r="E160" s="300"/>
      <c r="F160" s="300"/>
      <c r="G160" s="300"/>
      <c r="H160" s="300"/>
      <c r="I160" s="300"/>
      <c r="J160" s="300"/>
      <c r="K160" s="300"/>
      <c r="L160" s="300"/>
      <c r="M160" s="300"/>
      <c r="N160" s="300"/>
      <c r="O160" s="300"/>
      <c r="P160" s="312"/>
      <c r="Q160" s="312"/>
      <c r="R160" s="312"/>
      <c r="S160" s="312"/>
      <c r="T160" s="259"/>
      <c r="U160" s="301"/>
      <c r="W160" s="79"/>
      <c r="X160" s="13"/>
      <c r="Y160" s="78"/>
      <c r="Z160" s="79"/>
      <c r="AA160" s="13"/>
      <c r="AJ160" s="1" t="s">
        <v>826</v>
      </c>
      <c r="AK160" s="1" t="s">
        <v>770</v>
      </c>
      <c r="AL160" s="1">
        <v>129</v>
      </c>
      <c r="AM160" s="1" t="s">
        <v>814</v>
      </c>
      <c r="AN160" s="1" t="s">
        <v>784</v>
      </c>
      <c r="AV160" s="1" t="str">
        <f t="shared" si="33"/>
        <v>B10Middle</v>
      </c>
      <c r="AW160" s="1">
        <f t="shared" si="34"/>
        <v>0</v>
      </c>
      <c r="AX160" s="1">
        <f t="shared" si="35"/>
        <v>0</v>
      </c>
    </row>
    <row r="161" spans="2:53" x14ac:dyDescent="0.25">
      <c r="B161" s="312"/>
      <c r="C161" s="312"/>
      <c r="D161" s="300"/>
      <c r="E161" s="300"/>
      <c r="F161" s="300"/>
      <c r="G161" s="300"/>
      <c r="H161" s="300"/>
      <c r="I161" s="300"/>
      <c r="J161" s="300"/>
      <c r="K161" s="300"/>
      <c r="L161" s="300"/>
      <c r="M161" s="300"/>
      <c r="N161" s="300"/>
      <c r="O161" s="300"/>
      <c r="P161" s="312"/>
      <c r="Q161" s="312"/>
      <c r="R161" s="312"/>
      <c r="S161" s="312"/>
      <c r="T161" s="259"/>
      <c r="U161" s="301"/>
      <c r="W161" s="79"/>
      <c r="X161" s="13"/>
      <c r="Y161" s="78"/>
      <c r="Z161" s="79"/>
      <c r="AA161" s="13"/>
      <c r="AJ161" s="1" t="s">
        <v>826</v>
      </c>
      <c r="AK161" s="1" t="s">
        <v>770</v>
      </c>
      <c r="AL161" s="1">
        <v>129</v>
      </c>
      <c r="AM161" s="1" t="s">
        <v>814</v>
      </c>
      <c r="AN161" s="1" t="s">
        <v>785</v>
      </c>
      <c r="AO161" s="1" t="s">
        <v>777</v>
      </c>
      <c r="AP161" s="1">
        <v>-0.21129999999999999</v>
      </c>
      <c r="AQ161" s="1">
        <v>4</v>
      </c>
      <c r="AR161" s="1" t="s">
        <v>777</v>
      </c>
      <c r="AS161" s="1">
        <v>0.1933</v>
      </c>
      <c r="AT161" s="1">
        <v>4</v>
      </c>
      <c r="AV161" s="1" t="str">
        <f t="shared" si="33"/>
        <v>B10End-J</v>
      </c>
      <c r="AW161" s="1">
        <f t="shared" si="34"/>
        <v>0.04</v>
      </c>
      <c r="AX161" s="1">
        <f t="shared" si="35"/>
        <v>0.04</v>
      </c>
    </row>
    <row r="162" spans="2:53" x14ac:dyDescent="0.25">
      <c r="B162" s="312"/>
      <c r="C162" s="312"/>
      <c r="D162" s="300"/>
      <c r="E162" s="300"/>
      <c r="F162" s="300"/>
      <c r="G162" s="300"/>
      <c r="H162" s="300"/>
      <c r="I162" s="300"/>
      <c r="J162" s="300"/>
      <c r="K162" s="300"/>
      <c r="L162" s="300"/>
      <c r="M162" s="300"/>
      <c r="N162" s="300"/>
      <c r="O162" s="300"/>
      <c r="P162" s="312"/>
      <c r="Q162" s="312"/>
      <c r="R162" s="312"/>
      <c r="S162" s="312"/>
      <c r="T162" s="259"/>
      <c r="U162" s="301"/>
      <c r="W162" s="79"/>
      <c r="X162" s="13"/>
      <c r="Y162" s="78"/>
      <c r="Z162" s="79"/>
      <c r="AA162" s="13"/>
      <c r="AJ162" s="1" t="s">
        <v>826</v>
      </c>
      <c r="AK162" s="1" t="s">
        <v>771</v>
      </c>
      <c r="AL162" s="1">
        <v>111</v>
      </c>
      <c r="AM162" s="1" t="s">
        <v>813</v>
      </c>
      <c r="AN162" s="1" t="s">
        <v>783</v>
      </c>
      <c r="AO162" s="1" t="s">
        <v>778</v>
      </c>
      <c r="AP162" s="1">
        <v>-73.427199999999999</v>
      </c>
      <c r="AQ162" s="1">
        <v>473</v>
      </c>
      <c r="AR162" s="1" t="s">
        <v>778</v>
      </c>
      <c r="AS162" s="1">
        <v>36.7136</v>
      </c>
      <c r="AT162" s="1">
        <v>440</v>
      </c>
      <c r="AV162" s="1" t="str">
        <f t="shared" si="33"/>
        <v>B11End-I</v>
      </c>
      <c r="AW162" s="1">
        <f t="shared" si="34"/>
        <v>4.7300000000000004</v>
      </c>
      <c r="AX162" s="1">
        <f t="shared" si="35"/>
        <v>4.4000000000000004</v>
      </c>
    </row>
    <row r="163" spans="2:53" x14ac:dyDescent="0.25">
      <c r="B163" s="312"/>
      <c r="C163" s="312"/>
      <c r="D163" s="300"/>
      <c r="E163" s="300"/>
      <c r="F163" s="300"/>
      <c r="G163" s="300"/>
      <c r="H163" s="300"/>
      <c r="I163" s="300"/>
      <c r="J163" s="300"/>
      <c r="K163" s="300"/>
      <c r="L163" s="300"/>
      <c r="M163" s="300"/>
      <c r="N163" s="300"/>
      <c r="O163" s="300"/>
      <c r="P163" s="312"/>
      <c r="Q163" s="312"/>
      <c r="R163" s="312"/>
      <c r="S163" s="312"/>
      <c r="T163" s="259"/>
      <c r="U163" s="301"/>
      <c r="W163" s="79"/>
      <c r="X163" s="13"/>
      <c r="Y163" s="78"/>
      <c r="Z163" s="79"/>
      <c r="AA163" s="13"/>
      <c r="AJ163" s="1" t="s">
        <v>826</v>
      </c>
      <c r="AK163" s="1" t="s">
        <v>771</v>
      </c>
      <c r="AL163" s="1">
        <v>111</v>
      </c>
      <c r="AM163" s="1" t="s">
        <v>813</v>
      </c>
      <c r="AN163" s="1" t="s">
        <v>784</v>
      </c>
      <c r="AO163" s="1" t="s">
        <v>778</v>
      </c>
      <c r="AP163" s="1">
        <v>-18.3568</v>
      </c>
      <c r="AQ163" s="1">
        <v>440</v>
      </c>
      <c r="AR163" s="1" t="s">
        <v>778</v>
      </c>
      <c r="AS163" s="1">
        <v>29.989799999999999</v>
      </c>
      <c r="AT163" s="1">
        <v>440</v>
      </c>
      <c r="AV163" s="1" t="str">
        <f t="shared" si="33"/>
        <v>B11Middle</v>
      </c>
      <c r="AW163" s="1">
        <f t="shared" si="34"/>
        <v>4.4000000000000004</v>
      </c>
      <c r="AX163" s="1">
        <f t="shared" si="35"/>
        <v>4.4000000000000004</v>
      </c>
    </row>
    <row r="164" spans="2:53" x14ac:dyDescent="0.25">
      <c r="B164" s="312"/>
      <c r="C164" s="312"/>
      <c r="D164" s="300"/>
      <c r="E164" s="300"/>
      <c r="F164" s="300"/>
      <c r="G164" s="300"/>
      <c r="H164" s="300"/>
      <c r="I164" s="300"/>
      <c r="J164" s="300"/>
      <c r="K164" s="300"/>
      <c r="L164" s="300"/>
      <c r="M164" s="300"/>
      <c r="N164" s="300"/>
      <c r="O164" s="300"/>
      <c r="P164" s="312"/>
      <c r="Q164" s="312"/>
      <c r="R164" s="312"/>
      <c r="S164" s="312"/>
      <c r="T164" s="259"/>
      <c r="U164" s="301"/>
      <c r="W164" s="79"/>
      <c r="X164" s="13"/>
      <c r="Y164" s="78"/>
      <c r="Z164" s="79"/>
      <c r="AA164" s="13"/>
      <c r="AJ164" s="1" t="s">
        <v>826</v>
      </c>
      <c r="AK164" s="1" t="s">
        <v>771</v>
      </c>
      <c r="AL164" s="1">
        <v>111</v>
      </c>
      <c r="AM164" s="1" t="s">
        <v>813</v>
      </c>
      <c r="AN164" s="1" t="s">
        <v>785</v>
      </c>
      <c r="AO164" s="1" t="s">
        <v>778</v>
      </c>
      <c r="AP164" s="1">
        <v>-70.194699999999997</v>
      </c>
      <c r="AQ164" s="1">
        <v>452</v>
      </c>
      <c r="AR164" s="1" t="s">
        <v>778</v>
      </c>
      <c r="AS164" s="1">
        <v>35.097299999999997</v>
      </c>
      <c r="AT164" s="1">
        <v>440</v>
      </c>
      <c r="AV164" s="1" t="str">
        <f t="shared" si="33"/>
        <v>B11End-J</v>
      </c>
      <c r="AW164" s="1">
        <f t="shared" si="34"/>
        <v>4.5199999999999996</v>
      </c>
      <c r="AX164" s="1">
        <f t="shared" si="35"/>
        <v>4.4000000000000004</v>
      </c>
    </row>
    <row r="165" spans="2:53" x14ac:dyDescent="0.25">
      <c r="B165" s="312"/>
      <c r="C165" s="312"/>
      <c r="D165" s="300"/>
      <c r="E165" s="300"/>
      <c r="F165" s="300"/>
      <c r="G165" s="300"/>
      <c r="H165" s="300"/>
      <c r="I165" s="300"/>
      <c r="J165" s="300"/>
      <c r="K165" s="300"/>
      <c r="L165" s="300"/>
      <c r="M165" s="300"/>
      <c r="N165" s="300"/>
      <c r="O165" s="300"/>
      <c r="P165" s="312"/>
      <c r="Q165" s="312"/>
      <c r="R165" s="312"/>
      <c r="S165" s="312"/>
      <c r="T165" s="259"/>
      <c r="U165" s="301"/>
      <c r="W165" s="79"/>
      <c r="X165" s="13"/>
      <c r="Y165" s="78"/>
      <c r="Z165" s="79"/>
      <c r="AA165" s="13"/>
      <c r="AJ165" s="1" t="s">
        <v>826</v>
      </c>
      <c r="AK165" s="1" t="s">
        <v>304</v>
      </c>
      <c r="AL165" s="1">
        <v>84</v>
      </c>
      <c r="AM165" s="1" t="s">
        <v>813</v>
      </c>
      <c r="AN165" s="1" t="s">
        <v>783</v>
      </c>
      <c r="AO165" s="1" t="s">
        <v>778</v>
      </c>
      <c r="AP165" s="1">
        <v>-76.906800000000004</v>
      </c>
      <c r="AQ165" s="1">
        <v>493</v>
      </c>
      <c r="AR165" s="1" t="s">
        <v>778</v>
      </c>
      <c r="AS165" s="1">
        <v>38.453400000000002</v>
      </c>
      <c r="AT165" s="1">
        <v>440</v>
      </c>
      <c r="AV165" s="1" t="str">
        <f t="shared" si="33"/>
        <v>B17End-I</v>
      </c>
      <c r="AW165" s="1">
        <f t="shared" si="34"/>
        <v>4.93</v>
      </c>
      <c r="AX165" s="1">
        <f t="shared" si="35"/>
        <v>4.4000000000000004</v>
      </c>
    </row>
    <row r="166" spans="2:53" x14ac:dyDescent="0.25">
      <c r="B166" s="312"/>
      <c r="C166" s="312"/>
      <c r="D166" s="300"/>
      <c r="E166" s="300"/>
      <c r="F166" s="300"/>
      <c r="G166" s="300"/>
      <c r="H166" s="300"/>
      <c r="I166" s="300"/>
      <c r="J166" s="300"/>
      <c r="K166" s="300"/>
      <c r="L166" s="300"/>
      <c r="M166" s="300"/>
      <c r="N166" s="300"/>
      <c r="O166" s="300"/>
      <c r="P166" s="312"/>
      <c r="Q166" s="312"/>
      <c r="R166" s="312"/>
      <c r="S166" s="312"/>
      <c r="T166" s="259"/>
      <c r="U166" s="301"/>
      <c r="W166" s="79"/>
      <c r="X166" s="13"/>
      <c r="Y166" s="78"/>
      <c r="Z166" s="79"/>
      <c r="AA166" s="13"/>
      <c r="AJ166" s="1" t="s">
        <v>826</v>
      </c>
      <c r="AK166" s="1" t="s">
        <v>304</v>
      </c>
      <c r="AL166" s="1">
        <v>84</v>
      </c>
      <c r="AM166" s="1" t="s">
        <v>813</v>
      </c>
      <c r="AN166" s="1" t="s">
        <v>784</v>
      </c>
      <c r="AO166" s="1" t="s">
        <v>778</v>
      </c>
      <c r="AP166" s="1">
        <v>-19.226700000000001</v>
      </c>
      <c r="AQ166" s="1">
        <v>440</v>
      </c>
      <c r="AR166" s="1" t="s">
        <v>778</v>
      </c>
      <c r="AS166" s="1">
        <v>30.888500000000001</v>
      </c>
      <c r="AT166" s="1">
        <v>440</v>
      </c>
      <c r="AV166" s="1" t="str">
        <f t="shared" si="33"/>
        <v>B17Middle</v>
      </c>
      <c r="AW166" s="1">
        <f t="shared" si="34"/>
        <v>4.4000000000000004</v>
      </c>
      <c r="AX166" s="1">
        <f t="shared" si="35"/>
        <v>4.4000000000000004</v>
      </c>
    </row>
    <row r="167" spans="2:53" x14ac:dyDescent="0.25">
      <c r="B167" s="312"/>
      <c r="C167" s="312"/>
      <c r="D167" s="300"/>
      <c r="E167" s="300"/>
      <c r="F167" s="300"/>
      <c r="G167" s="300"/>
      <c r="H167" s="300"/>
      <c r="I167" s="300"/>
      <c r="J167" s="300"/>
      <c r="K167" s="300"/>
      <c r="L167" s="300"/>
      <c r="M167" s="300"/>
      <c r="N167" s="300"/>
      <c r="O167" s="300"/>
      <c r="P167" s="312"/>
      <c r="Q167" s="312"/>
      <c r="R167" s="312"/>
      <c r="S167" s="312"/>
      <c r="T167" s="259"/>
      <c r="U167" s="301"/>
      <c r="W167" s="79"/>
      <c r="X167" s="13"/>
      <c r="Y167" s="78"/>
      <c r="Z167" s="79"/>
      <c r="AA167" s="13"/>
      <c r="AJ167" s="1" t="s">
        <v>826</v>
      </c>
      <c r="AK167" s="1" t="s">
        <v>304</v>
      </c>
      <c r="AL167" s="1">
        <v>84</v>
      </c>
      <c r="AM167" s="1" t="s">
        <v>813</v>
      </c>
      <c r="AN167" s="1" t="s">
        <v>785</v>
      </c>
      <c r="AO167" s="1" t="s">
        <v>778</v>
      </c>
      <c r="AP167" s="1">
        <v>-75.187899999999999</v>
      </c>
      <c r="AQ167" s="1">
        <v>482</v>
      </c>
      <c r="AR167" s="1" t="s">
        <v>778</v>
      </c>
      <c r="AS167" s="1">
        <v>37.594000000000001</v>
      </c>
      <c r="AT167" s="1">
        <v>440</v>
      </c>
      <c r="AV167" s="1" t="str">
        <f t="shared" si="33"/>
        <v>B17End-J</v>
      </c>
      <c r="AW167" s="1">
        <f t="shared" si="34"/>
        <v>4.82</v>
      </c>
      <c r="AX167" s="1">
        <f t="shared" si="35"/>
        <v>4.4000000000000004</v>
      </c>
    </row>
    <row r="168" spans="2:53" x14ac:dyDescent="0.25">
      <c r="B168" s="312"/>
      <c r="C168" s="312"/>
      <c r="D168" s="300"/>
      <c r="E168" s="300"/>
      <c r="F168" s="300"/>
      <c r="G168" s="300"/>
      <c r="H168" s="300"/>
      <c r="I168" s="300"/>
      <c r="J168" s="300"/>
      <c r="K168" s="300"/>
      <c r="L168" s="300"/>
      <c r="M168" s="300"/>
      <c r="N168" s="300"/>
      <c r="O168" s="300"/>
      <c r="P168" s="312"/>
      <c r="Q168" s="312"/>
      <c r="R168" s="312"/>
      <c r="S168" s="312"/>
      <c r="T168" s="259"/>
      <c r="U168" s="301"/>
      <c r="W168" s="79"/>
      <c r="X168" s="13"/>
      <c r="Y168" s="78"/>
      <c r="Z168" s="79"/>
      <c r="AA168" s="13"/>
      <c r="AJ168" s="1" t="s">
        <v>826</v>
      </c>
      <c r="AK168" s="1" t="s">
        <v>772</v>
      </c>
      <c r="AL168" s="1">
        <v>102</v>
      </c>
      <c r="AM168" s="1" t="s">
        <v>814</v>
      </c>
      <c r="AN168" s="1" t="s">
        <v>783</v>
      </c>
      <c r="AO168" s="1" t="s">
        <v>776</v>
      </c>
      <c r="AP168" s="1">
        <v>-162.95679999999999</v>
      </c>
      <c r="AQ168" s="1">
        <v>1081</v>
      </c>
      <c r="AR168" s="1" t="s">
        <v>776</v>
      </c>
      <c r="AS168" s="1">
        <v>81.478399999999993</v>
      </c>
      <c r="AT168" s="1">
        <v>535</v>
      </c>
      <c r="AV168" s="1" t="str">
        <f t="shared" si="33"/>
        <v>B19End-I</v>
      </c>
      <c r="AW168" s="1">
        <f t="shared" si="34"/>
        <v>10.81</v>
      </c>
      <c r="AX168" s="1">
        <f t="shared" si="35"/>
        <v>5.35</v>
      </c>
    </row>
    <row r="169" spans="2:53" x14ac:dyDescent="0.25">
      <c r="B169" s="312"/>
      <c r="C169" s="312"/>
      <c r="D169" s="300"/>
      <c r="E169" s="300"/>
      <c r="F169" s="300"/>
      <c r="G169" s="300"/>
      <c r="H169" s="300"/>
      <c r="I169" s="300"/>
      <c r="J169" s="300"/>
      <c r="K169" s="300"/>
      <c r="L169" s="300"/>
      <c r="M169" s="300"/>
      <c r="N169" s="300"/>
      <c r="O169" s="300"/>
      <c r="P169" s="312"/>
      <c r="Q169" s="312"/>
      <c r="R169" s="312"/>
      <c r="S169" s="312"/>
      <c r="T169" s="259"/>
      <c r="U169" s="301"/>
      <c r="W169" s="79"/>
      <c r="X169" s="13"/>
      <c r="Y169" s="78"/>
      <c r="Z169" s="79"/>
      <c r="AA169" s="13"/>
      <c r="AJ169" s="1" t="s">
        <v>826</v>
      </c>
      <c r="AK169" s="1" t="s">
        <v>772</v>
      </c>
      <c r="AL169" s="1">
        <v>102</v>
      </c>
      <c r="AM169" s="1" t="s">
        <v>814</v>
      </c>
      <c r="AN169" s="1" t="s">
        <v>784</v>
      </c>
      <c r="AO169" s="1" t="s">
        <v>776</v>
      </c>
      <c r="AP169" s="1">
        <v>-40.847499999999997</v>
      </c>
      <c r="AQ169" s="1">
        <v>513</v>
      </c>
      <c r="AR169" s="1" t="s">
        <v>782</v>
      </c>
      <c r="AS169" s="1">
        <v>147.5334</v>
      </c>
      <c r="AT169" s="1">
        <v>970</v>
      </c>
      <c r="AV169" s="1" t="str">
        <f t="shared" si="33"/>
        <v>B19Middle</v>
      </c>
      <c r="AW169" s="1">
        <f t="shared" si="34"/>
        <v>5.13</v>
      </c>
      <c r="AX169" s="1">
        <f t="shared" si="35"/>
        <v>9.6999999999999993</v>
      </c>
    </row>
    <row r="170" spans="2:53" x14ac:dyDescent="0.25">
      <c r="B170" s="312"/>
      <c r="C170" s="312"/>
      <c r="D170" s="300"/>
      <c r="E170" s="300"/>
      <c r="F170" s="300"/>
      <c r="G170" s="300"/>
      <c r="H170" s="300"/>
      <c r="I170" s="300"/>
      <c r="J170" s="300"/>
      <c r="K170" s="300"/>
      <c r="L170" s="300"/>
      <c r="M170" s="300"/>
      <c r="N170" s="300"/>
      <c r="O170" s="300"/>
      <c r="P170" s="312"/>
      <c r="Q170" s="312"/>
      <c r="R170" s="312"/>
      <c r="S170" s="312"/>
      <c r="T170" s="259"/>
      <c r="U170" s="301"/>
      <c r="W170" s="79"/>
      <c r="X170" s="13"/>
      <c r="Y170" s="78"/>
      <c r="Z170" s="79"/>
      <c r="AA170" s="13"/>
      <c r="AJ170" s="1" t="s">
        <v>826</v>
      </c>
      <c r="AK170" s="1" t="s">
        <v>772</v>
      </c>
      <c r="AL170" s="1">
        <v>102</v>
      </c>
      <c r="AM170" s="1" t="s">
        <v>814</v>
      </c>
      <c r="AN170" s="1" t="s">
        <v>785</v>
      </c>
      <c r="AO170" s="1" t="s">
        <v>776</v>
      </c>
      <c r="AP170" s="1">
        <v>-163.38999999999999</v>
      </c>
      <c r="AQ170" s="1">
        <v>1082</v>
      </c>
      <c r="AR170" s="1" t="s">
        <v>776</v>
      </c>
      <c r="AS170" s="1">
        <v>81.694999999999993</v>
      </c>
      <c r="AT170" s="1">
        <v>535</v>
      </c>
      <c r="AV170" s="1" t="str">
        <f t="shared" si="33"/>
        <v>B19End-J</v>
      </c>
      <c r="AW170" s="1">
        <f t="shared" si="34"/>
        <v>10.82</v>
      </c>
      <c r="AX170" s="1">
        <f t="shared" si="35"/>
        <v>5.35</v>
      </c>
    </row>
    <row r="171" spans="2:53" x14ac:dyDescent="0.25">
      <c r="B171" s="312"/>
      <c r="C171" s="312"/>
      <c r="D171" s="300"/>
      <c r="E171" s="300"/>
      <c r="F171" s="300"/>
      <c r="G171" s="300"/>
      <c r="H171" s="300"/>
      <c r="I171" s="300"/>
      <c r="J171" s="300"/>
      <c r="K171" s="300"/>
      <c r="L171" s="300"/>
      <c r="M171" s="300"/>
      <c r="N171" s="300"/>
      <c r="O171" s="300"/>
      <c r="P171" s="312"/>
      <c r="Q171" s="312"/>
      <c r="R171" s="312"/>
      <c r="S171" s="312"/>
      <c r="T171" s="259"/>
      <c r="U171" s="301"/>
      <c r="W171" s="79"/>
      <c r="X171" s="13"/>
      <c r="Y171" s="78"/>
      <c r="Z171" s="79"/>
      <c r="AA171" s="13"/>
      <c r="AJ171" s="1" t="s">
        <v>826</v>
      </c>
      <c r="AK171" s="1" t="s">
        <v>773</v>
      </c>
      <c r="AL171" s="1">
        <v>117</v>
      </c>
      <c r="AM171" s="1" t="s">
        <v>813</v>
      </c>
      <c r="AN171" s="1" t="s">
        <v>783</v>
      </c>
      <c r="AO171" s="1" t="s">
        <v>778</v>
      </c>
      <c r="AP171" s="1">
        <v>-72.983099999999993</v>
      </c>
      <c r="AQ171" s="1">
        <v>468</v>
      </c>
      <c r="AR171" s="1" t="s">
        <v>778</v>
      </c>
      <c r="AS171" s="1">
        <v>36.491599999999998</v>
      </c>
      <c r="AT171" s="1">
        <v>440</v>
      </c>
      <c r="AV171" s="1" t="str">
        <f t="shared" si="33"/>
        <v>B21End-I</v>
      </c>
      <c r="AW171" s="1">
        <f t="shared" si="34"/>
        <v>4.68</v>
      </c>
      <c r="AX171" s="1">
        <f t="shared" si="35"/>
        <v>4.4000000000000004</v>
      </c>
    </row>
    <row r="172" spans="2:53" x14ac:dyDescent="0.25">
      <c r="B172" s="312"/>
      <c r="C172" s="312"/>
      <c r="D172" s="300"/>
      <c r="E172" s="300"/>
      <c r="F172" s="300"/>
      <c r="G172" s="300"/>
      <c r="H172" s="300"/>
      <c r="I172" s="300"/>
      <c r="J172" s="300"/>
      <c r="K172" s="300"/>
      <c r="L172" s="300"/>
      <c r="M172" s="300"/>
      <c r="N172" s="300"/>
      <c r="O172" s="300"/>
      <c r="P172" s="312"/>
      <c r="Q172" s="312"/>
      <c r="R172" s="312"/>
      <c r="S172" s="312"/>
      <c r="T172" s="259"/>
      <c r="U172" s="301"/>
      <c r="W172" s="79"/>
      <c r="X172" s="13"/>
      <c r="Y172" s="78"/>
      <c r="Z172" s="79"/>
      <c r="AA172" s="13"/>
      <c r="AJ172" s="1" t="s">
        <v>826</v>
      </c>
      <c r="AK172" s="1" t="s">
        <v>773</v>
      </c>
      <c r="AL172" s="1">
        <v>117</v>
      </c>
      <c r="AM172" s="1" t="s">
        <v>813</v>
      </c>
      <c r="AN172" s="1" t="s">
        <v>784</v>
      </c>
      <c r="AO172" s="1" t="s">
        <v>778</v>
      </c>
      <c r="AP172" s="1">
        <v>-18.245799999999999</v>
      </c>
      <c r="AQ172" s="1">
        <v>440</v>
      </c>
      <c r="AR172" s="1" t="s">
        <v>779</v>
      </c>
      <c r="AS172" s="1">
        <v>21.974900000000002</v>
      </c>
      <c r="AT172" s="1">
        <v>440</v>
      </c>
      <c r="AV172" s="1" t="str">
        <f t="shared" si="33"/>
        <v>B21Middle</v>
      </c>
      <c r="AW172" s="1">
        <f t="shared" si="34"/>
        <v>4.4000000000000004</v>
      </c>
      <c r="AX172" s="1">
        <f t="shared" si="35"/>
        <v>4.4000000000000004</v>
      </c>
    </row>
    <row r="173" spans="2:53" x14ac:dyDescent="0.25">
      <c r="B173" s="312"/>
      <c r="C173" s="312"/>
      <c r="D173" s="300"/>
      <c r="E173" s="300"/>
      <c r="F173" s="300"/>
      <c r="G173" s="300"/>
      <c r="H173" s="300"/>
      <c r="I173" s="300"/>
      <c r="J173" s="300"/>
      <c r="K173" s="300"/>
      <c r="L173" s="300"/>
      <c r="M173" s="300"/>
      <c r="N173" s="300"/>
      <c r="O173" s="300"/>
      <c r="P173" s="312"/>
      <c r="Q173" s="312"/>
      <c r="R173" s="312"/>
      <c r="S173" s="312"/>
      <c r="T173" s="259"/>
      <c r="U173" s="301"/>
      <c r="W173" s="79"/>
      <c r="X173" s="13"/>
      <c r="Y173" s="78"/>
      <c r="Z173" s="79"/>
      <c r="AA173" s="13"/>
      <c r="AJ173" s="1" t="s">
        <v>826</v>
      </c>
      <c r="AK173" s="1" t="s">
        <v>773</v>
      </c>
      <c r="AL173" s="1">
        <v>117</v>
      </c>
      <c r="AM173" s="1" t="s">
        <v>813</v>
      </c>
      <c r="AN173" s="1" t="s">
        <v>785</v>
      </c>
      <c r="AO173" s="1" t="s">
        <v>778</v>
      </c>
      <c r="AP173" s="1">
        <v>-69.602400000000003</v>
      </c>
      <c r="AQ173" s="1">
        <v>447</v>
      </c>
      <c r="AR173" s="1" t="s">
        <v>778</v>
      </c>
      <c r="AS173" s="1">
        <v>34.801200000000001</v>
      </c>
      <c r="AT173" s="1">
        <v>440</v>
      </c>
      <c r="AV173" s="1" t="str">
        <f t="shared" si="33"/>
        <v>B21End-J</v>
      </c>
      <c r="AW173" s="1">
        <f t="shared" si="34"/>
        <v>4.47</v>
      </c>
      <c r="AX173" s="1">
        <f t="shared" si="35"/>
        <v>4.4000000000000004</v>
      </c>
    </row>
    <row r="174" spans="2:53" x14ac:dyDescent="0.25">
      <c r="B174" s="312"/>
      <c r="C174" s="312"/>
      <c r="D174" s="300"/>
      <c r="E174" s="300"/>
      <c r="F174" s="300"/>
      <c r="G174" s="300"/>
      <c r="H174" s="300"/>
      <c r="I174" s="300"/>
      <c r="J174" s="300"/>
      <c r="K174" s="300"/>
      <c r="L174" s="300"/>
      <c r="M174" s="300"/>
      <c r="N174" s="300"/>
      <c r="O174" s="300"/>
      <c r="P174" s="312"/>
      <c r="Q174" s="312"/>
      <c r="R174" s="312"/>
      <c r="S174" s="312"/>
      <c r="T174" s="259"/>
      <c r="U174" s="301"/>
      <c r="W174" s="79"/>
      <c r="X174" s="13"/>
      <c r="Y174" s="78"/>
      <c r="Z174" s="79"/>
      <c r="AA174" s="13"/>
      <c r="AJ174" s="1" t="s">
        <v>826</v>
      </c>
      <c r="AK174" s="1" t="s">
        <v>774</v>
      </c>
      <c r="AL174" s="1">
        <v>90</v>
      </c>
      <c r="AM174" s="1" t="s">
        <v>813</v>
      </c>
      <c r="AN174" s="1" t="s">
        <v>783</v>
      </c>
      <c r="AO174" s="1" t="s">
        <v>778</v>
      </c>
      <c r="AP174" s="1">
        <v>-76.816800000000001</v>
      </c>
      <c r="AQ174" s="1">
        <v>491</v>
      </c>
      <c r="AR174" s="1" t="s">
        <v>778</v>
      </c>
      <c r="AS174" s="1">
        <v>38.4084</v>
      </c>
      <c r="AT174" s="1">
        <v>440</v>
      </c>
      <c r="AV174" s="1" t="str">
        <f t="shared" si="33"/>
        <v>B27End-I</v>
      </c>
      <c r="AW174" s="1">
        <f t="shared" si="34"/>
        <v>4.91</v>
      </c>
      <c r="AX174" s="1">
        <f t="shared" si="35"/>
        <v>4.4000000000000004</v>
      </c>
    </row>
    <row r="175" spans="2:53" x14ac:dyDescent="0.25">
      <c r="B175" s="312"/>
      <c r="C175" s="312"/>
      <c r="D175" s="300"/>
      <c r="E175" s="300"/>
      <c r="F175" s="300"/>
      <c r="G175" s="300"/>
      <c r="H175" s="300"/>
      <c r="I175" s="300"/>
      <c r="J175" s="300"/>
      <c r="K175" s="300"/>
      <c r="L175" s="300"/>
      <c r="M175" s="300"/>
      <c r="N175" s="300"/>
      <c r="O175" s="300"/>
      <c r="P175" s="312"/>
      <c r="Q175" s="312"/>
      <c r="R175" s="312"/>
      <c r="S175" s="312"/>
      <c r="T175" s="259"/>
      <c r="U175" s="301"/>
      <c r="W175" s="79"/>
      <c r="X175" s="13"/>
      <c r="Y175" s="78"/>
      <c r="Z175" s="79"/>
      <c r="AA175" s="13"/>
      <c r="AJ175" s="1" t="s">
        <v>826</v>
      </c>
      <c r="AK175" s="1" t="s">
        <v>774</v>
      </c>
      <c r="AL175" s="1">
        <v>90</v>
      </c>
      <c r="AM175" s="1" t="s">
        <v>813</v>
      </c>
      <c r="AN175" s="1" t="s">
        <v>784</v>
      </c>
      <c r="AO175" s="1" t="s">
        <v>778</v>
      </c>
      <c r="AP175" s="1">
        <v>-19.2042</v>
      </c>
      <c r="AQ175" s="1">
        <v>440</v>
      </c>
      <c r="AR175" s="1" t="s">
        <v>779</v>
      </c>
      <c r="AS175" s="1">
        <v>26.019500000000001</v>
      </c>
      <c r="AT175" s="1">
        <v>440</v>
      </c>
      <c r="AV175" s="1" t="str">
        <f t="shared" si="33"/>
        <v>B27Middle</v>
      </c>
      <c r="AW175" s="1">
        <f t="shared" si="34"/>
        <v>4.4000000000000004</v>
      </c>
      <c r="AX175" s="1">
        <f t="shared" si="35"/>
        <v>4.4000000000000004</v>
      </c>
      <c r="BA175" s="69"/>
    </row>
    <row r="176" spans="2:53" x14ac:dyDescent="0.25">
      <c r="B176" s="312"/>
      <c r="C176" s="312"/>
      <c r="D176" s="300"/>
      <c r="E176" s="300"/>
      <c r="F176" s="300"/>
      <c r="G176" s="300"/>
      <c r="H176" s="300"/>
      <c r="I176" s="300"/>
      <c r="J176" s="300"/>
      <c r="K176" s="300"/>
      <c r="L176" s="300"/>
      <c r="M176" s="300"/>
      <c r="N176" s="300"/>
      <c r="O176" s="300"/>
      <c r="P176" s="312"/>
      <c r="Q176" s="312"/>
      <c r="R176" s="312"/>
      <c r="S176" s="312"/>
      <c r="T176" s="259"/>
      <c r="U176" s="301"/>
      <c r="W176" s="79"/>
      <c r="X176" s="13"/>
      <c r="Y176" s="78"/>
      <c r="Z176" s="79"/>
      <c r="AA176" s="13"/>
      <c r="AJ176" s="1" t="s">
        <v>826</v>
      </c>
      <c r="AK176" s="1" t="s">
        <v>774</v>
      </c>
      <c r="AL176" s="1">
        <v>90</v>
      </c>
      <c r="AM176" s="1" t="s">
        <v>813</v>
      </c>
      <c r="AN176" s="1" t="s">
        <v>785</v>
      </c>
      <c r="AO176" s="1" t="s">
        <v>778</v>
      </c>
      <c r="AP176" s="1">
        <v>-74.705600000000004</v>
      </c>
      <c r="AQ176" s="1">
        <v>477</v>
      </c>
      <c r="AR176" s="1" t="s">
        <v>778</v>
      </c>
      <c r="AS176" s="1">
        <v>37.352800000000002</v>
      </c>
      <c r="AT176" s="1">
        <v>440</v>
      </c>
      <c r="AV176" s="1" t="str">
        <f t="shared" si="33"/>
        <v>B27End-J</v>
      </c>
      <c r="AW176" s="1">
        <f t="shared" si="34"/>
        <v>4.7699999999999996</v>
      </c>
      <c r="AX176" s="1">
        <f t="shared" si="35"/>
        <v>4.4000000000000004</v>
      </c>
      <c r="BA176" s="69"/>
    </row>
    <row r="177" spans="2:53" x14ac:dyDescent="0.25">
      <c r="B177" s="312"/>
      <c r="C177" s="312"/>
      <c r="D177" s="300"/>
      <c r="E177" s="300"/>
      <c r="F177" s="300"/>
      <c r="G177" s="300"/>
      <c r="H177" s="300"/>
      <c r="I177" s="300"/>
      <c r="J177" s="300"/>
      <c r="K177" s="300"/>
      <c r="L177" s="300"/>
      <c r="M177" s="300"/>
      <c r="N177" s="300"/>
      <c r="O177" s="300"/>
      <c r="P177" s="312"/>
      <c r="Q177" s="312"/>
      <c r="R177" s="312"/>
      <c r="S177" s="312"/>
      <c r="T177" s="259"/>
      <c r="U177" s="301"/>
      <c r="W177" s="79"/>
      <c r="X177" s="13"/>
      <c r="Y177" s="78"/>
      <c r="Z177" s="79"/>
      <c r="AA177" s="13"/>
      <c r="AJ177" s="1" t="s">
        <v>826</v>
      </c>
      <c r="AK177" s="1" t="s">
        <v>775</v>
      </c>
      <c r="AL177" s="1">
        <v>105</v>
      </c>
      <c r="AM177" s="1" t="s">
        <v>814</v>
      </c>
      <c r="AN177" s="1" t="s">
        <v>783</v>
      </c>
      <c r="AO177" s="1" t="s">
        <v>776</v>
      </c>
      <c r="AP177" s="1">
        <v>-143.821</v>
      </c>
      <c r="AQ177" s="1">
        <v>948</v>
      </c>
      <c r="AR177" s="1" t="s">
        <v>776</v>
      </c>
      <c r="AS177" s="1">
        <v>71.910499999999999</v>
      </c>
      <c r="AT177" s="1">
        <v>513</v>
      </c>
      <c r="AV177" s="1" t="str">
        <f t="shared" si="33"/>
        <v>B29End-I</v>
      </c>
      <c r="AW177" s="1">
        <f t="shared" si="34"/>
        <v>9.48</v>
      </c>
      <c r="AX177" s="1">
        <f t="shared" si="35"/>
        <v>5.13</v>
      </c>
      <c r="BA177" s="69"/>
    </row>
    <row r="178" spans="2:53" x14ac:dyDescent="0.25">
      <c r="B178" s="312"/>
      <c r="C178" s="312"/>
      <c r="D178" s="300"/>
      <c r="E178" s="300"/>
      <c r="F178" s="300"/>
      <c r="G178" s="300"/>
      <c r="H178" s="300"/>
      <c r="I178" s="300"/>
      <c r="J178" s="300"/>
      <c r="K178" s="300"/>
      <c r="L178" s="300"/>
      <c r="M178" s="300"/>
      <c r="N178" s="300"/>
      <c r="O178" s="300"/>
      <c r="P178" s="312"/>
      <c r="Q178" s="312"/>
      <c r="R178" s="312"/>
      <c r="S178" s="312"/>
      <c r="T178" s="259"/>
      <c r="U178" s="301"/>
      <c r="W178" s="79"/>
      <c r="X178" s="13"/>
      <c r="Y178" s="78"/>
      <c r="Z178" s="79"/>
      <c r="AA178" s="13"/>
      <c r="AJ178" s="1" t="s">
        <v>826</v>
      </c>
      <c r="AK178" s="1" t="s">
        <v>775</v>
      </c>
      <c r="AL178" s="1">
        <v>105</v>
      </c>
      <c r="AM178" s="1" t="s">
        <v>814</v>
      </c>
      <c r="AN178" s="1" t="s">
        <v>784</v>
      </c>
      <c r="AO178" s="1" t="s">
        <v>776</v>
      </c>
      <c r="AP178" s="1">
        <v>-35.955199999999998</v>
      </c>
      <c r="AQ178" s="1">
        <v>513</v>
      </c>
      <c r="AR178" s="1" t="s">
        <v>781</v>
      </c>
      <c r="AS178" s="1">
        <v>133.05029999999999</v>
      </c>
      <c r="AT178" s="1">
        <v>870</v>
      </c>
      <c r="AV178" s="1" t="str">
        <f t="shared" si="33"/>
        <v>B29Middle</v>
      </c>
      <c r="AW178" s="1">
        <f t="shared" si="34"/>
        <v>5.13</v>
      </c>
      <c r="AX178" s="1">
        <f t="shared" si="35"/>
        <v>8.6999999999999993</v>
      </c>
      <c r="BA178" s="69"/>
    </row>
    <row r="179" spans="2:53" x14ac:dyDescent="0.25">
      <c r="B179" s="312"/>
      <c r="C179" s="312"/>
      <c r="D179" s="300"/>
      <c r="E179" s="300"/>
      <c r="F179" s="300"/>
      <c r="G179" s="300"/>
      <c r="H179" s="300"/>
      <c r="I179" s="300"/>
      <c r="J179" s="300"/>
      <c r="K179" s="300"/>
      <c r="L179" s="300"/>
      <c r="M179" s="300"/>
      <c r="N179" s="300"/>
      <c r="O179" s="300"/>
      <c r="P179" s="312"/>
      <c r="Q179" s="312"/>
      <c r="R179" s="312"/>
      <c r="S179" s="312"/>
      <c r="T179" s="259"/>
      <c r="U179" s="301"/>
      <c r="W179" s="79"/>
      <c r="X179" s="13"/>
      <c r="Y179" s="78"/>
      <c r="Z179" s="79"/>
      <c r="AA179" s="13"/>
      <c r="AJ179" s="1" t="s">
        <v>826</v>
      </c>
      <c r="AK179" s="1" t="s">
        <v>775</v>
      </c>
      <c r="AL179" s="1">
        <v>105</v>
      </c>
      <c r="AM179" s="1" t="s">
        <v>814</v>
      </c>
      <c r="AN179" s="1" t="s">
        <v>785</v>
      </c>
      <c r="AO179" s="1" t="s">
        <v>776</v>
      </c>
      <c r="AP179" s="1">
        <v>-143.4323</v>
      </c>
      <c r="AQ179" s="1">
        <v>943</v>
      </c>
      <c r="AR179" s="1" t="s">
        <v>776</v>
      </c>
      <c r="AS179" s="1">
        <v>71.716099999999997</v>
      </c>
      <c r="AT179" s="1">
        <v>513</v>
      </c>
      <c r="AV179" s="1" t="str">
        <f t="shared" si="33"/>
        <v>B29End-J</v>
      </c>
      <c r="AW179" s="1">
        <f t="shared" si="34"/>
        <v>9.43</v>
      </c>
      <c r="AX179" s="1">
        <f t="shared" si="35"/>
        <v>5.13</v>
      </c>
      <c r="BA179" s="69"/>
    </row>
    <row r="180" spans="2:53" x14ac:dyDescent="0.25">
      <c r="B180" s="312"/>
      <c r="C180" s="312"/>
      <c r="D180" s="300"/>
      <c r="E180" s="300"/>
      <c r="F180" s="300"/>
      <c r="G180" s="300"/>
      <c r="H180" s="300"/>
      <c r="I180" s="300"/>
      <c r="J180" s="300"/>
      <c r="K180" s="300"/>
      <c r="L180" s="300"/>
      <c r="M180" s="300"/>
      <c r="N180" s="300"/>
      <c r="O180" s="300"/>
      <c r="P180" s="312"/>
      <c r="Q180" s="312"/>
      <c r="R180" s="312"/>
      <c r="S180" s="312"/>
      <c r="T180" s="259"/>
      <c r="U180" s="301"/>
      <c r="W180" s="79"/>
      <c r="X180" s="13"/>
      <c r="Y180" s="78"/>
      <c r="Z180" s="79"/>
      <c r="AA180" s="13"/>
      <c r="AJ180" s="1" t="s">
        <v>826</v>
      </c>
      <c r="AK180" s="1" t="s">
        <v>815</v>
      </c>
      <c r="AL180" s="1">
        <v>120</v>
      </c>
      <c r="AM180" s="1" t="s">
        <v>813</v>
      </c>
      <c r="AN180" s="1" t="s">
        <v>783</v>
      </c>
      <c r="AO180" s="1" t="s">
        <v>778</v>
      </c>
      <c r="AP180" s="1">
        <v>-70.151899999999998</v>
      </c>
      <c r="AQ180" s="1">
        <v>453</v>
      </c>
      <c r="AR180" s="1" t="s">
        <v>780</v>
      </c>
      <c r="AS180" s="1">
        <v>41.503500000000003</v>
      </c>
      <c r="AT180" s="1">
        <v>440</v>
      </c>
      <c r="AV180" s="1" t="str">
        <f t="shared" si="33"/>
        <v>B31End-I</v>
      </c>
      <c r="AW180" s="1">
        <f t="shared" si="34"/>
        <v>4.53</v>
      </c>
      <c r="AX180" s="1">
        <f t="shared" si="35"/>
        <v>4.4000000000000004</v>
      </c>
      <c r="BA180" s="69"/>
    </row>
    <row r="181" spans="2:53" x14ac:dyDescent="0.25">
      <c r="B181" s="312"/>
      <c r="C181" s="312"/>
      <c r="D181" s="300"/>
      <c r="E181" s="300"/>
      <c r="F181" s="300"/>
      <c r="G181" s="300"/>
      <c r="H181" s="300"/>
      <c r="I181" s="300"/>
      <c r="J181" s="300"/>
      <c r="K181" s="300"/>
      <c r="L181" s="300"/>
      <c r="M181" s="300"/>
      <c r="N181" s="300"/>
      <c r="O181" s="300"/>
      <c r="P181" s="312"/>
      <c r="Q181" s="312"/>
      <c r="R181" s="312"/>
      <c r="S181" s="312"/>
      <c r="T181" s="259"/>
      <c r="U181" s="301"/>
      <c r="W181" s="79"/>
      <c r="X181" s="13"/>
      <c r="Y181" s="78"/>
      <c r="Z181" s="79"/>
      <c r="AA181" s="13"/>
      <c r="AJ181" s="1" t="s">
        <v>826</v>
      </c>
      <c r="AK181" s="1" t="s">
        <v>815</v>
      </c>
      <c r="AL181" s="1">
        <v>120</v>
      </c>
      <c r="AM181" s="1" t="s">
        <v>813</v>
      </c>
      <c r="AN181" s="1" t="s">
        <v>784</v>
      </c>
      <c r="AO181" s="1" t="s">
        <v>780</v>
      </c>
      <c r="AP181" s="1">
        <v>-24.234300000000001</v>
      </c>
      <c r="AQ181" s="1">
        <v>440</v>
      </c>
      <c r="AR181" s="1" t="s">
        <v>778</v>
      </c>
      <c r="AS181" s="1">
        <v>31.466000000000001</v>
      </c>
      <c r="AT181" s="1">
        <v>440</v>
      </c>
      <c r="AV181" s="1" t="str">
        <f t="shared" si="33"/>
        <v>B31Middle</v>
      </c>
      <c r="AW181" s="1">
        <f t="shared" si="34"/>
        <v>4.4000000000000004</v>
      </c>
      <c r="AX181" s="1">
        <f t="shared" si="35"/>
        <v>4.4000000000000004</v>
      </c>
    </row>
    <row r="182" spans="2:53" x14ac:dyDescent="0.25">
      <c r="B182" s="312"/>
      <c r="C182" s="312"/>
      <c r="D182" s="300"/>
      <c r="E182" s="300"/>
      <c r="F182" s="300"/>
      <c r="G182" s="300"/>
      <c r="H182" s="300"/>
      <c r="I182" s="300"/>
      <c r="J182" s="300"/>
      <c r="K182" s="300"/>
      <c r="L182" s="300"/>
      <c r="M182" s="300"/>
      <c r="N182" s="300"/>
      <c r="O182" s="300"/>
      <c r="P182" s="312"/>
      <c r="Q182" s="312"/>
      <c r="R182" s="312"/>
      <c r="S182" s="312"/>
      <c r="T182" s="259"/>
      <c r="U182" s="301"/>
      <c r="W182" s="79"/>
      <c r="X182" s="13"/>
      <c r="Y182" s="78"/>
      <c r="Z182" s="79"/>
      <c r="AA182" s="13"/>
      <c r="AJ182" s="1" t="s">
        <v>826</v>
      </c>
      <c r="AK182" s="1" t="s">
        <v>815</v>
      </c>
      <c r="AL182" s="1">
        <v>120</v>
      </c>
      <c r="AM182" s="1" t="s">
        <v>813</v>
      </c>
      <c r="AN182" s="1" t="s">
        <v>785</v>
      </c>
      <c r="AO182" s="1" t="s">
        <v>778</v>
      </c>
      <c r="AP182" s="1">
        <v>-65.124200000000002</v>
      </c>
      <c r="AQ182" s="1">
        <v>440</v>
      </c>
      <c r="AR182" s="1" t="s">
        <v>780</v>
      </c>
      <c r="AS182" s="1">
        <v>42.927</v>
      </c>
      <c r="AT182" s="1">
        <v>440</v>
      </c>
      <c r="AV182" s="1" t="str">
        <f t="shared" si="33"/>
        <v>B31End-J</v>
      </c>
      <c r="AW182" s="1">
        <f t="shared" si="34"/>
        <v>4.4000000000000004</v>
      </c>
      <c r="AX182" s="1">
        <f t="shared" si="35"/>
        <v>4.4000000000000004</v>
      </c>
    </row>
    <row r="183" spans="2:53" x14ac:dyDescent="0.25">
      <c r="B183" s="312"/>
      <c r="C183" s="312"/>
      <c r="D183" s="300"/>
      <c r="E183" s="300"/>
      <c r="F183" s="300"/>
      <c r="G183" s="300"/>
      <c r="H183" s="300"/>
      <c r="I183" s="300"/>
      <c r="J183" s="300"/>
      <c r="K183" s="300"/>
      <c r="L183" s="300"/>
      <c r="M183" s="300"/>
      <c r="N183" s="300"/>
      <c r="O183" s="300"/>
      <c r="P183" s="312"/>
      <c r="Q183" s="312"/>
      <c r="R183" s="312"/>
      <c r="S183" s="312"/>
      <c r="T183" s="259"/>
      <c r="U183" s="301"/>
      <c r="W183" s="79"/>
      <c r="X183" s="13"/>
      <c r="Y183" s="78"/>
      <c r="Z183" s="79"/>
      <c r="AA183" s="13"/>
      <c r="AJ183" s="1" t="s">
        <v>826</v>
      </c>
      <c r="AK183" s="1" t="s">
        <v>817</v>
      </c>
      <c r="AL183" s="1">
        <v>93</v>
      </c>
      <c r="AM183" s="1" t="s">
        <v>813</v>
      </c>
      <c r="AN183" s="1" t="s">
        <v>783</v>
      </c>
      <c r="AO183" s="1" t="s">
        <v>778</v>
      </c>
      <c r="AP183" s="1">
        <v>-72.041300000000007</v>
      </c>
      <c r="AQ183" s="1">
        <v>461</v>
      </c>
      <c r="AR183" s="1" t="s">
        <v>780</v>
      </c>
      <c r="AS183" s="1">
        <v>41.335999999999999</v>
      </c>
      <c r="AT183" s="1">
        <v>440</v>
      </c>
      <c r="AV183" s="1" t="str">
        <f t="shared" si="33"/>
        <v>B37End-I</v>
      </c>
      <c r="AW183" s="1">
        <f t="shared" si="34"/>
        <v>4.6100000000000003</v>
      </c>
      <c r="AX183" s="1">
        <f t="shared" si="35"/>
        <v>4.4000000000000004</v>
      </c>
    </row>
    <row r="184" spans="2:53" x14ac:dyDescent="0.25">
      <c r="B184" s="312"/>
      <c r="C184" s="312"/>
      <c r="D184" s="300"/>
      <c r="E184" s="300"/>
      <c r="F184" s="300"/>
      <c r="G184" s="300"/>
      <c r="H184" s="300"/>
      <c r="I184" s="300"/>
      <c r="J184" s="300"/>
      <c r="K184" s="300"/>
      <c r="L184" s="300"/>
      <c r="M184" s="300"/>
      <c r="N184" s="300"/>
      <c r="O184" s="300"/>
      <c r="P184" s="312"/>
      <c r="Q184" s="312"/>
      <c r="R184" s="312"/>
      <c r="S184" s="312"/>
      <c r="T184" s="259"/>
      <c r="U184" s="301"/>
      <c r="W184" s="79"/>
      <c r="X184" s="13"/>
      <c r="Y184" s="78"/>
      <c r="Z184" s="79"/>
      <c r="AA184" s="13"/>
      <c r="AJ184" s="1" t="s">
        <v>826</v>
      </c>
      <c r="AK184" s="1" t="s">
        <v>817</v>
      </c>
      <c r="AL184" s="1">
        <v>93</v>
      </c>
      <c r="AM184" s="1" t="s">
        <v>813</v>
      </c>
      <c r="AN184" s="1" t="s">
        <v>784</v>
      </c>
      <c r="AO184" s="1" t="s">
        <v>780</v>
      </c>
      <c r="AP184" s="1">
        <v>-23.909199999999998</v>
      </c>
      <c r="AQ184" s="1">
        <v>440</v>
      </c>
      <c r="AR184" s="1" t="s">
        <v>778</v>
      </c>
      <c r="AS184" s="1">
        <v>31.847799999999999</v>
      </c>
      <c r="AT184" s="1">
        <v>440</v>
      </c>
      <c r="AV184" s="1" t="str">
        <f t="shared" si="33"/>
        <v>B37Middle</v>
      </c>
      <c r="AW184" s="1">
        <f t="shared" si="34"/>
        <v>4.4000000000000004</v>
      </c>
      <c r="AX184" s="1">
        <f t="shared" si="35"/>
        <v>4.4000000000000004</v>
      </c>
      <c r="BA184" s="69"/>
    </row>
    <row r="185" spans="2:53" x14ac:dyDescent="0.25">
      <c r="B185" s="312"/>
      <c r="C185" s="312"/>
      <c r="D185" s="300"/>
      <c r="E185" s="300"/>
      <c r="F185" s="300"/>
      <c r="G185" s="300"/>
      <c r="H185" s="300"/>
      <c r="I185" s="300"/>
      <c r="J185" s="300"/>
      <c r="K185" s="300"/>
      <c r="L185" s="300"/>
      <c r="M185" s="300"/>
      <c r="N185" s="300"/>
      <c r="O185" s="300"/>
      <c r="P185" s="312"/>
      <c r="Q185" s="312"/>
      <c r="R185" s="312"/>
      <c r="S185" s="312"/>
      <c r="T185" s="259"/>
      <c r="U185" s="301"/>
      <c r="W185" s="79"/>
      <c r="X185" s="13"/>
      <c r="Y185" s="78"/>
      <c r="Z185" s="79"/>
      <c r="AA185" s="13"/>
      <c r="AJ185" s="1" t="s">
        <v>826</v>
      </c>
      <c r="AK185" s="1" t="s">
        <v>817</v>
      </c>
      <c r="AL185" s="1">
        <v>93</v>
      </c>
      <c r="AM185" s="1" t="s">
        <v>813</v>
      </c>
      <c r="AN185" s="1" t="s">
        <v>785</v>
      </c>
      <c r="AO185" s="1" t="s">
        <v>778</v>
      </c>
      <c r="AP185" s="1">
        <v>-68.648799999999994</v>
      </c>
      <c r="AQ185" s="1">
        <v>440</v>
      </c>
      <c r="AR185" s="1" t="s">
        <v>780</v>
      </c>
      <c r="AS185" s="1">
        <v>41.530299999999997</v>
      </c>
      <c r="AT185" s="1">
        <v>440</v>
      </c>
      <c r="AV185" s="1" t="str">
        <f t="shared" si="33"/>
        <v>B37End-J</v>
      </c>
      <c r="AW185" s="1">
        <f t="shared" si="34"/>
        <v>4.4000000000000004</v>
      </c>
      <c r="AX185" s="1">
        <f t="shared" si="35"/>
        <v>4.4000000000000004</v>
      </c>
      <c r="BA185" s="69"/>
    </row>
    <row r="186" spans="2:53" x14ac:dyDescent="0.25">
      <c r="B186" s="312"/>
      <c r="C186" s="312"/>
      <c r="D186" s="300"/>
      <c r="E186" s="300"/>
      <c r="F186" s="300"/>
      <c r="G186" s="300"/>
      <c r="H186" s="300"/>
      <c r="I186" s="300"/>
      <c r="J186" s="300"/>
      <c r="K186" s="300"/>
      <c r="L186" s="300"/>
      <c r="M186" s="300"/>
      <c r="N186" s="300"/>
      <c r="O186" s="300"/>
      <c r="P186" s="312"/>
      <c r="Q186" s="312"/>
      <c r="R186" s="312"/>
      <c r="S186" s="312"/>
      <c r="T186" s="259"/>
      <c r="U186" s="301"/>
      <c r="W186" s="79"/>
      <c r="X186" s="13"/>
      <c r="Y186" s="78"/>
      <c r="Z186" s="79"/>
      <c r="AA186" s="13"/>
      <c r="AJ186" s="1" t="s">
        <v>826</v>
      </c>
      <c r="AK186" s="1" t="s">
        <v>809</v>
      </c>
      <c r="AL186" s="1">
        <v>108</v>
      </c>
      <c r="AM186" s="1" t="s">
        <v>814</v>
      </c>
      <c r="AN186" s="1" t="s">
        <v>783</v>
      </c>
      <c r="AO186" s="1" t="s">
        <v>776</v>
      </c>
      <c r="AP186" s="1">
        <v>-92.984300000000005</v>
      </c>
      <c r="AQ186" s="1">
        <v>611</v>
      </c>
      <c r="AR186" s="1" t="s">
        <v>782</v>
      </c>
      <c r="AS186" s="1">
        <v>49.152999999999999</v>
      </c>
      <c r="AT186" s="1">
        <v>513</v>
      </c>
      <c r="AV186" s="1" t="str">
        <f t="shared" si="33"/>
        <v>B39End-I</v>
      </c>
      <c r="AW186" s="1">
        <f t="shared" si="34"/>
        <v>6.11</v>
      </c>
      <c r="AX186" s="1">
        <f t="shared" si="35"/>
        <v>5.13</v>
      </c>
      <c r="BA186" s="69"/>
    </row>
    <row r="187" spans="2:53" x14ac:dyDescent="0.25">
      <c r="B187" s="312"/>
      <c r="C187" s="312"/>
      <c r="D187" s="300"/>
      <c r="E187" s="300"/>
      <c r="F187" s="300"/>
      <c r="G187" s="300"/>
      <c r="H187" s="300"/>
      <c r="I187" s="300"/>
      <c r="J187" s="300"/>
      <c r="K187" s="300"/>
      <c r="L187" s="300"/>
      <c r="M187" s="300"/>
      <c r="N187" s="300"/>
      <c r="O187" s="300"/>
      <c r="P187" s="312"/>
      <c r="Q187" s="312"/>
      <c r="R187" s="312"/>
      <c r="S187" s="312"/>
      <c r="T187" s="259"/>
      <c r="U187" s="301"/>
      <c r="W187" s="79"/>
      <c r="X187" s="13"/>
      <c r="Y187" s="78"/>
      <c r="Z187" s="79"/>
      <c r="AA187" s="13"/>
      <c r="AJ187" s="1" t="s">
        <v>826</v>
      </c>
      <c r="AK187" s="1" t="s">
        <v>809</v>
      </c>
      <c r="AL187" s="1">
        <v>108</v>
      </c>
      <c r="AM187" s="1" t="s">
        <v>814</v>
      </c>
      <c r="AN187" s="1" t="s">
        <v>784</v>
      </c>
      <c r="AO187" s="1" t="s">
        <v>776</v>
      </c>
      <c r="AP187" s="1">
        <v>-23.246099999999998</v>
      </c>
      <c r="AQ187" s="1">
        <v>513</v>
      </c>
      <c r="AR187" s="1" t="s">
        <v>781</v>
      </c>
      <c r="AS187" s="1">
        <v>68.837699999999998</v>
      </c>
      <c r="AT187" s="1">
        <v>513</v>
      </c>
      <c r="AV187" s="1" t="str">
        <f t="shared" si="33"/>
        <v>B39Middle</v>
      </c>
      <c r="AW187" s="1">
        <f t="shared" si="34"/>
        <v>5.13</v>
      </c>
      <c r="AX187" s="1">
        <f t="shared" si="35"/>
        <v>5.13</v>
      </c>
    </row>
    <row r="188" spans="2:53" x14ac:dyDescent="0.25">
      <c r="B188" s="312"/>
      <c r="C188" s="312"/>
      <c r="D188" s="300"/>
      <c r="E188" s="300"/>
      <c r="F188" s="300"/>
      <c r="G188" s="300"/>
      <c r="H188" s="300"/>
      <c r="I188" s="300"/>
      <c r="J188" s="300"/>
      <c r="K188" s="300"/>
      <c r="L188" s="300"/>
      <c r="M188" s="300"/>
      <c r="N188" s="300"/>
      <c r="O188" s="300"/>
      <c r="P188" s="312"/>
      <c r="Q188" s="312"/>
      <c r="R188" s="312"/>
      <c r="S188" s="312"/>
      <c r="T188" s="259"/>
      <c r="U188" s="301"/>
      <c r="W188" s="79"/>
      <c r="X188" s="13"/>
      <c r="Y188" s="78"/>
      <c r="Z188" s="79"/>
      <c r="AA188" s="13"/>
      <c r="AJ188" s="1" t="s">
        <v>826</v>
      </c>
      <c r="AK188" s="1" t="s">
        <v>809</v>
      </c>
      <c r="AL188" s="1">
        <v>108</v>
      </c>
      <c r="AM188" s="1" t="s">
        <v>814</v>
      </c>
      <c r="AN188" s="1" t="s">
        <v>785</v>
      </c>
      <c r="AO188" s="1" t="s">
        <v>776</v>
      </c>
      <c r="AP188" s="1">
        <v>-86.183300000000003</v>
      </c>
      <c r="AQ188" s="1">
        <v>563</v>
      </c>
      <c r="AR188" s="1" t="s">
        <v>776</v>
      </c>
      <c r="AS188" s="1">
        <v>43.0916</v>
      </c>
      <c r="AT188" s="1">
        <v>513</v>
      </c>
      <c r="AV188" s="1" t="str">
        <f t="shared" si="33"/>
        <v>B39End-J</v>
      </c>
      <c r="AW188" s="1">
        <f t="shared" si="34"/>
        <v>5.63</v>
      </c>
      <c r="AX188" s="1">
        <f t="shared" si="35"/>
        <v>5.13</v>
      </c>
    </row>
    <row r="189" spans="2:53" x14ac:dyDescent="0.25">
      <c r="B189" s="312"/>
      <c r="C189" s="312"/>
      <c r="D189" s="300"/>
      <c r="E189" s="300"/>
      <c r="F189" s="300"/>
      <c r="G189" s="300"/>
      <c r="H189" s="300"/>
      <c r="I189" s="300"/>
      <c r="J189" s="300"/>
      <c r="K189" s="300"/>
      <c r="L189" s="300"/>
      <c r="M189" s="300"/>
      <c r="N189" s="300"/>
      <c r="O189" s="300"/>
      <c r="P189" s="312"/>
      <c r="Q189" s="312"/>
      <c r="R189" s="312"/>
      <c r="S189" s="312"/>
      <c r="T189" s="259"/>
      <c r="U189" s="301"/>
      <c r="W189" s="79"/>
      <c r="X189" s="13"/>
      <c r="Y189" s="78"/>
      <c r="Z189" s="79"/>
      <c r="AA189" s="13"/>
      <c r="AJ189" s="1" t="s">
        <v>826</v>
      </c>
      <c r="AK189" s="1" t="s">
        <v>810</v>
      </c>
      <c r="AL189" s="1">
        <v>357</v>
      </c>
      <c r="AM189" s="1" t="s">
        <v>813</v>
      </c>
      <c r="AN189" s="1" t="s">
        <v>783</v>
      </c>
      <c r="AO189" s="1" t="s">
        <v>778</v>
      </c>
      <c r="AP189" s="1">
        <v>-19.073499999999999</v>
      </c>
      <c r="AQ189" s="1">
        <v>440</v>
      </c>
      <c r="AR189" s="1" t="s">
        <v>778</v>
      </c>
      <c r="AS189" s="1">
        <v>9.5367999999999995</v>
      </c>
      <c r="AT189" s="1">
        <v>440</v>
      </c>
      <c r="AV189" s="1" t="str">
        <f t="shared" si="33"/>
        <v>B41End-I</v>
      </c>
      <c r="AW189" s="1">
        <f t="shared" si="34"/>
        <v>4.4000000000000004</v>
      </c>
      <c r="AX189" s="1">
        <f t="shared" si="35"/>
        <v>4.4000000000000004</v>
      </c>
    </row>
    <row r="190" spans="2:53" x14ac:dyDescent="0.25">
      <c r="B190" s="312"/>
      <c r="C190" s="312"/>
      <c r="D190" s="300"/>
      <c r="E190" s="300"/>
      <c r="F190" s="300"/>
      <c r="G190" s="300"/>
      <c r="H190" s="300"/>
      <c r="I190" s="300"/>
      <c r="J190" s="300"/>
      <c r="K190" s="300"/>
      <c r="L190" s="300"/>
      <c r="M190" s="300"/>
      <c r="N190" s="300"/>
      <c r="O190" s="300"/>
      <c r="P190" s="312"/>
      <c r="Q190" s="312"/>
      <c r="R190" s="312"/>
      <c r="S190" s="312"/>
      <c r="T190" s="259"/>
      <c r="U190" s="301"/>
      <c r="W190" s="79"/>
      <c r="X190" s="13"/>
      <c r="Y190" s="78"/>
      <c r="Z190" s="79"/>
      <c r="AA190" s="13"/>
      <c r="AJ190" s="1" t="s">
        <v>826</v>
      </c>
      <c r="AK190" s="1" t="s">
        <v>810</v>
      </c>
      <c r="AL190" s="1">
        <v>357</v>
      </c>
      <c r="AM190" s="1" t="s">
        <v>813</v>
      </c>
      <c r="AN190" s="1" t="s">
        <v>784</v>
      </c>
      <c r="AO190" s="1" t="s">
        <v>778</v>
      </c>
      <c r="AP190" s="1">
        <v>-13.1257</v>
      </c>
      <c r="AQ190" s="1">
        <v>440</v>
      </c>
      <c r="AR190" s="1" t="s">
        <v>778</v>
      </c>
      <c r="AS190" s="1">
        <v>8.0724999999999998</v>
      </c>
      <c r="AT190" s="1">
        <v>440</v>
      </c>
      <c r="AV190" s="1" t="str">
        <f t="shared" si="33"/>
        <v>B41Middle</v>
      </c>
      <c r="AW190" s="1">
        <f t="shared" si="34"/>
        <v>4.4000000000000004</v>
      </c>
      <c r="AX190" s="1">
        <f t="shared" si="35"/>
        <v>4.4000000000000004</v>
      </c>
    </row>
    <row r="191" spans="2:53" x14ac:dyDescent="0.25">
      <c r="B191" s="312"/>
      <c r="C191" s="312"/>
      <c r="D191" s="300"/>
      <c r="E191" s="300"/>
      <c r="F191" s="300"/>
      <c r="G191" s="300"/>
      <c r="H191" s="300"/>
      <c r="I191" s="300"/>
      <c r="J191" s="300"/>
      <c r="K191" s="300"/>
      <c r="L191" s="300"/>
      <c r="M191" s="300"/>
      <c r="N191" s="300"/>
      <c r="O191" s="300"/>
      <c r="P191" s="312"/>
      <c r="Q191" s="312"/>
      <c r="R191" s="312"/>
      <c r="S191" s="312"/>
      <c r="T191" s="259"/>
      <c r="U191" s="301"/>
      <c r="W191" s="79"/>
      <c r="X191" s="13"/>
      <c r="Y191" s="78"/>
      <c r="Z191" s="79"/>
      <c r="AA191" s="13"/>
      <c r="AJ191" s="1" t="s">
        <v>826</v>
      </c>
      <c r="AK191" s="1" t="s">
        <v>810</v>
      </c>
      <c r="AL191" s="1">
        <v>357</v>
      </c>
      <c r="AM191" s="1" t="s">
        <v>813</v>
      </c>
      <c r="AN191" s="1" t="s">
        <v>785</v>
      </c>
      <c r="AO191" s="1" t="s">
        <v>780</v>
      </c>
      <c r="AP191" s="1">
        <v>-0.79679999999999995</v>
      </c>
      <c r="AQ191" s="1">
        <v>440</v>
      </c>
      <c r="AR191" s="1" t="s">
        <v>778</v>
      </c>
      <c r="AS191" s="1">
        <v>11.4574</v>
      </c>
      <c r="AT191" s="1">
        <v>440</v>
      </c>
      <c r="AV191" s="1" t="str">
        <f t="shared" si="33"/>
        <v>B41End-J</v>
      </c>
      <c r="AW191" s="1">
        <f t="shared" si="34"/>
        <v>4.4000000000000004</v>
      </c>
      <c r="AX191" s="1">
        <f t="shared" si="35"/>
        <v>4.4000000000000004</v>
      </c>
    </row>
    <row r="192" spans="2:53" x14ac:dyDescent="0.25">
      <c r="B192" s="312"/>
      <c r="C192" s="312"/>
      <c r="D192" s="300"/>
      <c r="E192" s="300"/>
      <c r="F192" s="300"/>
      <c r="G192" s="300"/>
      <c r="H192" s="300"/>
      <c r="I192" s="300"/>
      <c r="J192" s="300"/>
      <c r="K192" s="300"/>
      <c r="L192" s="300"/>
      <c r="M192" s="300"/>
      <c r="N192" s="300"/>
      <c r="O192" s="300"/>
      <c r="P192" s="312"/>
      <c r="Q192" s="312"/>
      <c r="R192" s="312"/>
      <c r="S192" s="312"/>
      <c r="T192" s="259"/>
      <c r="U192" s="301"/>
      <c r="W192" s="79"/>
      <c r="X192" s="13"/>
      <c r="Y192" s="78"/>
      <c r="Z192" s="79"/>
      <c r="AA192" s="13"/>
      <c r="AJ192" s="1" t="s">
        <v>826</v>
      </c>
      <c r="AK192" s="1" t="s">
        <v>818</v>
      </c>
      <c r="AL192" s="1">
        <v>63</v>
      </c>
      <c r="AM192" s="1" t="s">
        <v>813</v>
      </c>
      <c r="AN192" s="1" t="s">
        <v>783</v>
      </c>
      <c r="AO192" s="1" t="s">
        <v>778</v>
      </c>
      <c r="AP192" s="1">
        <v>-77.561499999999995</v>
      </c>
      <c r="AQ192" s="1">
        <v>504</v>
      </c>
      <c r="AR192" s="1" t="s">
        <v>780</v>
      </c>
      <c r="AS192" s="1">
        <v>68.468800000000002</v>
      </c>
      <c r="AT192" s="1">
        <v>445</v>
      </c>
      <c r="AV192" s="1" t="str">
        <f t="shared" si="33"/>
        <v>B46End-I</v>
      </c>
      <c r="AW192" s="1">
        <f t="shared" si="34"/>
        <v>5.04</v>
      </c>
      <c r="AX192" s="1">
        <f t="shared" si="35"/>
        <v>4.45</v>
      </c>
    </row>
    <row r="193" spans="2:50" x14ac:dyDescent="0.25">
      <c r="B193" s="312"/>
      <c r="C193" s="312"/>
      <c r="D193" s="300"/>
      <c r="E193" s="300"/>
      <c r="F193" s="300"/>
      <c r="G193" s="300"/>
      <c r="H193" s="300"/>
      <c r="I193" s="300"/>
      <c r="J193" s="300"/>
      <c r="K193" s="300"/>
      <c r="L193" s="300"/>
      <c r="M193" s="300"/>
      <c r="N193" s="300"/>
      <c r="O193" s="300"/>
      <c r="P193" s="312"/>
      <c r="Q193" s="312"/>
      <c r="R193" s="312"/>
      <c r="S193" s="312"/>
      <c r="T193" s="259"/>
      <c r="U193" s="301"/>
      <c r="W193" s="79"/>
      <c r="X193" s="13"/>
      <c r="Y193" s="78"/>
      <c r="Z193" s="79"/>
      <c r="AA193" s="13"/>
      <c r="AJ193" s="1" t="s">
        <v>826</v>
      </c>
      <c r="AK193" s="1" t="s">
        <v>818</v>
      </c>
      <c r="AL193" s="1">
        <v>63</v>
      </c>
      <c r="AM193" s="1" t="s">
        <v>813</v>
      </c>
      <c r="AN193" s="1" t="s">
        <v>784</v>
      </c>
      <c r="AO193" s="1" t="s">
        <v>780</v>
      </c>
      <c r="AP193" s="1">
        <v>-35.576700000000002</v>
      </c>
      <c r="AQ193" s="1">
        <v>440</v>
      </c>
      <c r="AR193" s="1" t="s">
        <v>778</v>
      </c>
      <c r="AS193" s="1">
        <v>40.320500000000003</v>
      </c>
      <c r="AT193" s="1">
        <v>440</v>
      </c>
      <c r="AV193" s="1" t="str">
        <f t="shared" si="33"/>
        <v>B46Middle</v>
      </c>
      <c r="AW193" s="1">
        <f t="shared" si="34"/>
        <v>4.4000000000000004</v>
      </c>
      <c r="AX193" s="1">
        <f t="shared" si="35"/>
        <v>4.4000000000000004</v>
      </c>
    </row>
    <row r="194" spans="2:50" x14ac:dyDescent="0.25">
      <c r="B194" s="312"/>
      <c r="C194" s="312"/>
      <c r="D194" s="300"/>
      <c r="E194" s="300"/>
      <c r="F194" s="300"/>
      <c r="G194" s="300"/>
      <c r="H194" s="300"/>
      <c r="I194" s="300"/>
      <c r="J194" s="300"/>
      <c r="K194" s="300"/>
      <c r="L194" s="300"/>
      <c r="M194" s="300"/>
      <c r="N194" s="300"/>
      <c r="O194" s="300"/>
      <c r="P194" s="312"/>
      <c r="Q194" s="312"/>
      <c r="R194" s="312"/>
      <c r="S194" s="312"/>
      <c r="T194" s="259"/>
      <c r="U194" s="301"/>
      <c r="W194" s="79"/>
      <c r="X194" s="13"/>
      <c r="Y194" s="78"/>
      <c r="Z194" s="79"/>
      <c r="AA194" s="13"/>
      <c r="AJ194" s="1" t="s">
        <v>826</v>
      </c>
      <c r="AK194" s="1" t="s">
        <v>818</v>
      </c>
      <c r="AL194" s="1">
        <v>63</v>
      </c>
      <c r="AM194" s="1" t="s">
        <v>813</v>
      </c>
      <c r="AN194" s="1" t="s">
        <v>785</v>
      </c>
      <c r="AO194" s="1" t="s">
        <v>780</v>
      </c>
      <c r="AP194" s="1">
        <v>-75.109700000000004</v>
      </c>
      <c r="AQ194" s="1">
        <v>488</v>
      </c>
      <c r="AR194" s="1" t="s">
        <v>778</v>
      </c>
      <c r="AS194" s="1">
        <v>73.146799999999999</v>
      </c>
      <c r="AT194" s="1">
        <v>475</v>
      </c>
      <c r="AV194" s="1" t="str">
        <f t="shared" si="33"/>
        <v>B46End-J</v>
      </c>
      <c r="AW194" s="1">
        <f t="shared" si="34"/>
        <v>4.88</v>
      </c>
      <c r="AX194" s="1">
        <f t="shared" si="35"/>
        <v>4.75</v>
      </c>
    </row>
    <row r="195" spans="2:50" x14ac:dyDescent="0.25">
      <c r="B195" s="312"/>
      <c r="C195" s="312"/>
      <c r="D195" s="300"/>
      <c r="E195" s="300"/>
      <c r="F195" s="300"/>
      <c r="G195" s="300"/>
      <c r="H195" s="300"/>
      <c r="I195" s="300"/>
      <c r="J195" s="300"/>
      <c r="K195" s="300"/>
      <c r="L195" s="300"/>
      <c r="M195" s="300"/>
      <c r="N195" s="300"/>
      <c r="O195" s="300"/>
      <c r="P195" s="312"/>
      <c r="Q195" s="312"/>
      <c r="R195" s="312"/>
      <c r="S195" s="312"/>
      <c r="T195" s="259"/>
      <c r="U195" s="301"/>
      <c r="W195" s="79"/>
      <c r="X195" s="13"/>
      <c r="Y195" s="78"/>
      <c r="Z195" s="79"/>
      <c r="AA195" s="13"/>
      <c r="AJ195" s="1" t="s">
        <v>826</v>
      </c>
      <c r="AK195" s="1" t="s">
        <v>819</v>
      </c>
      <c r="AL195" s="1">
        <v>381</v>
      </c>
      <c r="AM195" s="1" t="s">
        <v>813</v>
      </c>
      <c r="AN195" s="1" t="s">
        <v>783</v>
      </c>
      <c r="AO195" s="1" t="s">
        <v>776</v>
      </c>
      <c r="AP195" s="1">
        <v>-6.7758000000000003</v>
      </c>
      <c r="AQ195" s="1">
        <v>440</v>
      </c>
      <c r="AR195" s="1" t="s">
        <v>812</v>
      </c>
      <c r="AS195" s="1">
        <v>31.348500000000001</v>
      </c>
      <c r="AT195" s="1">
        <v>440</v>
      </c>
      <c r="AV195" s="1" t="str">
        <f t="shared" si="33"/>
        <v>B47End-I</v>
      </c>
      <c r="AW195" s="1">
        <f t="shared" si="34"/>
        <v>4.4000000000000004</v>
      </c>
      <c r="AX195" s="1">
        <f t="shared" si="35"/>
        <v>4.4000000000000004</v>
      </c>
    </row>
    <row r="196" spans="2:50" x14ac:dyDescent="0.25">
      <c r="B196" s="312"/>
      <c r="C196" s="312"/>
      <c r="D196" s="300"/>
      <c r="E196" s="300"/>
      <c r="F196" s="300"/>
      <c r="G196" s="300"/>
      <c r="H196" s="300"/>
      <c r="I196" s="300"/>
      <c r="J196" s="300"/>
      <c r="K196" s="300"/>
      <c r="L196" s="300"/>
      <c r="M196" s="300"/>
      <c r="N196" s="300"/>
      <c r="O196" s="300"/>
      <c r="P196" s="312"/>
      <c r="Q196" s="312"/>
      <c r="R196" s="312"/>
      <c r="S196" s="312"/>
      <c r="T196" s="259"/>
      <c r="U196" s="301"/>
      <c r="W196" s="79"/>
      <c r="X196" s="13"/>
      <c r="Y196" s="78"/>
      <c r="Z196" s="79"/>
      <c r="AA196" s="13"/>
      <c r="AJ196" s="1" t="s">
        <v>826</v>
      </c>
      <c r="AK196" s="1" t="s">
        <v>819</v>
      </c>
      <c r="AL196" s="1">
        <v>381</v>
      </c>
      <c r="AM196" s="1" t="s">
        <v>813</v>
      </c>
      <c r="AN196" s="1" t="s">
        <v>784</v>
      </c>
      <c r="AO196" s="1" t="s">
        <v>776</v>
      </c>
      <c r="AP196" s="1">
        <v>-6.7758000000000003</v>
      </c>
      <c r="AQ196" s="1">
        <v>440</v>
      </c>
      <c r="AR196" s="1" t="s">
        <v>776</v>
      </c>
      <c r="AS196" s="1">
        <v>36.537799999999997</v>
      </c>
      <c r="AT196" s="1">
        <v>440</v>
      </c>
      <c r="AV196" s="1" t="str">
        <f t="shared" si="33"/>
        <v>B47Middle</v>
      </c>
      <c r="AW196" s="1">
        <f t="shared" si="34"/>
        <v>4.4000000000000004</v>
      </c>
      <c r="AX196" s="1">
        <f t="shared" si="35"/>
        <v>4.4000000000000004</v>
      </c>
    </row>
    <row r="197" spans="2:50" x14ac:dyDescent="0.25">
      <c r="B197" s="312"/>
      <c r="C197" s="312"/>
      <c r="D197" s="300"/>
      <c r="E197" s="300"/>
      <c r="F197" s="300"/>
      <c r="G197" s="300"/>
      <c r="H197" s="300"/>
      <c r="I197" s="300"/>
      <c r="J197" s="300"/>
      <c r="K197" s="300"/>
      <c r="L197" s="300"/>
      <c r="M197" s="300"/>
      <c r="N197" s="300"/>
      <c r="O197" s="300"/>
      <c r="P197" s="312"/>
      <c r="Q197" s="312"/>
      <c r="R197" s="312"/>
      <c r="S197" s="312"/>
      <c r="T197" s="259"/>
      <c r="U197" s="301"/>
      <c r="W197" s="79"/>
      <c r="X197" s="13"/>
      <c r="Y197" s="78"/>
      <c r="Z197" s="79"/>
      <c r="AA197" s="13"/>
      <c r="AJ197" s="1" t="s">
        <v>826</v>
      </c>
      <c r="AK197" s="1" t="s">
        <v>819</v>
      </c>
      <c r="AL197" s="1">
        <v>381</v>
      </c>
      <c r="AM197" s="1" t="s">
        <v>813</v>
      </c>
      <c r="AN197" s="1" t="s">
        <v>785</v>
      </c>
      <c r="AO197" s="1" t="s">
        <v>776</v>
      </c>
      <c r="AP197" s="1">
        <v>-6.7758000000000003</v>
      </c>
      <c r="AQ197" s="1">
        <v>440</v>
      </c>
      <c r="AR197" s="1" t="s">
        <v>776</v>
      </c>
      <c r="AS197" s="1">
        <v>31.2697</v>
      </c>
      <c r="AT197" s="1">
        <v>440</v>
      </c>
      <c r="AV197" s="1" t="str">
        <f t="shared" si="33"/>
        <v>B47End-J</v>
      </c>
      <c r="AW197" s="1">
        <f t="shared" si="34"/>
        <v>4.4000000000000004</v>
      </c>
      <c r="AX197" s="1">
        <f t="shared" si="35"/>
        <v>4.4000000000000004</v>
      </c>
    </row>
    <row r="198" spans="2:50" x14ac:dyDescent="0.25">
      <c r="B198" s="312"/>
      <c r="C198" s="312"/>
      <c r="D198" s="300"/>
      <c r="E198" s="300"/>
      <c r="F198" s="300"/>
      <c r="G198" s="300"/>
      <c r="H198" s="300"/>
      <c r="I198" s="300"/>
      <c r="J198" s="300"/>
      <c r="K198" s="300"/>
      <c r="L198" s="300"/>
      <c r="M198" s="300"/>
      <c r="N198" s="300"/>
      <c r="O198" s="300"/>
      <c r="P198" s="312"/>
      <c r="Q198" s="312"/>
      <c r="R198" s="312"/>
      <c r="S198" s="312"/>
      <c r="T198" s="259"/>
      <c r="U198" s="301"/>
      <c r="W198" s="79"/>
      <c r="X198" s="13"/>
      <c r="Y198" s="78"/>
      <c r="Z198" s="79"/>
      <c r="AA198" s="13"/>
      <c r="AJ198" s="1" t="s">
        <v>826</v>
      </c>
      <c r="AK198" s="1" t="s">
        <v>820</v>
      </c>
      <c r="AL198" s="1">
        <v>153</v>
      </c>
      <c r="AM198" s="1" t="s">
        <v>813</v>
      </c>
      <c r="AN198" s="1" t="s">
        <v>783</v>
      </c>
      <c r="AO198" s="1" t="s">
        <v>780</v>
      </c>
      <c r="AP198" s="1">
        <v>-13.6243</v>
      </c>
      <c r="AQ198" s="1">
        <v>440</v>
      </c>
      <c r="AR198" s="1" t="s">
        <v>778</v>
      </c>
      <c r="AS198" s="1">
        <v>25.9693</v>
      </c>
      <c r="AT198" s="1">
        <v>440</v>
      </c>
      <c r="AV198" s="1" t="str">
        <f t="shared" si="33"/>
        <v>B48End-I</v>
      </c>
      <c r="AW198" s="1">
        <f t="shared" si="34"/>
        <v>4.4000000000000004</v>
      </c>
      <c r="AX198" s="1">
        <f t="shared" si="35"/>
        <v>4.4000000000000004</v>
      </c>
    </row>
    <row r="199" spans="2:50" x14ac:dyDescent="0.25">
      <c r="B199" s="312"/>
      <c r="C199" s="312"/>
      <c r="D199" s="300"/>
      <c r="E199" s="300"/>
      <c r="F199" s="300"/>
      <c r="G199" s="300"/>
      <c r="H199" s="300"/>
      <c r="I199" s="300"/>
      <c r="J199" s="300"/>
      <c r="K199" s="300"/>
      <c r="L199" s="300"/>
      <c r="M199" s="300"/>
      <c r="N199" s="300"/>
      <c r="O199" s="300"/>
      <c r="P199" s="312"/>
      <c r="Q199" s="312"/>
      <c r="R199" s="312"/>
      <c r="S199" s="312"/>
      <c r="T199" s="259"/>
      <c r="U199" s="301"/>
      <c r="W199" s="79"/>
      <c r="X199" s="13"/>
      <c r="Y199" s="78"/>
      <c r="Z199" s="79"/>
      <c r="AA199" s="13"/>
      <c r="AJ199" s="1" t="s">
        <v>826</v>
      </c>
      <c r="AK199" s="1" t="s">
        <v>820</v>
      </c>
      <c r="AL199" s="1">
        <v>153</v>
      </c>
      <c r="AM199" s="1" t="s">
        <v>813</v>
      </c>
      <c r="AN199" s="1" t="s">
        <v>784</v>
      </c>
      <c r="AO199" s="1" t="s">
        <v>778</v>
      </c>
      <c r="AP199" s="1">
        <v>-10.433400000000001</v>
      </c>
      <c r="AQ199" s="1">
        <v>440</v>
      </c>
      <c r="AR199" s="1" t="s">
        <v>778</v>
      </c>
      <c r="AS199" s="1">
        <v>17.2758</v>
      </c>
      <c r="AT199" s="1">
        <v>440</v>
      </c>
      <c r="AV199" s="1" t="str">
        <f t="shared" ref="AV199:AV221" si="36">AK199&amp;AN199</f>
        <v>B48Middle</v>
      </c>
      <c r="AW199" s="1">
        <f t="shared" ref="AW199:AW221" si="37">AQ199/10^2</f>
        <v>4.4000000000000004</v>
      </c>
      <c r="AX199" s="1">
        <f t="shared" ref="AX199:AX221" si="38">AT199/10^2</f>
        <v>4.4000000000000004</v>
      </c>
    </row>
    <row r="200" spans="2:50" x14ac:dyDescent="0.25">
      <c r="B200" s="312"/>
      <c r="C200" s="312"/>
      <c r="D200" s="300"/>
      <c r="E200" s="300"/>
      <c r="F200" s="300"/>
      <c r="G200" s="300"/>
      <c r="H200" s="300"/>
      <c r="I200" s="300"/>
      <c r="J200" s="300"/>
      <c r="K200" s="300"/>
      <c r="L200" s="300"/>
      <c r="M200" s="300"/>
      <c r="N200" s="300"/>
      <c r="O200" s="300"/>
      <c r="P200" s="312"/>
      <c r="Q200" s="312"/>
      <c r="R200" s="312"/>
      <c r="S200" s="312"/>
      <c r="T200" s="259"/>
      <c r="U200" s="301"/>
      <c r="W200" s="79"/>
      <c r="X200" s="13"/>
      <c r="Y200" s="78"/>
      <c r="Z200" s="79"/>
      <c r="AA200" s="13"/>
      <c r="AJ200" s="1" t="s">
        <v>826</v>
      </c>
      <c r="AK200" s="1" t="s">
        <v>820</v>
      </c>
      <c r="AL200" s="1">
        <v>153</v>
      </c>
      <c r="AM200" s="1" t="s">
        <v>813</v>
      </c>
      <c r="AN200" s="1" t="s">
        <v>785</v>
      </c>
      <c r="AO200" s="1" t="s">
        <v>778</v>
      </c>
      <c r="AP200" s="1">
        <v>-34.4039</v>
      </c>
      <c r="AQ200" s="1">
        <v>440</v>
      </c>
      <c r="AR200" s="1" t="s">
        <v>778</v>
      </c>
      <c r="AS200" s="1">
        <v>17.201899999999998</v>
      </c>
      <c r="AT200" s="1">
        <v>440</v>
      </c>
      <c r="AV200" s="1" t="str">
        <f t="shared" si="36"/>
        <v>B48End-J</v>
      </c>
      <c r="AW200" s="1">
        <f t="shared" si="37"/>
        <v>4.4000000000000004</v>
      </c>
      <c r="AX200" s="1">
        <f t="shared" si="38"/>
        <v>4.4000000000000004</v>
      </c>
    </row>
    <row r="201" spans="2:50" x14ac:dyDescent="0.25">
      <c r="B201" s="312"/>
      <c r="C201" s="312"/>
      <c r="D201" s="300"/>
      <c r="E201" s="300"/>
      <c r="F201" s="300"/>
      <c r="G201" s="300"/>
      <c r="H201" s="300"/>
      <c r="I201" s="300"/>
      <c r="J201" s="300"/>
      <c r="K201" s="300"/>
      <c r="L201" s="300"/>
      <c r="M201" s="300"/>
      <c r="N201" s="300"/>
      <c r="O201" s="300"/>
      <c r="P201" s="312"/>
      <c r="Q201" s="312"/>
      <c r="R201" s="312"/>
      <c r="S201" s="312"/>
      <c r="T201" s="259"/>
      <c r="U201" s="301"/>
      <c r="W201" s="79"/>
      <c r="X201" s="13"/>
      <c r="Y201" s="78"/>
      <c r="Z201" s="79"/>
      <c r="AA201" s="13"/>
      <c r="AJ201" s="1" t="s">
        <v>826</v>
      </c>
      <c r="AK201" s="1" t="s">
        <v>821</v>
      </c>
      <c r="AL201" s="1">
        <v>401</v>
      </c>
      <c r="AM201" s="1" t="s">
        <v>813</v>
      </c>
      <c r="AN201" s="1" t="s">
        <v>783</v>
      </c>
      <c r="AO201" s="1" t="s">
        <v>777</v>
      </c>
      <c r="AP201" s="1">
        <v>-0.81389999999999996</v>
      </c>
      <c r="AQ201" s="1">
        <v>440</v>
      </c>
      <c r="AR201" s="1" t="s">
        <v>776</v>
      </c>
      <c r="AS201" s="1">
        <v>22.988299999999999</v>
      </c>
      <c r="AT201" s="1">
        <v>440</v>
      </c>
      <c r="AV201" s="1" t="str">
        <f t="shared" si="36"/>
        <v>B49End-I</v>
      </c>
      <c r="AW201" s="1">
        <f t="shared" si="37"/>
        <v>4.4000000000000004</v>
      </c>
      <c r="AX201" s="1">
        <f t="shared" si="38"/>
        <v>4.4000000000000004</v>
      </c>
    </row>
    <row r="202" spans="2:50" x14ac:dyDescent="0.25">
      <c r="B202" s="312"/>
      <c r="C202" s="312"/>
      <c r="D202" s="300"/>
      <c r="E202" s="300"/>
      <c r="F202" s="300"/>
      <c r="G202" s="300"/>
      <c r="H202" s="300"/>
      <c r="I202" s="300"/>
      <c r="J202" s="300"/>
      <c r="K202" s="300"/>
      <c r="L202" s="300"/>
      <c r="M202" s="300"/>
      <c r="N202" s="300"/>
      <c r="O202" s="300"/>
      <c r="P202" s="312"/>
      <c r="Q202" s="312"/>
      <c r="R202" s="312"/>
      <c r="S202" s="312"/>
      <c r="T202" s="259"/>
      <c r="U202" s="301"/>
      <c r="W202" s="79"/>
      <c r="X202" s="13"/>
      <c r="Y202" s="78"/>
      <c r="Z202" s="79"/>
      <c r="AA202" s="13"/>
      <c r="AJ202" s="1" t="s">
        <v>826</v>
      </c>
      <c r="AK202" s="1" t="s">
        <v>821</v>
      </c>
      <c r="AL202" s="1">
        <v>401</v>
      </c>
      <c r="AM202" s="1" t="s">
        <v>813</v>
      </c>
      <c r="AN202" s="1" t="s">
        <v>784</v>
      </c>
      <c r="AO202" s="1" t="s">
        <v>776</v>
      </c>
      <c r="AP202" s="1">
        <v>-34.302700000000002</v>
      </c>
      <c r="AQ202" s="1">
        <v>440</v>
      </c>
      <c r="AR202" s="1" t="s">
        <v>776</v>
      </c>
      <c r="AS202" s="1">
        <v>14.6379</v>
      </c>
      <c r="AT202" s="1">
        <v>440</v>
      </c>
      <c r="AV202" s="1" t="str">
        <f t="shared" si="36"/>
        <v>B49Middle</v>
      </c>
      <c r="AW202" s="1">
        <f t="shared" si="37"/>
        <v>4.4000000000000004</v>
      </c>
      <c r="AX202" s="1">
        <f t="shared" si="38"/>
        <v>4.4000000000000004</v>
      </c>
    </row>
    <row r="203" spans="2:50" x14ac:dyDescent="0.25">
      <c r="B203" s="312"/>
      <c r="C203" s="312"/>
      <c r="D203" s="300"/>
      <c r="E203" s="300"/>
      <c r="F203" s="300"/>
      <c r="G203" s="300"/>
      <c r="H203" s="300"/>
      <c r="I203" s="300"/>
      <c r="J203" s="300"/>
      <c r="K203" s="300"/>
      <c r="L203" s="300"/>
      <c r="M203" s="300"/>
      <c r="N203" s="300"/>
      <c r="O203" s="300"/>
      <c r="P203" s="312"/>
      <c r="Q203" s="312"/>
      <c r="R203" s="312"/>
      <c r="S203" s="312"/>
      <c r="T203" s="259"/>
      <c r="U203" s="301"/>
      <c r="W203" s="79"/>
      <c r="X203" s="13"/>
      <c r="Y203" s="78"/>
      <c r="Z203" s="79"/>
      <c r="AA203" s="13"/>
      <c r="AJ203" s="1" t="s">
        <v>826</v>
      </c>
      <c r="AK203" s="1" t="s">
        <v>821</v>
      </c>
      <c r="AL203" s="1">
        <v>401</v>
      </c>
      <c r="AM203" s="1" t="s">
        <v>813</v>
      </c>
      <c r="AN203" s="1" t="s">
        <v>785</v>
      </c>
      <c r="AO203" s="1" t="s">
        <v>776</v>
      </c>
      <c r="AP203" s="1">
        <v>-53.935200000000002</v>
      </c>
      <c r="AQ203" s="1">
        <v>440</v>
      </c>
      <c r="AR203" s="1" t="s">
        <v>776</v>
      </c>
      <c r="AS203" s="1">
        <v>26.967600000000001</v>
      </c>
      <c r="AT203" s="1">
        <v>440</v>
      </c>
      <c r="AV203" s="1" t="str">
        <f t="shared" si="36"/>
        <v>B49End-J</v>
      </c>
      <c r="AW203" s="1">
        <f t="shared" si="37"/>
        <v>4.4000000000000004</v>
      </c>
      <c r="AX203" s="1">
        <f t="shared" si="38"/>
        <v>4.4000000000000004</v>
      </c>
    </row>
    <row r="204" spans="2:50" x14ac:dyDescent="0.25">
      <c r="B204" s="312"/>
      <c r="C204" s="312"/>
      <c r="D204" s="300"/>
      <c r="E204" s="300"/>
      <c r="F204" s="300"/>
      <c r="G204" s="300"/>
      <c r="H204" s="300"/>
      <c r="I204" s="300"/>
      <c r="J204" s="300"/>
      <c r="K204" s="300"/>
      <c r="L204" s="300"/>
      <c r="M204" s="300"/>
      <c r="N204" s="300"/>
      <c r="O204" s="300"/>
      <c r="P204" s="312"/>
      <c r="Q204" s="312"/>
      <c r="R204" s="312"/>
      <c r="S204" s="312"/>
      <c r="T204" s="259"/>
      <c r="U204" s="301"/>
      <c r="W204" s="79"/>
      <c r="X204" s="13"/>
      <c r="Y204" s="78"/>
      <c r="Z204" s="79"/>
      <c r="AA204" s="13"/>
      <c r="AJ204" s="1" t="s">
        <v>826</v>
      </c>
      <c r="AK204" s="1" t="s">
        <v>822</v>
      </c>
      <c r="AL204" s="1">
        <v>69</v>
      </c>
      <c r="AM204" s="1" t="s">
        <v>813</v>
      </c>
      <c r="AN204" s="1" t="s">
        <v>783</v>
      </c>
      <c r="AO204" s="1" t="s">
        <v>778</v>
      </c>
      <c r="AP204" s="1">
        <v>-86.701099999999997</v>
      </c>
      <c r="AQ204" s="1">
        <v>557</v>
      </c>
      <c r="AR204" s="1" t="s">
        <v>780</v>
      </c>
      <c r="AS204" s="1">
        <v>63.313899999999997</v>
      </c>
      <c r="AT204" s="1">
        <v>440</v>
      </c>
      <c r="AV204" s="1" t="str">
        <f t="shared" si="36"/>
        <v>B50End-I</v>
      </c>
      <c r="AW204" s="1">
        <f t="shared" si="37"/>
        <v>5.57</v>
      </c>
      <c r="AX204" s="1">
        <f t="shared" si="38"/>
        <v>4.4000000000000004</v>
      </c>
    </row>
    <row r="205" spans="2:50" x14ac:dyDescent="0.25">
      <c r="B205" s="312"/>
      <c r="C205" s="312"/>
      <c r="D205" s="300"/>
      <c r="E205" s="300"/>
      <c r="F205" s="300"/>
      <c r="G205" s="300"/>
      <c r="H205" s="300"/>
      <c r="I205" s="300"/>
      <c r="J205" s="300"/>
      <c r="K205" s="300"/>
      <c r="L205" s="300"/>
      <c r="M205" s="300"/>
      <c r="N205" s="300"/>
      <c r="O205" s="300"/>
      <c r="P205" s="312"/>
      <c r="Q205" s="312"/>
      <c r="R205" s="312"/>
      <c r="S205" s="312"/>
      <c r="T205" s="259"/>
      <c r="U205" s="301"/>
      <c r="W205" s="79"/>
      <c r="X205" s="13"/>
      <c r="Y205" s="78"/>
      <c r="Z205" s="79"/>
      <c r="AA205" s="13"/>
      <c r="AJ205" s="1" t="s">
        <v>826</v>
      </c>
      <c r="AK205" s="1" t="s">
        <v>822</v>
      </c>
      <c r="AL205" s="1">
        <v>69</v>
      </c>
      <c r="AM205" s="1" t="s">
        <v>813</v>
      </c>
      <c r="AN205" s="1" t="s">
        <v>784</v>
      </c>
      <c r="AO205" s="1" t="s">
        <v>780</v>
      </c>
      <c r="AP205" s="1">
        <v>-33.594299999999997</v>
      </c>
      <c r="AQ205" s="1">
        <v>440</v>
      </c>
      <c r="AR205" s="1" t="s">
        <v>778</v>
      </c>
      <c r="AS205" s="1">
        <v>40.9191</v>
      </c>
      <c r="AT205" s="1">
        <v>440</v>
      </c>
      <c r="AV205" s="1" t="str">
        <f t="shared" si="36"/>
        <v>B50Middle</v>
      </c>
      <c r="AW205" s="1">
        <f t="shared" si="37"/>
        <v>4.4000000000000004</v>
      </c>
      <c r="AX205" s="1">
        <f t="shared" si="38"/>
        <v>4.4000000000000004</v>
      </c>
    </row>
    <row r="206" spans="2:50" x14ac:dyDescent="0.25">
      <c r="B206" s="312"/>
      <c r="C206" s="312"/>
      <c r="D206" s="300"/>
      <c r="E206" s="300"/>
      <c r="F206" s="300"/>
      <c r="G206" s="300"/>
      <c r="H206" s="300"/>
      <c r="I206" s="300"/>
      <c r="J206" s="300"/>
      <c r="K206" s="300"/>
      <c r="L206" s="300"/>
      <c r="M206" s="300"/>
      <c r="N206" s="300"/>
      <c r="O206" s="300"/>
      <c r="P206" s="312"/>
      <c r="Q206" s="312"/>
      <c r="R206" s="312"/>
      <c r="S206" s="312"/>
      <c r="T206" s="259"/>
      <c r="U206" s="301"/>
      <c r="W206" s="79"/>
      <c r="X206" s="13"/>
      <c r="Y206" s="78"/>
      <c r="Z206" s="79"/>
      <c r="AA206" s="13"/>
      <c r="AJ206" s="1" t="s">
        <v>826</v>
      </c>
      <c r="AK206" s="1" t="s">
        <v>822</v>
      </c>
      <c r="AL206" s="1">
        <v>69</v>
      </c>
      <c r="AM206" s="1" t="s">
        <v>813</v>
      </c>
      <c r="AN206" s="1" t="s">
        <v>785</v>
      </c>
      <c r="AO206" s="1" t="s">
        <v>778</v>
      </c>
      <c r="AP206" s="1">
        <v>-83.679599999999994</v>
      </c>
      <c r="AQ206" s="1">
        <v>538</v>
      </c>
      <c r="AR206" s="1" t="s">
        <v>780</v>
      </c>
      <c r="AS206" s="1">
        <v>69.040000000000006</v>
      </c>
      <c r="AT206" s="1">
        <v>442</v>
      </c>
      <c r="AV206" s="1" t="str">
        <f t="shared" si="36"/>
        <v>B50End-J</v>
      </c>
      <c r="AW206" s="1">
        <f t="shared" si="37"/>
        <v>5.38</v>
      </c>
      <c r="AX206" s="1">
        <f t="shared" si="38"/>
        <v>4.42</v>
      </c>
    </row>
    <row r="207" spans="2:50" x14ac:dyDescent="0.25">
      <c r="B207" s="312"/>
      <c r="C207" s="312"/>
      <c r="D207" s="300"/>
      <c r="E207" s="300"/>
      <c r="F207" s="300"/>
      <c r="G207" s="300"/>
      <c r="H207" s="300"/>
      <c r="I207" s="300"/>
      <c r="J207" s="300"/>
      <c r="K207" s="300"/>
      <c r="L207" s="300"/>
      <c r="M207" s="300"/>
      <c r="N207" s="300"/>
      <c r="O207" s="300"/>
      <c r="P207" s="312"/>
      <c r="Q207" s="312"/>
      <c r="R207" s="312"/>
      <c r="S207" s="312"/>
      <c r="T207" s="259"/>
      <c r="U207" s="301"/>
      <c r="W207" s="79"/>
      <c r="X207" s="13"/>
      <c r="Y207" s="78"/>
      <c r="Z207" s="79"/>
      <c r="AA207" s="13"/>
      <c r="AJ207" s="1" t="s">
        <v>826</v>
      </c>
      <c r="AK207" s="1" t="s">
        <v>823</v>
      </c>
      <c r="AL207" s="1">
        <v>57</v>
      </c>
      <c r="AM207" s="1" t="s">
        <v>814</v>
      </c>
      <c r="AN207" s="1" t="s">
        <v>783</v>
      </c>
      <c r="AO207" s="1" t="s">
        <v>776</v>
      </c>
      <c r="AP207" s="1">
        <v>-59.823700000000002</v>
      </c>
      <c r="AQ207" s="1">
        <v>513</v>
      </c>
      <c r="AR207" s="1" t="s">
        <v>776</v>
      </c>
      <c r="AS207" s="1">
        <v>29.911899999999999</v>
      </c>
      <c r="AT207" s="1">
        <v>513</v>
      </c>
      <c r="AV207" s="1" t="str">
        <f t="shared" si="36"/>
        <v>B53End-I</v>
      </c>
      <c r="AW207" s="1">
        <f t="shared" si="37"/>
        <v>5.13</v>
      </c>
      <c r="AX207" s="1">
        <f t="shared" si="38"/>
        <v>5.13</v>
      </c>
    </row>
    <row r="208" spans="2:50" x14ac:dyDescent="0.25">
      <c r="B208" s="312"/>
      <c r="C208" s="312"/>
      <c r="D208" s="300"/>
      <c r="E208" s="300"/>
      <c r="F208" s="300"/>
      <c r="G208" s="300"/>
      <c r="H208" s="300"/>
      <c r="I208" s="300"/>
      <c r="J208" s="300"/>
      <c r="K208" s="300"/>
      <c r="L208" s="300"/>
      <c r="M208" s="300"/>
      <c r="N208" s="300"/>
      <c r="O208" s="300"/>
      <c r="P208" s="312"/>
      <c r="Q208" s="312"/>
      <c r="R208" s="312"/>
      <c r="S208" s="312"/>
      <c r="T208" s="259"/>
      <c r="U208" s="301"/>
      <c r="W208" s="79"/>
      <c r="X208" s="13"/>
      <c r="Y208" s="78"/>
      <c r="Z208" s="79"/>
      <c r="AA208" s="13"/>
      <c r="AJ208" s="1" t="s">
        <v>826</v>
      </c>
      <c r="AK208" s="1" t="s">
        <v>823</v>
      </c>
      <c r="AL208" s="1">
        <v>57</v>
      </c>
      <c r="AM208" s="1" t="s">
        <v>814</v>
      </c>
      <c r="AN208" s="1" t="s">
        <v>784</v>
      </c>
      <c r="AO208" s="1" t="s">
        <v>776</v>
      </c>
      <c r="AP208" s="1">
        <v>-16.493500000000001</v>
      </c>
      <c r="AQ208" s="1">
        <v>513</v>
      </c>
      <c r="AR208" s="1" t="s">
        <v>776</v>
      </c>
      <c r="AS208" s="1">
        <v>45.743299999999998</v>
      </c>
      <c r="AT208" s="1">
        <v>513</v>
      </c>
      <c r="AV208" s="1" t="str">
        <f t="shared" si="36"/>
        <v>B53Middle</v>
      </c>
      <c r="AW208" s="1">
        <f t="shared" si="37"/>
        <v>5.13</v>
      </c>
      <c r="AX208" s="1">
        <f t="shared" si="38"/>
        <v>5.13</v>
      </c>
    </row>
    <row r="209" spans="2:50" x14ac:dyDescent="0.25">
      <c r="B209" s="312"/>
      <c r="C209" s="312"/>
      <c r="D209" s="300"/>
      <c r="E209" s="300"/>
      <c r="F209" s="300"/>
      <c r="G209" s="300"/>
      <c r="H209" s="300"/>
      <c r="I209" s="300"/>
      <c r="J209" s="300"/>
      <c r="K209" s="300"/>
      <c r="L209" s="300"/>
      <c r="M209" s="300"/>
      <c r="N209" s="300"/>
      <c r="O209" s="300"/>
      <c r="P209" s="312"/>
      <c r="Q209" s="312"/>
      <c r="R209" s="312"/>
      <c r="S209" s="312"/>
      <c r="T209" s="259"/>
      <c r="U209" s="301"/>
      <c r="W209" s="79"/>
      <c r="X209" s="13"/>
      <c r="Y209" s="78"/>
      <c r="Z209" s="79"/>
      <c r="AA209" s="13"/>
      <c r="AJ209" s="1" t="s">
        <v>826</v>
      </c>
      <c r="AK209" s="1" t="s">
        <v>823</v>
      </c>
      <c r="AL209" s="1">
        <v>57</v>
      </c>
      <c r="AM209" s="1" t="s">
        <v>814</v>
      </c>
      <c r="AN209" s="1" t="s">
        <v>785</v>
      </c>
      <c r="AO209" s="1" t="s">
        <v>776</v>
      </c>
      <c r="AP209" s="1">
        <v>-65.974000000000004</v>
      </c>
      <c r="AQ209" s="1">
        <v>513</v>
      </c>
      <c r="AR209" s="1" t="s">
        <v>776</v>
      </c>
      <c r="AS209" s="1">
        <v>32.987000000000002</v>
      </c>
      <c r="AT209" s="1">
        <v>513</v>
      </c>
      <c r="AV209" s="1" t="str">
        <f t="shared" si="36"/>
        <v>B53End-J</v>
      </c>
      <c r="AW209" s="1">
        <f t="shared" si="37"/>
        <v>5.13</v>
      </c>
      <c r="AX209" s="1">
        <f t="shared" si="38"/>
        <v>5.13</v>
      </c>
    </row>
    <row r="210" spans="2:50" x14ac:dyDescent="0.25">
      <c r="B210" s="312"/>
      <c r="C210" s="312"/>
      <c r="D210" s="300"/>
      <c r="E210" s="300"/>
      <c r="F210" s="300"/>
      <c r="G210" s="300"/>
      <c r="H210" s="300"/>
      <c r="I210" s="300"/>
      <c r="J210" s="300"/>
      <c r="K210" s="300"/>
      <c r="L210" s="300"/>
      <c r="M210" s="300"/>
      <c r="N210" s="300"/>
      <c r="O210" s="300"/>
      <c r="P210" s="312"/>
      <c r="Q210" s="312"/>
      <c r="R210" s="312"/>
      <c r="S210" s="312"/>
      <c r="T210" s="259"/>
      <c r="U210" s="301"/>
      <c r="W210" s="79"/>
      <c r="X210" s="13"/>
      <c r="Y210" s="78"/>
      <c r="Z210" s="79"/>
      <c r="AA210" s="13"/>
      <c r="AJ210" s="1" t="s">
        <v>826</v>
      </c>
      <c r="AK210" s="1" t="s">
        <v>827</v>
      </c>
      <c r="AL210" s="1">
        <v>124</v>
      </c>
      <c r="AM210" s="1" t="s">
        <v>814</v>
      </c>
      <c r="AN210" s="1" t="s">
        <v>783</v>
      </c>
      <c r="AO210" s="1" t="s">
        <v>776</v>
      </c>
      <c r="AP210" s="1">
        <v>-0.25340000000000001</v>
      </c>
      <c r="AQ210" s="1">
        <v>5</v>
      </c>
      <c r="AR210" s="1" t="s">
        <v>777</v>
      </c>
      <c r="AS210" s="1">
        <v>0.16739999999999999</v>
      </c>
      <c r="AT210" s="1">
        <v>4</v>
      </c>
      <c r="AV210" s="1" t="str">
        <f t="shared" si="36"/>
        <v>B109End-I</v>
      </c>
      <c r="AW210" s="1">
        <f t="shared" si="37"/>
        <v>0.05</v>
      </c>
      <c r="AX210" s="1">
        <f t="shared" si="38"/>
        <v>0.04</v>
      </c>
    </row>
    <row r="211" spans="2:50" x14ac:dyDescent="0.25">
      <c r="B211" s="312"/>
      <c r="C211" s="312"/>
      <c r="D211" s="300"/>
      <c r="E211" s="300"/>
      <c r="F211" s="300"/>
      <c r="G211" s="300"/>
      <c r="H211" s="300"/>
      <c r="I211" s="300"/>
      <c r="J211" s="300"/>
      <c r="K211" s="300"/>
      <c r="L211" s="300"/>
      <c r="M211" s="300"/>
      <c r="N211" s="300"/>
      <c r="O211" s="300"/>
      <c r="P211" s="312"/>
      <c r="Q211" s="312"/>
      <c r="R211" s="312"/>
      <c r="S211" s="312"/>
      <c r="T211" s="259"/>
      <c r="U211" s="301"/>
      <c r="W211" s="79"/>
      <c r="X211" s="13"/>
      <c r="Y211" s="78"/>
      <c r="Z211" s="79"/>
      <c r="AA211" s="13"/>
      <c r="AJ211" s="1" t="s">
        <v>826</v>
      </c>
      <c r="AK211" s="1" t="s">
        <v>827</v>
      </c>
      <c r="AL211" s="1">
        <v>124</v>
      </c>
      <c r="AM211" s="1" t="s">
        <v>814</v>
      </c>
      <c r="AN211" s="1" t="s">
        <v>784</v>
      </c>
      <c r="AV211" s="1" t="str">
        <f t="shared" si="36"/>
        <v>B109Middle</v>
      </c>
      <c r="AW211" s="1">
        <f t="shared" si="37"/>
        <v>0</v>
      </c>
      <c r="AX211" s="1">
        <f t="shared" si="38"/>
        <v>0</v>
      </c>
    </row>
    <row r="212" spans="2:50" x14ac:dyDescent="0.25">
      <c r="B212" s="312"/>
      <c r="C212" s="312"/>
      <c r="D212" s="300"/>
      <c r="E212" s="300"/>
      <c r="F212" s="300"/>
      <c r="G212" s="300"/>
      <c r="H212" s="300"/>
      <c r="I212" s="300"/>
      <c r="J212" s="300"/>
      <c r="K212" s="300"/>
      <c r="L212" s="300"/>
      <c r="M212" s="300"/>
      <c r="N212" s="300"/>
      <c r="O212" s="300"/>
      <c r="P212" s="312"/>
      <c r="Q212" s="312"/>
      <c r="R212" s="312"/>
      <c r="S212" s="312"/>
      <c r="T212" s="259"/>
      <c r="U212" s="301"/>
      <c r="W212" s="79"/>
      <c r="X212" s="13"/>
      <c r="Y212" s="78"/>
      <c r="Z212" s="79"/>
      <c r="AA212" s="13"/>
      <c r="AJ212" s="1" t="s">
        <v>826</v>
      </c>
      <c r="AK212" s="1" t="s">
        <v>827</v>
      </c>
      <c r="AL212" s="1">
        <v>124</v>
      </c>
      <c r="AM212" s="1" t="s">
        <v>814</v>
      </c>
      <c r="AN212" s="1" t="s">
        <v>785</v>
      </c>
      <c r="AO212" s="1" t="s">
        <v>776</v>
      </c>
      <c r="AP212" s="1">
        <v>-0.2429</v>
      </c>
      <c r="AQ212" s="1">
        <v>5</v>
      </c>
      <c r="AR212" s="1" t="s">
        <v>777</v>
      </c>
      <c r="AS212" s="1">
        <v>0.17419999999999999</v>
      </c>
      <c r="AT212" s="1">
        <v>4</v>
      </c>
      <c r="AV212" s="1" t="str">
        <f t="shared" si="36"/>
        <v>B109End-J</v>
      </c>
      <c r="AW212" s="1">
        <f t="shared" si="37"/>
        <v>0.05</v>
      </c>
      <c r="AX212" s="1">
        <f t="shared" si="38"/>
        <v>0.04</v>
      </c>
    </row>
    <row r="213" spans="2:50" x14ac:dyDescent="0.25">
      <c r="B213" s="312"/>
      <c r="C213" s="312"/>
      <c r="D213" s="300"/>
      <c r="E213" s="300"/>
      <c r="F213" s="300"/>
      <c r="G213" s="300"/>
      <c r="H213" s="300"/>
      <c r="I213" s="300"/>
      <c r="J213" s="300"/>
      <c r="K213" s="300"/>
      <c r="L213" s="300"/>
      <c r="M213" s="300"/>
      <c r="N213" s="300"/>
      <c r="O213" s="300"/>
      <c r="P213" s="312"/>
      <c r="Q213" s="312"/>
      <c r="R213" s="312"/>
      <c r="S213" s="312"/>
      <c r="T213" s="259"/>
      <c r="U213" s="301"/>
      <c r="W213" s="79"/>
      <c r="X213" s="13"/>
      <c r="Y213" s="78"/>
      <c r="Z213" s="79"/>
      <c r="AA213" s="13"/>
      <c r="AJ213" s="1" t="s">
        <v>826</v>
      </c>
      <c r="AK213" s="1" t="s">
        <v>828</v>
      </c>
      <c r="AL213" s="1">
        <v>125</v>
      </c>
      <c r="AM213" s="1" t="s">
        <v>814</v>
      </c>
      <c r="AN213" s="1" t="s">
        <v>783</v>
      </c>
      <c r="AO213" s="1" t="s">
        <v>780</v>
      </c>
      <c r="AP213" s="1">
        <v>-1.0800000000000001E-2</v>
      </c>
      <c r="AQ213" s="1">
        <v>1</v>
      </c>
      <c r="AR213" s="1" t="s">
        <v>780</v>
      </c>
      <c r="AS213" s="1">
        <v>8.9999999999999993E-3</v>
      </c>
      <c r="AT213" s="1">
        <v>1</v>
      </c>
      <c r="AV213" s="1" t="str">
        <f t="shared" si="36"/>
        <v>B111End-I</v>
      </c>
      <c r="AW213" s="1">
        <f t="shared" si="37"/>
        <v>0.01</v>
      </c>
      <c r="AX213" s="1">
        <f t="shared" si="38"/>
        <v>0.01</v>
      </c>
    </row>
    <row r="214" spans="2:50" x14ac:dyDescent="0.25">
      <c r="B214" s="312"/>
      <c r="C214" s="312"/>
      <c r="D214" s="300"/>
      <c r="E214" s="300"/>
      <c r="F214" s="300"/>
      <c r="G214" s="300"/>
      <c r="H214" s="300"/>
      <c r="I214" s="300"/>
      <c r="J214" s="300"/>
      <c r="K214" s="300"/>
      <c r="L214" s="300"/>
      <c r="M214" s="300"/>
      <c r="N214" s="300"/>
      <c r="O214" s="300"/>
      <c r="P214" s="312"/>
      <c r="Q214" s="312"/>
      <c r="R214" s="312"/>
      <c r="S214" s="312"/>
      <c r="T214" s="259"/>
      <c r="U214" s="301"/>
      <c r="W214" s="79"/>
      <c r="X214" s="13"/>
      <c r="Y214" s="78"/>
      <c r="Z214" s="79"/>
      <c r="AA214" s="13"/>
      <c r="AJ214" s="1" t="s">
        <v>826</v>
      </c>
      <c r="AK214" s="1" t="s">
        <v>828</v>
      </c>
      <c r="AL214" s="1">
        <v>125</v>
      </c>
      <c r="AM214" s="1" t="s">
        <v>814</v>
      </c>
      <c r="AN214" s="1" t="s">
        <v>784</v>
      </c>
      <c r="AV214" s="1" t="str">
        <f t="shared" si="36"/>
        <v>B111Middle</v>
      </c>
      <c r="AW214" s="1">
        <f t="shared" si="37"/>
        <v>0</v>
      </c>
      <c r="AX214" s="1">
        <f t="shared" si="38"/>
        <v>0</v>
      </c>
    </row>
    <row r="215" spans="2:50" x14ac:dyDescent="0.25">
      <c r="B215" s="312"/>
      <c r="C215" s="312"/>
      <c r="D215" s="300"/>
      <c r="E215" s="300"/>
      <c r="F215" s="300"/>
      <c r="G215" s="300"/>
      <c r="H215" s="300"/>
      <c r="I215" s="300"/>
      <c r="J215" s="300"/>
      <c r="K215" s="300"/>
      <c r="L215" s="300"/>
      <c r="M215" s="300"/>
      <c r="N215" s="300"/>
      <c r="O215" s="300"/>
      <c r="P215" s="312"/>
      <c r="Q215" s="312"/>
      <c r="R215" s="312"/>
      <c r="S215" s="312"/>
      <c r="T215" s="259"/>
      <c r="U215" s="301"/>
      <c r="W215" s="79"/>
      <c r="X215" s="13"/>
      <c r="Y215" s="78"/>
      <c r="Z215" s="79"/>
      <c r="AA215" s="13"/>
      <c r="AJ215" s="1" t="s">
        <v>826</v>
      </c>
      <c r="AK215" s="1" t="s">
        <v>828</v>
      </c>
      <c r="AL215" s="1">
        <v>125</v>
      </c>
      <c r="AM215" s="1" t="s">
        <v>814</v>
      </c>
      <c r="AN215" s="1" t="s">
        <v>785</v>
      </c>
      <c r="AO215" s="1" t="s">
        <v>780</v>
      </c>
      <c r="AP215" s="1">
        <v>0</v>
      </c>
      <c r="AQ215" s="1">
        <v>1</v>
      </c>
      <c r="AR215" s="1" t="s">
        <v>778</v>
      </c>
      <c r="AS215" s="1">
        <v>3.5299999999999998E-2</v>
      </c>
      <c r="AT215" s="1">
        <v>1</v>
      </c>
      <c r="AV215" s="1" t="str">
        <f t="shared" si="36"/>
        <v>B111End-J</v>
      </c>
      <c r="AW215" s="1">
        <f t="shared" si="37"/>
        <v>0.01</v>
      </c>
      <c r="AX215" s="1">
        <f t="shared" si="38"/>
        <v>0.01</v>
      </c>
    </row>
    <row r="216" spans="2:50" x14ac:dyDescent="0.25">
      <c r="B216" s="312"/>
      <c r="C216" s="312"/>
      <c r="D216" s="300"/>
      <c r="E216" s="300"/>
      <c r="F216" s="300"/>
      <c r="G216" s="300"/>
      <c r="H216" s="300"/>
      <c r="I216" s="300"/>
      <c r="J216" s="300"/>
      <c r="K216" s="300"/>
      <c r="L216" s="300"/>
      <c r="M216" s="300"/>
      <c r="N216" s="300"/>
      <c r="O216" s="300"/>
      <c r="P216" s="312"/>
      <c r="Q216" s="312"/>
      <c r="R216" s="312"/>
      <c r="S216" s="312"/>
      <c r="T216" s="259"/>
      <c r="U216" s="301"/>
      <c r="W216" s="79"/>
      <c r="X216" s="13"/>
      <c r="Y216" s="78"/>
      <c r="Z216" s="79"/>
      <c r="AA216" s="13"/>
      <c r="AJ216" s="1" t="s">
        <v>826</v>
      </c>
      <c r="AK216" s="1" t="s">
        <v>829</v>
      </c>
      <c r="AL216" s="1">
        <v>126</v>
      </c>
      <c r="AM216" s="1" t="s">
        <v>814</v>
      </c>
      <c r="AN216" s="1" t="s">
        <v>783</v>
      </c>
      <c r="AO216" s="1" t="s">
        <v>776</v>
      </c>
      <c r="AP216" s="1">
        <v>-2.93E-2</v>
      </c>
      <c r="AQ216" s="1">
        <v>1</v>
      </c>
      <c r="AR216" s="1" t="s">
        <v>776</v>
      </c>
      <c r="AS216" s="1">
        <v>9.7999999999999997E-3</v>
      </c>
      <c r="AT216" s="1">
        <v>1</v>
      </c>
      <c r="AV216" s="1" t="str">
        <f t="shared" si="36"/>
        <v>B114End-I</v>
      </c>
      <c r="AW216" s="1">
        <f t="shared" si="37"/>
        <v>0.01</v>
      </c>
      <c r="AX216" s="1">
        <f t="shared" si="38"/>
        <v>0.01</v>
      </c>
    </row>
    <row r="217" spans="2:50" x14ac:dyDescent="0.25">
      <c r="B217" s="312"/>
      <c r="C217" s="312"/>
      <c r="D217" s="300"/>
      <c r="E217" s="300"/>
      <c r="F217" s="300"/>
      <c r="G217" s="300"/>
      <c r="H217" s="300"/>
      <c r="I217" s="300"/>
      <c r="J217" s="300"/>
      <c r="K217" s="300"/>
      <c r="L217" s="300"/>
      <c r="M217" s="300"/>
      <c r="N217" s="300"/>
      <c r="O217" s="300"/>
      <c r="P217" s="312"/>
      <c r="Q217" s="312"/>
      <c r="R217" s="312"/>
      <c r="S217" s="312"/>
      <c r="T217" s="259"/>
      <c r="U217" s="301"/>
      <c r="W217" s="79"/>
      <c r="X217" s="13"/>
      <c r="Y217" s="78"/>
      <c r="Z217" s="79"/>
      <c r="AA217" s="13"/>
      <c r="AJ217" s="1" t="s">
        <v>826</v>
      </c>
      <c r="AK217" s="1" t="s">
        <v>829</v>
      </c>
      <c r="AL217" s="1">
        <v>126</v>
      </c>
      <c r="AM217" s="1" t="s">
        <v>814</v>
      </c>
      <c r="AN217" s="1" t="s">
        <v>784</v>
      </c>
      <c r="AV217" s="1" t="str">
        <f t="shared" si="36"/>
        <v>B114Middle</v>
      </c>
      <c r="AW217" s="1">
        <f t="shared" si="37"/>
        <v>0</v>
      </c>
      <c r="AX217" s="1">
        <f t="shared" si="38"/>
        <v>0</v>
      </c>
    </row>
    <row r="218" spans="2:50" x14ac:dyDescent="0.25">
      <c r="B218" s="312"/>
      <c r="C218" s="312"/>
      <c r="D218" s="300"/>
      <c r="E218" s="300"/>
      <c r="F218" s="300"/>
      <c r="G218" s="300"/>
      <c r="H218" s="300"/>
      <c r="I218" s="300"/>
      <c r="J218" s="300"/>
      <c r="K218" s="300"/>
      <c r="L218" s="300"/>
      <c r="M218" s="300"/>
      <c r="N218" s="300"/>
      <c r="O218" s="300"/>
      <c r="P218" s="312"/>
      <c r="Q218" s="312"/>
      <c r="R218" s="312"/>
      <c r="S218" s="312"/>
      <c r="T218" s="259"/>
      <c r="U218" s="301"/>
      <c r="W218" s="79"/>
      <c r="X218" s="13"/>
      <c r="Y218" s="78"/>
      <c r="Z218" s="79"/>
      <c r="AA218" s="13"/>
      <c r="AJ218" s="1" t="s">
        <v>826</v>
      </c>
      <c r="AK218" s="1" t="s">
        <v>829</v>
      </c>
      <c r="AL218" s="1">
        <v>126</v>
      </c>
      <c r="AM218" s="1" t="s">
        <v>814</v>
      </c>
      <c r="AN218" s="1" t="s">
        <v>785</v>
      </c>
      <c r="AO218" s="1" t="s">
        <v>777</v>
      </c>
      <c r="AP218" s="1">
        <v>-1.5E-3</v>
      </c>
      <c r="AQ218" s="1">
        <v>1</v>
      </c>
      <c r="AR218" s="1" t="s">
        <v>777</v>
      </c>
      <c r="AS218" s="1">
        <v>8.8000000000000005E-3</v>
      </c>
      <c r="AT218" s="1">
        <v>1</v>
      </c>
      <c r="AV218" s="1" t="str">
        <f t="shared" si="36"/>
        <v>B114End-J</v>
      </c>
      <c r="AW218" s="1">
        <f t="shared" si="37"/>
        <v>0.01</v>
      </c>
      <c r="AX218" s="1">
        <f t="shared" si="38"/>
        <v>0.01</v>
      </c>
    </row>
    <row r="219" spans="2:50" x14ac:dyDescent="0.25">
      <c r="B219" s="312"/>
      <c r="C219" s="312"/>
      <c r="D219" s="300"/>
      <c r="E219" s="300"/>
      <c r="F219" s="300"/>
      <c r="G219" s="300"/>
      <c r="H219" s="300"/>
      <c r="I219" s="300"/>
      <c r="J219" s="300"/>
      <c r="K219" s="300"/>
      <c r="L219" s="300"/>
      <c r="M219" s="300"/>
      <c r="N219" s="300"/>
      <c r="O219" s="300"/>
      <c r="P219" s="312"/>
      <c r="Q219" s="312"/>
      <c r="R219" s="312"/>
      <c r="S219" s="312"/>
      <c r="T219" s="259"/>
      <c r="U219" s="301"/>
      <c r="W219" s="79"/>
      <c r="X219" s="13"/>
      <c r="Y219" s="78"/>
      <c r="Z219" s="79"/>
      <c r="AA219" s="13"/>
      <c r="AJ219" s="1" t="s">
        <v>826</v>
      </c>
      <c r="AK219" s="1" t="s">
        <v>830</v>
      </c>
      <c r="AL219" s="1">
        <v>127</v>
      </c>
      <c r="AM219" s="1" t="s">
        <v>814</v>
      </c>
      <c r="AN219" s="1" t="s">
        <v>783</v>
      </c>
      <c r="AO219" s="1" t="s">
        <v>777</v>
      </c>
      <c r="AP219" s="1">
        <v>-7.1999999999999998E-3</v>
      </c>
      <c r="AQ219" s="1">
        <v>1</v>
      </c>
      <c r="AR219" s="1" t="s">
        <v>777</v>
      </c>
      <c r="AS219" s="1">
        <v>2.3999999999999998E-3</v>
      </c>
      <c r="AT219" s="1">
        <v>1</v>
      </c>
      <c r="AV219" s="1" t="str">
        <f t="shared" si="36"/>
        <v>B118End-I</v>
      </c>
      <c r="AW219" s="1">
        <f t="shared" si="37"/>
        <v>0.01</v>
      </c>
      <c r="AX219" s="1">
        <f t="shared" si="38"/>
        <v>0.01</v>
      </c>
    </row>
    <row r="220" spans="2:50" x14ac:dyDescent="0.25">
      <c r="B220" s="312"/>
      <c r="C220" s="312"/>
      <c r="D220" s="300"/>
      <c r="E220" s="300"/>
      <c r="F220" s="300"/>
      <c r="G220" s="300"/>
      <c r="H220" s="300"/>
      <c r="I220" s="300"/>
      <c r="J220" s="300"/>
      <c r="K220" s="300"/>
      <c r="L220" s="300"/>
      <c r="M220" s="300"/>
      <c r="N220" s="300"/>
      <c r="O220" s="300"/>
      <c r="P220" s="312"/>
      <c r="Q220" s="312"/>
      <c r="R220" s="312"/>
      <c r="S220" s="312"/>
      <c r="T220" s="259"/>
      <c r="U220" s="301"/>
      <c r="W220" s="79"/>
      <c r="X220" s="13"/>
      <c r="Y220" s="78"/>
      <c r="Z220" s="79"/>
      <c r="AA220" s="13"/>
      <c r="AJ220" s="1" t="s">
        <v>826</v>
      </c>
      <c r="AK220" s="1" t="s">
        <v>830</v>
      </c>
      <c r="AL220" s="1">
        <v>127</v>
      </c>
      <c r="AM220" s="1" t="s">
        <v>814</v>
      </c>
      <c r="AN220" s="1" t="s">
        <v>784</v>
      </c>
      <c r="AV220" s="1" t="str">
        <f t="shared" si="36"/>
        <v>B118Middle</v>
      </c>
      <c r="AW220" s="1">
        <f t="shared" si="37"/>
        <v>0</v>
      </c>
      <c r="AX220" s="1">
        <f t="shared" si="38"/>
        <v>0</v>
      </c>
    </row>
    <row r="221" spans="2:50" x14ac:dyDescent="0.25">
      <c r="B221" s="312"/>
      <c r="C221" s="312"/>
      <c r="D221" s="300"/>
      <c r="E221" s="300"/>
      <c r="F221" s="300"/>
      <c r="G221" s="300"/>
      <c r="H221" s="300"/>
      <c r="I221" s="300"/>
      <c r="J221" s="300"/>
      <c r="K221" s="300"/>
      <c r="L221" s="300"/>
      <c r="M221" s="300"/>
      <c r="N221" s="300"/>
      <c r="O221" s="300"/>
      <c r="P221" s="312"/>
      <c r="Q221" s="312"/>
      <c r="R221" s="312"/>
      <c r="S221" s="312"/>
      <c r="T221" s="259"/>
      <c r="U221" s="301"/>
      <c r="W221" s="79"/>
      <c r="X221" s="13"/>
      <c r="Y221" s="78"/>
      <c r="Z221" s="79"/>
      <c r="AA221" s="13"/>
      <c r="AJ221" s="1" t="s">
        <v>826</v>
      </c>
      <c r="AK221" s="1" t="s">
        <v>830</v>
      </c>
      <c r="AL221" s="1">
        <v>127</v>
      </c>
      <c r="AM221" s="1" t="s">
        <v>814</v>
      </c>
      <c r="AN221" s="1" t="s">
        <v>785</v>
      </c>
      <c r="AO221" s="1" t="s">
        <v>777</v>
      </c>
      <c r="AP221" s="1">
        <v>0</v>
      </c>
      <c r="AQ221" s="1">
        <v>1</v>
      </c>
      <c r="AR221" s="1" t="s">
        <v>777</v>
      </c>
      <c r="AS221" s="1">
        <v>2.1000000000000001E-2</v>
      </c>
      <c r="AT221" s="1">
        <v>1</v>
      </c>
      <c r="AV221" s="1" t="str">
        <f t="shared" si="36"/>
        <v>B118End-J</v>
      </c>
      <c r="AW221" s="1">
        <f t="shared" si="37"/>
        <v>0.01</v>
      </c>
      <c r="AX221" s="1">
        <f t="shared" si="38"/>
        <v>0.01</v>
      </c>
    </row>
    <row r="222" spans="2:50" x14ac:dyDescent="0.25">
      <c r="B222" s="312"/>
      <c r="C222" s="312"/>
      <c r="D222" s="300"/>
      <c r="E222" s="300"/>
      <c r="F222" s="300"/>
      <c r="G222" s="300"/>
      <c r="H222" s="300"/>
      <c r="I222" s="300"/>
      <c r="J222" s="300"/>
      <c r="K222" s="300"/>
      <c r="L222" s="300"/>
      <c r="M222" s="300"/>
      <c r="N222" s="300"/>
      <c r="O222" s="300"/>
      <c r="P222" s="312"/>
      <c r="Q222" s="312"/>
      <c r="R222" s="312"/>
      <c r="S222" s="312"/>
      <c r="T222" s="259"/>
      <c r="U222" s="301"/>
      <c r="W222" s="79"/>
      <c r="X222" s="13"/>
      <c r="Y222" s="78"/>
      <c r="Z222" s="79"/>
      <c r="AA222" s="13"/>
    </row>
    <row r="223" spans="2:50" x14ac:dyDescent="0.25">
      <c r="B223" s="312"/>
      <c r="C223" s="312"/>
      <c r="D223" s="300"/>
      <c r="E223" s="300"/>
      <c r="F223" s="300"/>
      <c r="G223" s="300"/>
      <c r="H223" s="300"/>
      <c r="I223" s="300"/>
      <c r="J223" s="300"/>
      <c r="K223" s="300"/>
      <c r="L223" s="300"/>
      <c r="M223" s="300"/>
      <c r="N223" s="300"/>
      <c r="O223" s="300"/>
      <c r="P223" s="312"/>
      <c r="Q223" s="312"/>
      <c r="R223" s="312"/>
      <c r="S223" s="312"/>
      <c r="T223" s="259"/>
      <c r="U223" s="301"/>
      <c r="W223" s="79"/>
      <c r="X223" s="13"/>
      <c r="Y223" s="78"/>
      <c r="Z223" s="79"/>
      <c r="AA223" s="13"/>
    </row>
    <row r="224" spans="2:50" x14ac:dyDescent="0.25">
      <c r="B224" s="312"/>
      <c r="C224" s="312"/>
      <c r="D224" s="300"/>
      <c r="E224" s="300"/>
      <c r="F224" s="300"/>
      <c r="G224" s="300"/>
      <c r="H224" s="300"/>
      <c r="I224" s="300"/>
      <c r="J224" s="300"/>
      <c r="K224" s="300"/>
      <c r="L224" s="300"/>
      <c r="M224" s="300"/>
      <c r="N224" s="300"/>
      <c r="O224" s="300"/>
      <c r="P224" s="312"/>
      <c r="Q224" s="312"/>
      <c r="R224" s="312"/>
      <c r="S224" s="312"/>
      <c r="T224" s="259"/>
      <c r="U224" s="301"/>
      <c r="W224" s="79"/>
      <c r="X224" s="13"/>
      <c r="Y224" s="78"/>
      <c r="Z224" s="79"/>
      <c r="AA224" s="13"/>
    </row>
    <row r="225" spans="2:53" x14ac:dyDescent="0.25">
      <c r="B225" s="312"/>
      <c r="C225" s="312"/>
      <c r="D225" s="300"/>
      <c r="E225" s="300"/>
      <c r="F225" s="300"/>
      <c r="G225" s="300"/>
      <c r="H225" s="300"/>
      <c r="I225" s="300"/>
      <c r="J225" s="300"/>
      <c r="K225" s="300"/>
      <c r="L225" s="300"/>
      <c r="M225" s="300"/>
      <c r="N225" s="300"/>
      <c r="O225" s="300"/>
      <c r="P225" s="312"/>
      <c r="Q225" s="312"/>
      <c r="R225" s="312"/>
      <c r="S225" s="312"/>
      <c r="T225" s="259"/>
      <c r="U225" s="301"/>
      <c r="W225" s="79"/>
      <c r="X225" s="13"/>
      <c r="Y225" s="78"/>
      <c r="Z225" s="79"/>
      <c r="AA225" s="13"/>
    </row>
    <row r="226" spans="2:53" x14ac:dyDescent="0.25">
      <c r="B226" s="312"/>
      <c r="C226" s="312"/>
      <c r="D226" s="300"/>
      <c r="E226" s="300"/>
      <c r="F226" s="300"/>
      <c r="G226" s="300"/>
      <c r="H226" s="300"/>
      <c r="I226" s="300"/>
      <c r="J226" s="300"/>
      <c r="K226" s="300"/>
      <c r="L226" s="300"/>
      <c r="M226" s="300"/>
      <c r="N226" s="300"/>
      <c r="O226" s="300"/>
      <c r="P226" s="312"/>
      <c r="Q226" s="312"/>
      <c r="R226" s="312"/>
      <c r="S226" s="312"/>
      <c r="T226" s="259"/>
      <c r="U226" s="301"/>
      <c r="W226" s="79"/>
      <c r="X226" s="13"/>
      <c r="Y226" s="78"/>
      <c r="Z226" s="79"/>
      <c r="AA226" s="13"/>
      <c r="BA226" s="69"/>
    </row>
    <row r="227" spans="2:53" x14ac:dyDescent="0.25">
      <c r="B227" s="312"/>
      <c r="C227" s="312"/>
      <c r="D227" s="300"/>
      <c r="E227" s="300"/>
      <c r="F227" s="300"/>
      <c r="G227" s="300"/>
      <c r="H227" s="300"/>
      <c r="I227" s="300"/>
      <c r="J227" s="300"/>
      <c r="K227" s="300"/>
      <c r="L227" s="300"/>
      <c r="M227" s="300"/>
      <c r="N227" s="300"/>
      <c r="O227" s="300"/>
      <c r="P227" s="312"/>
      <c r="Q227" s="312"/>
      <c r="R227" s="312"/>
      <c r="S227" s="312"/>
      <c r="T227" s="259"/>
      <c r="U227" s="301"/>
      <c r="W227" s="79"/>
      <c r="X227" s="13"/>
      <c r="Y227" s="78"/>
      <c r="Z227" s="79"/>
      <c r="AA227" s="13"/>
      <c r="BA227" s="69"/>
    </row>
    <row r="228" spans="2:53" x14ac:dyDescent="0.25">
      <c r="B228" s="312"/>
      <c r="C228" s="312"/>
      <c r="D228" s="300"/>
      <c r="E228" s="300"/>
      <c r="F228" s="300"/>
      <c r="G228" s="300"/>
      <c r="H228" s="300"/>
      <c r="I228" s="300"/>
      <c r="J228" s="300"/>
      <c r="K228" s="300"/>
      <c r="L228" s="300"/>
      <c r="M228" s="300"/>
      <c r="N228" s="300"/>
      <c r="O228" s="300"/>
      <c r="P228" s="312"/>
      <c r="Q228" s="312"/>
      <c r="R228" s="312"/>
      <c r="S228" s="312"/>
      <c r="T228" s="259"/>
      <c r="U228" s="301"/>
      <c r="W228" s="79"/>
      <c r="X228" s="13"/>
      <c r="Y228" s="78"/>
      <c r="Z228" s="79"/>
      <c r="AA228" s="13"/>
      <c r="BA228" s="69"/>
    </row>
    <row r="229" spans="2:53" x14ac:dyDescent="0.25">
      <c r="B229" s="312"/>
      <c r="C229" s="312"/>
      <c r="D229" s="300"/>
      <c r="E229" s="300"/>
      <c r="F229" s="300"/>
      <c r="G229" s="300"/>
      <c r="H229" s="300"/>
      <c r="I229" s="300"/>
      <c r="J229" s="300"/>
      <c r="K229" s="300"/>
      <c r="L229" s="300"/>
      <c r="M229" s="300"/>
      <c r="N229" s="300"/>
      <c r="O229" s="300"/>
      <c r="P229" s="312"/>
      <c r="Q229" s="312"/>
      <c r="R229" s="312"/>
      <c r="S229" s="312"/>
      <c r="T229" s="259"/>
      <c r="U229" s="301"/>
      <c r="W229" s="79"/>
      <c r="X229" s="13"/>
      <c r="Y229" s="78"/>
      <c r="Z229" s="79"/>
      <c r="AA229" s="13"/>
    </row>
    <row r="230" spans="2:53" x14ac:dyDescent="0.25">
      <c r="B230" s="312"/>
      <c r="C230" s="312"/>
      <c r="D230" s="300"/>
      <c r="E230" s="300"/>
      <c r="F230" s="300"/>
      <c r="G230" s="300"/>
      <c r="H230" s="300"/>
      <c r="I230" s="300"/>
      <c r="J230" s="300"/>
      <c r="K230" s="300"/>
      <c r="L230" s="300"/>
      <c r="M230" s="300"/>
      <c r="N230" s="300"/>
      <c r="O230" s="300"/>
      <c r="P230" s="312"/>
      <c r="Q230" s="312"/>
      <c r="R230" s="312"/>
      <c r="S230" s="312"/>
      <c r="T230" s="259"/>
      <c r="U230" s="301"/>
      <c r="W230" s="79"/>
      <c r="X230" s="13"/>
      <c r="Y230" s="78"/>
      <c r="Z230" s="79"/>
      <c r="AA230" s="13"/>
    </row>
    <row r="231" spans="2:53" x14ac:dyDescent="0.25">
      <c r="B231" s="312"/>
      <c r="C231" s="312"/>
      <c r="D231" s="300"/>
      <c r="E231" s="300"/>
      <c r="F231" s="300"/>
      <c r="G231" s="300"/>
      <c r="H231" s="300"/>
      <c r="I231" s="300"/>
      <c r="J231" s="300"/>
      <c r="K231" s="300"/>
      <c r="L231" s="300"/>
      <c r="M231" s="300"/>
      <c r="N231" s="300"/>
      <c r="O231" s="300"/>
      <c r="P231" s="312"/>
      <c r="Q231" s="312"/>
      <c r="R231" s="312"/>
      <c r="S231" s="312"/>
      <c r="T231" s="259"/>
      <c r="U231" s="301"/>
      <c r="W231" s="79"/>
      <c r="X231" s="13"/>
      <c r="Y231" s="78"/>
      <c r="Z231" s="79"/>
      <c r="AA231" s="13"/>
    </row>
    <row r="232" spans="2:53" x14ac:dyDescent="0.25">
      <c r="B232" s="312"/>
      <c r="C232" s="312"/>
      <c r="D232" s="300"/>
      <c r="E232" s="300"/>
      <c r="F232" s="300"/>
      <c r="G232" s="300"/>
      <c r="H232" s="300"/>
      <c r="I232" s="300"/>
      <c r="J232" s="300"/>
      <c r="K232" s="300"/>
      <c r="L232" s="300"/>
      <c r="M232" s="300"/>
      <c r="N232" s="300"/>
      <c r="O232" s="300"/>
      <c r="P232" s="312"/>
      <c r="Q232" s="312"/>
      <c r="R232" s="312"/>
      <c r="S232" s="312"/>
      <c r="T232" s="259"/>
      <c r="U232" s="301"/>
      <c r="W232" s="79"/>
      <c r="X232" s="13"/>
      <c r="Y232" s="78"/>
      <c r="Z232" s="79"/>
      <c r="AA232" s="13"/>
    </row>
    <row r="233" spans="2:53" x14ac:dyDescent="0.25">
      <c r="B233" s="312"/>
      <c r="C233" s="312"/>
      <c r="D233" s="300"/>
      <c r="E233" s="300"/>
      <c r="F233" s="300"/>
      <c r="G233" s="300"/>
      <c r="H233" s="300"/>
      <c r="I233" s="300"/>
      <c r="J233" s="300"/>
      <c r="K233" s="300"/>
      <c r="L233" s="300"/>
      <c r="M233" s="300"/>
      <c r="N233" s="300"/>
      <c r="O233" s="300"/>
      <c r="P233" s="312"/>
      <c r="Q233" s="312"/>
      <c r="R233" s="312"/>
      <c r="S233" s="312"/>
      <c r="T233" s="259"/>
      <c r="U233" s="301"/>
      <c r="W233" s="79"/>
      <c r="X233" s="13"/>
      <c r="Y233" s="78"/>
      <c r="Z233" s="79"/>
      <c r="AA233" s="13"/>
    </row>
    <row r="234" spans="2:53" x14ac:dyDescent="0.25">
      <c r="B234" s="312"/>
      <c r="C234" s="312"/>
      <c r="D234" s="300"/>
      <c r="E234" s="300"/>
      <c r="F234" s="300"/>
      <c r="G234" s="300"/>
      <c r="H234" s="300"/>
      <c r="I234" s="300"/>
      <c r="J234" s="300"/>
      <c r="K234" s="300"/>
      <c r="L234" s="300"/>
      <c r="M234" s="300"/>
      <c r="N234" s="300"/>
      <c r="O234" s="300"/>
      <c r="P234" s="312"/>
      <c r="Q234" s="312"/>
      <c r="R234" s="312"/>
      <c r="S234" s="312"/>
      <c r="T234" s="259"/>
      <c r="U234" s="301"/>
      <c r="W234" s="79"/>
      <c r="X234" s="13"/>
      <c r="Y234" s="78"/>
      <c r="Z234" s="79"/>
      <c r="AA234" s="13"/>
    </row>
    <row r="235" spans="2:53" x14ac:dyDescent="0.25">
      <c r="B235" s="312"/>
      <c r="C235" s="312"/>
      <c r="D235" s="300"/>
      <c r="E235" s="300"/>
      <c r="F235" s="300"/>
      <c r="G235" s="300"/>
      <c r="H235" s="300"/>
      <c r="I235" s="300"/>
      <c r="J235" s="300"/>
      <c r="K235" s="300"/>
      <c r="L235" s="300"/>
      <c r="M235" s="300"/>
      <c r="N235" s="300"/>
      <c r="O235" s="300"/>
      <c r="P235" s="312"/>
      <c r="Q235" s="312"/>
      <c r="R235" s="312"/>
      <c r="S235" s="312"/>
      <c r="T235" s="259"/>
      <c r="U235" s="301"/>
      <c r="W235" s="79"/>
      <c r="X235" s="13"/>
      <c r="Y235" s="78"/>
      <c r="Z235" s="79"/>
      <c r="AA235" s="13"/>
    </row>
    <row r="236" spans="2:53" x14ac:dyDescent="0.25">
      <c r="B236" s="312"/>
      <c r="C236" s="312"/>
      <c r="D236" s="300"/>
      <c r="E236" s="300"/>
      <c r="F236" s="300"/>
      <c r="G236" s="300"/>
      <c r="H236" s="300"/>
      <c r="I236" s="300"/>
      <c r="J236" s="300"/>
      <c r="K236" s="300"/>
      <c r="L236" s="300"/>
      <c r="M236" s="300"/>
      <c r="N236" s="300"/>
      <c r="O236" s="300"/>
      <c r="P236" s="312"/>
      <c r="Q236" s="312"/>
      <c r="R236" s="312"/>
      <c r="S236" s="312"/>
      <c r="T236" s="259"/>
      <c r="U236" s="301"/>
      <c r="W236" s="79"/>
      <c r="X236" s="13"/>
      <c r="Y236" s="78"/>
      <c r="Z236" s="79"/>
      <c r="AA236" s="13"/>
    </row>
    <row r="237" spans="2:53" x14ac:dyDescent="0.25">
      <c r="B237" s="312"/>
      <c r="C237" s="312"/>
      <c r="D237" s="300"/>
      <c r="E237" s="300"/>
      <c r="F237" s="300"/>
      <c r="G237" s="300"/>
      <c r="H237" s="300"/>
      <c r="I237" s="300"/>
      <c r="J237" s="300"/>
      <c r="K237" s="300"/>
      <c r="L237" s="300"/>
      <c r="M237" s="300"/>
      <c r="N237" s="300"/>
      <c r="O237" s="300"/>
      <c r="P237" s="312"/>
      <c r="Q237" s="312"/>
      <c r="R237" s="312"/>
      <c r="S237" s="312"/>
      <c r="T237" s="259"/>
      <c r="U237" s="301"/>
      <c r="W237" s="79"/>
      <c r="X237" s="13"/>
      <c r="Y237" s="78"/>
      <c r="Z237" s="79"/>
      <c r="AA237" s="13"/>
    </row>
    <row r="238" spans="2:53" x14ac:dyDescent="0.25">
      <c r="B238" s="312"/>
      <c r="C238" s="312"/>
      <c r="D238" s="300"/>
      <c r="E238" s="300"/>
      <c r="F238" s="300"/>
      <c r="G238" s="300"/>
      <c r="H238" s="300"/>
      <c r="I238" s="300"/>
      <c r="J238" s="300"/>
      <c r="K238" s="300"/>
      <c r="L238" s="300"/>
      <c r="M238" s="300"/>
      <c r="N238" s="300"/>
      <c r="O238" s="300"/>
      <c r="P238" s="312"/>
      <c r="Q238" s="312"/>
      <c r="R238" s="312"/>
      <c r="S238" s="312"/>
      <c r="T238" s="259"/>
      <c r="U238" s="301"/>
      <c r="W238" s="79"/>
      <c r="X238" s="13"/>
      <c r="Y238" s="78"/>
      <c r="Z238" s="79"/>
      <c r="AA238" s="13"/>
    </row>
    <row r="239" spans="2:53" x14ac:dyDescent="0.25">
      <c r="B239" s="312"/>
      <c r="C239" s="312"/>
      <c r="D239" s="300"/>
      <c r="E239" s="300"/>
      <c r="F239" s="300"/>
      <c r="G239" s="300"/>
      <c r="H239" s="300"/>
      <c r="I239" s="300"/>
      <c r="J239" s="300"/>
      <c r="K239" s="300"/>
      <c r="L239" s="300"/>
      <c r="M239" s="300"/>
      <c r="N239" s="300"/>
      <c r="O239" s="300"/>
      <c r="P239" s="312"/>
      <c r="Q239" s="312"/>
      <c r="R239" s="312"/>
      <c r="S239" s="312"/>
      <c r="T239" s="259"/>
      <c r="U239" s="301"/>
      <c r="W239" s="79"/>
      <c r="X239" s="13"/>
      <c r="Y239" s="78"/>
      <c r="Z239" s="79"/>
      <c r="AA239" s="13"/>
    </row>
    <row r="240" spans="2:53" x14ac:dyDescent="0.25">
      <c r="B240" s="312"/>
      <c r="C240" s="312"/>
      <c r="D240" s="300"/>
      <c r="E240" s="300"/>
      <c r="F240" s="300"/>
      <c r="G240" s="300"/>
      <c r="H240" s="300"/>
      <c r="I240" s="300"/>
      <c r="J240" s="300"/>
      <c r="K240" s="300"/>
      <c r="L240" s="300"/>
      <c r="M240" s="300"/>
      <c r="N240" s="300"/>
      <c r="O240" s="300"/>
      <c r="P240" s="312"/>
      <c r="Q240" s="312"/>
      <c r="R240" s="312"/>
      <c r="S240" s="312"/>
      <c r="T240" s="259"/>
      <c r="U240" s="301"/>
      <c r="W240" s="79"/>
      <c r="X240" s="13"/>
      <c r="Y240" s="78"/>
      <c r="Z240" s="79"/>
      <c r="AA240" s="13"/>
    </row>
    <row r="241" spans="2:27" x14ac:dyDescent="0.25">
      <c r="B241" s="312"/>
      <c r="C241" s="312"/>
      <c r="D241" s="300"/>
      <c r="E241" s="300"/>
      <c r="F241" s="300"/>
      <c r="G241" s="300"/>
      <c r="H241" s="300"/>
      <c r="I241" s="300"/>
      <c r="J241" s="300"/>
      <c r="K241" s="300"/>
      <c r="L241" s="300"/>
      <c r="M241" s="300"/>
      <c r="N241" s="300"/>
      <c r="O241" s="300"/>
      <c r="P241" s="312"/>
      <c r="Q241" s="312"/>
      <c r="R241" s="312"/>
      <c r="S241" s="312"/>
      <c r="T241" s="259"/>
      <c r="U241" s="301"/>
      <c r="W241" s="79"/>
      <c r="X241" s="13"/>
      <c r="Y241" s="78"/>
      <c r="Z241" s="79"/>
      <c r="AA241" s="13"/>
    </row>
    <row r="242" spans="2:27" x14ac:dyDescent="0.25">
      <c r="B242" s="312"/>
      <c r="C242" s="312"/>
      <c r="D242" s="300"/>
      <c r="E242" s="300"/>
      <c r="F242" s="300"/>
      <c r="G242" s="300"/>
      <c r="H242" s="300"/>
      <c r="I242" s="300"/>
      <c r="J242" s="300"/>
      <c r="K242" s="300"/>
      <c r="L242" s="300"/>
      <c r="M242" s="300"/>
      <c r="N242" s="300"/>
      <c r="O242" s="300"/>
      <c r="P242" s="312"/>
      <c r="Q242" s="312"/>
      <c r="R242" s="312"/>
      <c r="S242" s="312"/>
      <c r="T242" s="259"/>
      <c r="U242" s="301"/>
      <c r="W242" s="79"/>
      <c r="X242" s="13"/>
      <c r="Y242" s="78"/>
      <c r="Z242" s="79"/>
      <c r="AA242" s="13"/>
    </row>
    <row r="243" spans="2:27" x14ac:dyDescent="0.25">
      <c r="B243" s="312"/>
      <c r="C243" s="312"/>
      <c r="D243" s="300"/>
      <c r="E243" s="300"/>
      <c r="F243" s="300"/>
      <c r="G243" s="300"/>
      <c r="H243" s="300"/>
      <c r="I243" s="300"/>
      <c r="J243" s="300"/>
      <c r="K243" s="300"/>
      <c r="L243" s="300"/>
      <c r="M243" s="300"/>
      <c r="N243" s="300"/>
      <c r="O243" s="300"/>
      <c r="P243" s="312"/>
      <c r="Q243" s="312"/>
      <c r="R243" s="312"/>
      <c r="S243" s="312"/>
      <c r="T243" s="259"/>
      <c r="U243" s="301"/>
      <c r="W243" s="79"/>
      <c r="X243" s="13"/>
      <c r="Y243" s="78"/>
      <c r="Z243" s="79"/>
      <c r="AA243" s="13"/>
    </row>
    <row r="244" spans="2:27" x14ac:dyDescent="0.25">
      <c r="B244" s="312"/>
      <c r="C244" s="312"/>
      <c r="D244" s="300"/>
      <c r="E244" s="300"/>
      <c r="F244" s="300"/>
      <c r="G244" s="300"/>
      <c r="H244" s="300"/>
      <c r="I244" s="300"/>
      <c r="J244" s="300"/>
      <c r="K244" s="300"/>
      <c r="L244" s="300"/>
      <c r="M244" s="300"/>
      <c r="N244" s="300"/>
      <c r="O244" s="300"/>
      <c r="P244" s="312"/>
      <c r="Q244" s="312"/>
      <c r="R244" s="312"/>
      <c r="S244" s="312"/>
      <c r="T244" s="259"/>
      <c r="U244" s="301"/>
      <c r="W244" s="79"/>
      <c r="X244" s="13"/>
      <c r="Y244" s="78"/>
      <c r="Z244" s="79"/>
      <c r="AA244" s="13"/>
    </row>
    <row r="245" spans="2:27" x14ac:dyDescent="0.25">
      <c r="B245" s="312"/>
      <c r="C245" s="312"/>
      <c r="D245" s="300"/>
      <c r="E245" s="300"/>
      <c r="F245" s="300"/>
      <c r="G245" s="300"/>
      <c r="H245" s="300"/>
      <c r="I245" s="300"/>
      <c r="J245" s="300"/>
      <c r="K245" s="300"/>
      <c r="L245" s="300"/>
      <c r="M245" s="300"/>
      <c r="N245" s="300"/>
      <c r="O245" s="300"/>
      <c r="P245" s="312"/>
      <c r="Q245" s="312"/>
      <c r="R245" s="312"/>
      <c r="S245" s="312"/>
      <c r="T245" s="259"/>
      <c r="U245" s="301"/>
      <c r="W245" s="79"/>
      <c r="X245" s="13"/>
      <c r="Y245" s="78"/>
      <c r="Z245" s="79"/>
      <c r="AA245" s="13"/>
    </row>
    <row r="246" spans="2:27" x14ac:dyDescent="0.25">
      <c r="B246" s="312"/>
      <c r="C246" s="312"/>
      <c r="D246" s="300"/>
      <c r="E246" s="300"/>
      <c r="F246" s="300"/>
      <c r="G246" s="300"/>
      <c r="H246" s="300"/>
      <c r="I246" s="300"/>
      <c r="J246" s="300"/>
      <c r="K246" s="300"/>
      <c r="L246" s="300"/>
      <c r="M246" s="300"/>
      <c r="N246" s="300"/>
      <c r="O246" s="300"/>
      <c r="P246" s="312"/>
      <c r="Q246" s="312"/>
      <c r="R246" s="312"/>
      <c r="S246" s="312"/>
      <c r="T246" s="259"/>
      <c r="U246" s="301"/>
      <c r="W246" s="79"/>
      <c r="X246" s="13"/>
      <c r="Y246" s="78"/>
      <c r="Z246" s="79"/>
      <c r="AA246" s="13"/>
    </row>
    <row r="247" spans="2:27" x14ac:dyDescent="0.25">
      <c r="B247" s="312"/>
      <c r="C247" s="312"/>
      <c r="D247" s="300"/>
      <c r="E247" s="300"/>
      <c r="F247" s="300"/>
      <c r="G247" s="300"/>
      <c r="H247" s="300"/>
      <c r="I247" s="300"/>
      <c r="J247" s="300"/>
      <c r="K247" s="300"/>
      <c r="L247" s="300"/>
      <c r="M247" s="300"/>
      <c r="N247" s="300"/>
      <c r="O247" s="300"/>
      <c r="P247" s="312"/>
      <c r="Q247" s="312"/>
      <c r="R247" s="312"/>
      <c r="S247" s="312"/>
      <c r="T247" s="259"/>
      <c r="U247" s="301"/>
      <c r="W247" s="79"/>
      <c r="X247" s="13"/>
      <c r="Y247" s="78"/>
      <c r="Z247" s="79"/>
      <c r="AA247" s="13"/>
    </row>
    <row r="248" spans="2:27" x14ac:dyDescent="0.25">
      <c r="B248" s="312"/>
      <c r="C248" s="312"/>
      <c r="D248" s="300"/>
      <c r="E248" s="300"/>
      <c r="F248" s="300"/>
      <c r="G248" s="300"/>
      <c r="H248" s="300"/>
      <c r="I248" s="300"/>
      <c r="J248" s="300"/>
      <c r="K248" s="300"/>
      <c r="L248" s="300"/>
      <c r="M248" s="300"/>
      <c r="N248" s="300"/>
      <c r="O248" s="300"/>
      <c r="P248" s="312"/>
      <c r="Q248" s="312"/>
      <c r="R248" s="312"/>
      <c r="S248" s="312"/>
      <c r="T248" s="259"/>
      <c r="U248" s="301"/>
      <c r="W248" s="79"/>
      <c r="X248" s="13"/>
      <c r="Y248" s="78"/>
      <c r="Z248" s="79"/>
      <c r="AA248" s="13"/>
    </row>
    <row r="249" spans="2:27" x14ac:dyDescent="0.25">
      <c r="B249" s="312"/>
      <c r="C249" s="312"/>
      <c r="D249" s="300"/>
      <c r="E249" s="300"/>
      <c r="F249" s="300"/>
      <c r="G249" s="300"/>
      <c r="H249" s="300"/>
      <c r="I249" s="300"/>
      <c r="J249" s="300"/>
      <c r="K249" s="300"/>
      <c r="L249" s="300"/>
      <c r="M249" s="300"/>
      <c r="N249" s="300"/>
      <c r="O249" s="300"/>
      <c r="P249" s="312"/>
      <c r="Q249" s="312"/>
      <c r="R249" s="312"/>
      <c r="S249" s="312"/>
      <c r="T249" s="259"/>
      <c r="U249" s="301"/>
      <c r="W249" s="79"/>
      <c r="X249" s="13"/>
      <c r="Y249" s="78"/>
      <c r="Z249" s="79"/>
      <c r="AA249" s="13"/>
    </row>
    <row r="250" spans="2:27" x14ac:dyDescent="0.25">
      <c r="B250" s="312"/>
      <c r="C250" s="312"/>
      <c r="D250" s="300"/>
      <c r="E250" s="300"/>
      <c r="F250" s="300"/>
      <c r="G250" s="300"/>
      <c r="H250" s="300"/>
      <c r="I250" s="300"/>
      <c r="J250" s="300"/>
      <c r="K250" s="300"/>
      <c r="L250" s="300"/>
      <c r="M250" s="300"/>
      <c r="N250" s="300"/>
      <c r="O250" s="300"/>
      <c r="P250" s="312"/>
      <c r="Q250" s="312"/>
      <c r="R250" s="312"/>
      <c r="S250" s="312"/>
      <c r="T250" s="259"/>
      <c r="U250" s="301"/>
      <c r="W250" s="79"/>
      <c r="X250" s="13"/>
      <c r="Y250" s="78"/>
      <c r="Z250" s="79"/>
      <c r="AA250" s="13"/>
    </row>
    <row r="251" spans="2:27" x14ac:dyDescent="0.25">
      <c r="B251" s="312"/>
      <c r="C251" s="312"/>
      <c r="D251" s="300"/>
      <c r="E251" s="300"/>
      <c r="F251" s="300"/>
      <c r="G251" s="300"/>
      <c r="H251" s="300"/>
      <c r="I251" s="300"/>
      <c r="J251" s="300"/>
      <c r="K251" s="300"/>
      <c r="L251" s="300"/>
      <c r="M251" s="300"/>
      <c r="N251" s="300"/>
      <c r="O251" s="300"/>
      <c r="P251" s="312"/>
      <c r="Q251" s="312"/>
      <c r="R251" s="312"/>
      <c r="S251" s="312"/>
      <c r="T251" s="259"/>
      <c r="U251" s="301"/>
      <c r="W251" s="79"/>
      <c r="X251" s="13"/>
      <c r="Y251" s="78"/>
      <c r="Z251" s="79"/>
      <c r="AA251" s="13"/>
    </row>
    <row r="252" spans="2:27" x14ac:dyDescent="0.25">
      <c r="B252" s="312"/>
      <c r="C252" s="312"/>
      <c r="D252" s="300"/>
      <c r="E252" s="300"/>
      <c r="F252" s="300"/>
      <c r="G252" s="300"/>
      <c r="H252" s="300"/>
      <c r="I252" s="300"/>
      <c r="J252" s="300"/>
      <c r="K252" s="300"/>
      <c r="L252" s="300"/>
      <c r="M252" s="300"/>
      <c r="N252" s="300"/>
      <c r="O252" s="300"/>
      <c r="P252" s="312"/>
      <c r="Q252" s="312"/>
      <c r="R252" s="312"/>
      <c r="S252" s="312"/>
      <c r="T252" s="259"/>
      <c r="U252" s="301"/>
      <c r="W252" s="79"/>
      <c r="X252" s="13"/>
      <c r="Y252" s="78"/>
      <c r="Z252" s="79"/>
      <c r="AA252" s="13"/>
    </row>
    <row r="253" spans="2:27" x14ac:dyDescent="0.25">
      <c r="B253" s="312"/>
      <c r="C253" s="312"/>
      <c r="D253" s="300"/>
      <c r="E253" s="300"/>
      <c r="F253" s="300"/>
      <c r="G253" s="300"/>
      <c r="H253" s="300"/>
      <c r="I253" s="300"/>
      <c r="J253" s="300"/>
      <c r="K253" s="300"/>
      <c r="L253" s="300"/>
      <c r="M253" s="300"/>
      <c r="N253" s="300"/>
      <c r="O253" s="300"/>
      <c r="P253" s="312"/>
      <c r="Q253" s="312"/>
      <c r="R253" s="312"/>
      <c r="S253" s="312"/>
      <c r="T253" s="259"/>
      <c r="U253" s="301"/>
      <c r="W253" s="79"/>
      <c r="X253" s="13"/>
      <c r="Y253" s="78"/>
      <c r="Z253" s="79"/>
      <c r="AA253" s="13"/>
    </row>
    <row r="254" spans="2:27" x14ac:dyDescent="0.25">
      <c r="B254" s="312"/>
      <c r="C254" s="312"/>
      <c r="D254" s="300"/>
      <c r="E254" s="300"/>
      <c r="F254" s="300"/>
      <c r="G254" s="300"/>
      <c r="H254" s="300"/>
      <c r="I254" s="300"/>
      <c r="J254" s="300"/>
      <c r="K254" s="300"/>
      <c r="L254" s="300"/>
      <c r="M254" s="300"/>
      <c r="N254" s="300"/>
      <c r="O254" s="300"/>
      <c r="P254" s="312"/>
      <c r="Q254" s="312"/>
      <c r="R254" s="312"/>
      <c r="S254" s="312"/>
      <c r="T254" s="259"/>
      <c r="U254" s="301"/>
      <c r="W254" s="79"/>
      <c r="X254" s="13"/>
      <c r="Y254" s="78"/>
      <c r="Z254" s="79"/>
      <c r="AA254" s="13"/>
    </row>
    <row r="255" spans="2:27" x14ac:dyDescent="0.25">
      <c r="B255" s="312"/>
      <c r="C255" s="312"/>
      <c r="D255" s="300"/>
      <c r="E255" s="300"/>
      <c r="F255" s="300"/>
      <c r="G255" s="300"/>
      <c r="H255" s="300"/>
      <c r="I255" s="300"/>
      <c r="J255" s="300"/>
      <c r="K255" s="300"/>
      <c r="L255" s="300"/>
      <c r="M255" s="300"/>
      <c r="N255" s="300"/>
      <c r="O255" s="300"/>
      <c r="P255" s="312"/>
      <c r="Q255" s="312"/>
      <c r="R255" s="312"/>
      <c r="S255" s="312"/>
      <c r="T255" s="259"/>
      <c r="U255" s="301"/>
      <c r="W255" s="79"/>
      <c r="X255" s="13"/>
      <c r="Y255" s="78"/>
      <c r="Z255" s="79"/>
      <c r="AA255" s="13"/>
    </row>
    <row r="256" spans="2:27" x14ac:dyDescent="0.25">
      <c r="B256" s="312"/>
      <c r="C256" s="312"/>
      <c r="D256" s="300"/>
      <c r="E256" s="300"/>
      <c r="F256" s="300"/>
      <c r="G256" s="300"/>
      <c r="H256" s="300"/>
      <c r="I256" s="300"/>
      <c r="J256" s="300"/>
      <c r="K256" s="300"/>
      <c r="L256" s="300"/>
      <c r="M256" s="300"/>
      <c r="N256" s="300"/>
      <c r="O256" s="300"/>
      <c r="P256" s="312"/>
      <c r="Q256" s="312"/>
      <c r="R256" s="312"/>
      <c r="S256" s="312"/>
      <c r="T256" s="259"/>
      <c r="U256" s="301"/>
      <c r="W256" s="79"/>
      <c r="X256" s="13"/>
      <c r="Y256" s="78"/>
      <c r="Z256" s="79"/>
      <c r="AA256" s="13"/>
    </row>
    <row r="257" spans="2:27" x14ac:dyDescent="0.25">
      <c r="B257" s="312"/>
      <c r="C257" s="312"/>
      <c r="D257" s="300"/>
      <c r="E257" s="300"/>
      <c r="F257" s="300"/>
      <c r="G257" s="300"/>
      <c r="H257" s="300"/>
      <c r="I257" s="300"/>
      <c r="J257" s="300"/>
      <c r="K257" s="300"/>
      <c r="L257" s="300"/>
      <c r="M257" s="300"/>
      <c r="N257" s="300"/>
      <c r="O257" s="300"/>
      <c r="P257" s="312"/>
      <c r="Q257" s="312"/>
      <c r="R257" s="312"/>
      <c r="S257" s="312"/>
      <c r="T257" s="259"/>
      <c r="U257" s="301"/>
      <c r="W257" s="79"/>
      <c r="X257" s="13"/>
      <c r="Y257" s="78"/>
      <c r="Z257" s="79"/>
      <c r="AA257" s="13"/>
    </row>
    <row r="258" spans="2:27" x14ac:dyDescent="0.25">
      <c r="B258" s="312"/>
      <c r="C258" s="312"/>
      <c r="D258" s="300"/>
      <c r="E258" s="300"/>
      <c r="F258" s="300"/>
      <c r="G258" s="300"/>
      <c r="H258" s="300"/>
      <c r="I258" s="300"/>
      <c r="J258" s="300"/>
      <c r="K258" s="300"/>
      <c r="L258" s="300"/>
      <c r="M258" s="300"/>
      <c r="N258" s="300"/>
      <c r="O258" s="300"/>
      <c r="P258" s="312"/>
      <c r="Q258" s="312"/>
      <c r="R258" s="312"/>
      <c r="S258" s="312"/>
      <c r="T258" s="259"/>
      <c r="U258" s="301"/>
      <c r="W258" s="79"/>
      <c r="X258" s="13"/>
      <c r="Y258" s="78"/>
      <c r="Z258" s="79"/>
      <c r="AA258" s="13"/>
    </row>
    <row r="259" spans="2:27" x14ac:dyDescent="0.25">
      <c r="B259" s="312"/>
      <c r="C259" s="312"/>
      <c r="D259" s="300"/>
      <c r="E259" s="300"/>
      <c r="F259" s="300"/>
      <c r="G259" s="300"/>
      <c r="H259" s="300"/>
      <c r="I259" s="300"/>
      <c r="J259" s="300"/>
      <c r="K259" s="300"/>
      <c r="L259" s="300"/>
      <c r="M259" s="300"/>
      <c r="N259" s="300"/>
      <c r="O259" s="300"/>
      <c r="P259" s="312"/>
      <c r="Q259" s="312"/>
      <c r="R259" s="312"/>
      <c r="S259" s="312"/>
      <c r="T259" s="259"/>
      <c r="U259" s="301"/>
      <c r="W259" s="79"/>
      <c r="X259" s="13"/>
      <c r="Y259" s="78"/>
      <c r="Z259" s="79"/>
      <c r="AA259" s="13"/>
    </row>
    <row r="260" spans="2:27" x14ac:dyDescent="0.25">
      <c r="B260" s="312"/>
      <c r="C260" s="312"/>
      <c r="D260" s="300"/>
      <c r="E260" s="300"/>
      <c r="F260" s="300"/>
      <c r="G260" s="300"/>
      <c r="H260" s="300"/>
      <c r="I260" s="300"/>
      <c r="J260" s="300"/>
      <c r="K260" s="300"/>
      <c r="L260" s="300"/>
      <c r="M260" s="300"/>
      <c r="N260" s="300"/>
      <c r="O260" s="300"/>
      <c r="P260" s="312"/>
      <c r="Q260" s="312"/>
      <c r="R260" s="312"/>
      <c r="S260" s="312"/>
      <c r="T260" s="259"/>
      <c r="U260" s="301"/>
      <c r="W260" s="79"/>
      <c r="X260" s="13"/>
      <c r="Y260" s="78"/>
      <c r="Z260" s="79"/>
      <c r="AA260" s="13"/>
    </row>
    <row r="559" spans="36:46" x14ac:dyDescent="0.25">
      <c r="AJ559" s="1" t="s">
        <v>189</v>
      </c>
      <c r="AK559" s="1" t="s">
        <v>299</v>
      </c>
      <c r="AL559" s="1">
        <v>123</v>
      </c>
      <c r="AM559" s="1" t="s">
        <v>295</v>
      </c>
      <c r="AN559" s="1">
        <v>1.625</v>
      </c>
      <c r="AO559" s="1" t="s">
        <v>296</v>
      </c>
      <c r="AP559" s="1" t="s">
        <v>297</v>
      </c>
      <c r="AQ559" s="1">
        <v>2.0000000000000001E-4</v>
      </c>
      <c r="AR559" s="1">
        <v>2.0000000000000001E-4</v>
      </c>
      <c r="AS559" s="1" t="s">
        <v>297</v>
      </c>
      <c r="AT559" s="1">
        <v>2.0000000000000001E-4</v>
      </c>
    </row>
    <row r="560" spans="36:46" x14ac:dyDescent="0.25">
      <c r="AJ560" s="1" t="s">
        <v>189</v>
      </c>
      <c r="AK560" s="1" t="s">
        <v>299</v>
      </c>
      <c r="AL560" s="1">
        <v>123</v>
      </c>
      <c r="AM560" s="1" t="s">
        <v>295</v>
      </c>
      <c r="AN560" s="1">
        <v>2.1666699999999999</v>
      </c>
      <c r="AO560" s="1" t="s">
        <v>296</v>
      </c>
      <c r="AP560" s="1" t="s">
        <v>297</v>
      </c>
      <c r="AQ560" s="1">
        <v>2.0000000000000001E-4</v>
      </c>
      <c r="AR560" s="1">
        <v>2.0000000000000001E-4</v>
      </c>
      <c r="AS560" s="1" t="s">
        <v>297</v>
      </c>
      <c r="AT560" s="1">
        <v>2.0000000000000001E-4</v>
      </c>
    </row>
    <row r="561" spans="36:46" x14ac:dyDescent="0.25">
      <c r="AJ561" s="1" t="s">
        <v>189</v>
      </c>
      <c r="AK561" s="1" t="s">
        <v>299</v>
      </c>
      <c r="AL561" s="1">
        <v>123</v>
      </c>
      <c r="AM561" s="1" t="s">
        <v>295</v>
      </c>
      <c r="AN561" s="1">
        <v>2.7083300000000001</v>
      </c>
      <c r="AO561" s="1" t="s">
        <v>296</v>
      </c>
      <c r="AP561" s="1" t="s">
        <v>297</v>
      </c>
      <c r="AQ561" s="1">
        <v>2.0000000000000001E-4</v>
      </c>
      <c r="AR561" s="1">
        <v>2.0000000000000001E-4</v>
      </c>
      <c r="AS561" s="1" t="s">
        <v>297</v>
      </c>
      <c r="AT561" s="1">
        <v>2.0000000000000001E-4</v>
      </c>
    </row>
    <row r="562" spans="36:46" x14ac:dyDescent="0.25">
      <c r="AJ562" s="1" t="s">
        <v>189</v>
      </c>
      <c r="AK562" s="1" t="s">
        <v>299</v>
      </c>
      <c r="AL562" s="1">
        <v>123</v>
      </c>
      <c r="AM562" s="1" t="s">
        <v>295</v>
      </c>
      <c r="AN562" s="1">
        <v>3.25</v>
      </c>
      <c r="AO562" s="1" t="s">
        <v>296</v>
      </c>
      <c r="AP562" s="1" t="s">
        <v>297</v>
      </c>
      <c r="AQ562" s="1">
        <v>2.0000000000000001E-4</v>
      </c>
      <c r="AR562" s="1">
        <v>2.63E-4</v>
      </c>
      <c r="AS562" s="1" t="s">
        <v>297</v>
      </c>
      <c r="AT562" s="1">
        <v>2.0000000000000001E-4</v>
      </c>
    </row>
    <row r="563" spans="36:46" x14ac:dyDescent="0.25">
      <c r="AJ563" s="1" t="s">
        <v>189</v>
      </c>
      <c r="AK563" s="1" t="s">
        <v>300</v>
      </c>
      <c r="AL563" s="1">
        <v>126</v>
      </c>
      <c r="AM563" s="1" t="s">
        <v>295</v>
      </c>
      <c r="AN563" s="1">
        <v>0.15</v>
      </c>
      <c r="AO563" s="1" t="s">
        <v>298</v>
      </c>
      <c r="AP563" s="1" t="s">
        <v>297</v>
      </c>
      <c r="AQ563" s="1">
        <v>2.0000000000000001E-4</v>
      </c>
      <c r="AR563" s="1">
        <v>2.0000000000000001E-4</v>
      </c>
      <c r="AS563" s="1" t="s">
        <v>297</v>
      </c>
      <c r="AT563" s="1">
        <v>2.0000000000000001E-4</v>
      </c>
    </row>
    <row r="564" spans="36:46" x14ac:dyDescent="0.25">
      <c r="AJ564" s="1" t="s">
        <v>189</v>
      </c>
      <c r="AK564" s="1" t="s">
        <v>300</v>
      </c>
      <c r="AL564" s="1">
        <v>126</v>
      </c>
      <c r="AM564" s="1" t="s">
        <v>295</v>
      </c>
      <c r="AN564" s="1">
        <v>0.3</v>
      </c>
      <c r="AO564" s="1" t="s">
        <v>298</v>
      </c>
      <c r="AP564" s="1" t="s">
        <v>297</v>
      </c>
      <c r="AQ564" s="1">
        <v>2.0000000000000001E-4</v>
      </c>
      <c r="AR564" s="1">
        <v>2.0000000000000001E-4</v>
      </c>
      <c r="AS564" s="1" t="s">
        <v>297</v>
      </c>
      <c r="AT564" s="1">
        <v>2.0000000000000001E-4</v>
      </c>
    </row>
    <row r="565" spans="36:46" x14ac:dyDescent="0.25">
      <c r="AJ565" s="1" t="s">
        <v>189</v>
      </c>
      <c r="AK565" s="1" t="s">
        <v>300</v>
      </c>
      <c r="AL565" s="1">
        <v>126</v>
      </c>
      <c r="AM565" s="1" t="s">
        <v>295</v>
      </c>
      <c r="AN565" s="1">
        <v>0.45</v>
      </c>
      <c r="AO565" s="1" t="s">
        <v>298</v>
      </c>
      <c r="AP565" s="1" t="s">
        <v>297</v>
      </c>
      <c r="AQ565" s="1">
        <v>2.0000000000000001E-4</v>
      </c>
      <c r="AR565" s="1">
        <v>2.0000000000000001E-4</v>
      </c>
      <c r="AS565" s="1" t="s">
        <v>297</v>
      </c>
      <c r="AT565" s="1">
        <v>2.0000000000000001E-4</v>
      </c>
    </row>
    <row r="566" spans="36:46" x14ac:dyDescent="0.25">
      <c r="AJ566" s="1" t="s">
        <v>189</v>
      </c>
      <c r="AK566" s="1" t="s">
        <v>300</v>
      </c>
      <c r="AL566" s="1">
        <v>126</v>
      </c>
      <c r="AM566" s="1" t="s">
        <v>295</v>
      </c>
      <c r="AN566" s="1">
        <v>0.6</v>
      </c>
      <c r="AO566" s="1" t="s">
        <v>298</v>
      </c>
      <c r="AP566" s="1" t="s">
        <v>297</v>
      </c>
      <c r="AQ566" s="1">
        <v>2.0000000000000001E-4</v>
      </c>
      <c r="AR566" s="1">
        <v>2.0000000000000001E-4</v>
      </c>
      <c r="AS566" s="1" t="s">
        <v>297</v>
      </c>
      <c r="AT566" s="1">
        <v>2.0000000000000001E-4</v>
      </c>
    </row>
    <row r="567" spans="36:46" x14ac:dyDescent="0.25">
      <c r="AJ567" s="1" t="s">
        <v>189</v>
      </c>
      <c r="AK567" s="1" t="s">
        <v>300</v>
      </c>
      <c r="AL567" s="1">
        <v>126</v>
      </c>
      <c r="AM567" s="1" t="s">
        <v>295</v>
      </c>
      <c r="AN567" s="1">
        <v>0.75</v>
      </c>
      <c r="AO567" s="1" t="s">
        <v>298</v>
      </c>
      <c r="AP567" s="1" t="s">
        <v>297</v>
      </c>
      <c r="AQ567" s="1">
        <v>2.0000000000000001E-4</v>
      </c>
      <c r="AR567" s="1">
        <v>2.0000000000000001E-4</v>
      </c>
      <c r="AS567" s="1" t="s">
        <v>297</v>
      </c>
      <c r="AT567" s="1">
        <v>2.0000000000000001E-4</v>
      </c>
    </row>
    <row r="568" spans="36:46" x14ac:dyDescent="0.25">
      <c r="AJ568" s="1" t="s">
        <v>189</v>
      </c>
      <c r="AK568" s="1" t="s">
        <v>300</v>
      </c>
      <c r="AL568" s="1">
        <v>126</v>
      </c>
      <c r="AM568" s="1" t="s">
        <v>295</v>
      </c>
      <c r="AN568" s="1">
        <v>0.9</v>
      </c>
      <c r="AO568" s="1" t="s">
        <v>298</v>
      </c>
      <c r="AP568" s="1" t="s">
        <v>297</v>
      </c>
      <c r="AQ568" s="1">
        <v>2.0000000000000001E-4</v>
      </c>
      <c r="AR568" s="1">
        <v>2.0000000000000001E-4</v>
      </c>
      <c r="AS568" s="1" t="s">
        <v>297</v>
      </c>
      <c r="AT568" s="1">
        <v>2.0000000000000001E-4</v>
      </c>
    </row>
    <row r="569" spans="36:46" x14ac:dyDescent="0.25">
      <c r="AJ569" s="1" t="s">
        <v>189</v>
      </c>
      <c r="AK569" s="1" t="s">
        <v>300</v>
      </c>
      <c r="AL569" s="1">
        <v>126</v>
      </c>
      <c r="AM569" s="1" t="s">
        <v>295</v>
      </c>
      <c r="AN569" s="1">
        <v>1.05</v>
      </c>
      <c r="AO569" s="1" t="s">
        <v>298</v>
      </c>
      <c r="AP569" s="1" t="s">
        <v>297</v>
      </c>
      <c r="AQ569" s="1">
        <v>2.0000000000000001E-4</v>
      </c>
      <c r="AR569" s="1">
        <v>2.0000000000000001E-4</v>
      </c>
      <c r="AS569" s="1" t="s">
        <v>297</v>
      </c>
      <c r="AT569" s="1">
        <v>2.0000000000000001E-4</v>
      </c>
    </row>
    <row r="570" spans="36:46" x14ac:dyDescent="0.25">
      <c r="AJ570" s="1" t="s">
        <v>189</v>
      </c>
      <c r="AK570" s="1" t="s">
        <v>301</v>
      </c>
      <c r="AL570" s="1">
        <v>129</v>
      </c>
      <c r="AM570" s="1" t="s">
        <v>295</v>
      </c>
      <c r="AN570" s="1">
        <v>0</v>
      </c>
      <c r="AO570" s="1" t="s">
        <v>296</v>
      </c>
      <c r="AP570" s="1" t="s">
        <v>297</v>
      </c>
      <c r="AQ570" s="1">
        <v>2.0000000000000001E-4</v>
      </c>
      <c r="AR570" s="1">
        <v>2.2100000000000001E-4</v>
      </c>
      <c r="AS570" s="1" t="s">
        <v>297</v>
      </c>
      <c r="AT570" s="1">
        <v>2.0000000000000001E-4</v>
      </c>
    </row>
    <row r="571" spans="36:46" x14ac:dyDescent="0.25">
      <c r="AJ571" s="1" t="s">
        <v>189</v>
      </c>
      <c r="AK571" s="1" t="s">
        <v>301</v>
      </c>
      <c r="AL571" s="1">
        <v>129</v>
      </c>
      <c r="AM571" s="1" t="s">
        <v>295</v>
      </c>
      <c r="AN571" s="1">
        <v>0.54166999999999998</v>
      </c>
      <c r="AO571" s="1" t="s">
        <v>296</v>
      </c>
      <c r="AP571" s="1" t="s">
        <v>297</v>
      </c>
      <c r="AQ571" s="1">
        <v>2.0000000000000001E-4</v>
      </c>
      <c r="AR571" s="1">
        <v>2.0000000000000001E-4</v>
      </c>
      <c r="AS571" s="1" t="s">
        <v>297</v>
      </c>
      <c r="AT571" s="1">
        <v>2.0000000000000001E-4</v>
      </c>
    </row>
    <row r="572" spans="36:46" x14ac:dyDescent="0.25">
      <c r="AJ572" s="1" t="s">
        <v>189</v>
      </c>
      <c r="AK572" s="1" t="s">
        <v>301</v>
      </c>
      <c r="AL572" s="1">
        <v>129</v>
      </c>
      <c r="AM572" s="1" t="s">
        <v>295</v>
      </c>
      <c r="AN572" s="1">
        <v>1.0833299999999999</v>
      </c>
      <c r="AO572" s="1" t="s">
        <v>296</v>
      </c>
      <c r="AP572" s="1" t="s">
        <v>297</v>
      </c>
      <c r="AQ572" s="1">
        <v>2.0000000000000001E-4</v>
      </c>
      <c r="AR572" s="1">
        <v>2.0000000000000001E-4</v>
      </c>
      <c r="AS572" s="1" t="s">
        <v>297</v>
      </c>
      <c r="AT572" s="1">
        <v>2.0000000000000001E-4</v>
      </c>
    </row>
    <row r="573" spans="36:46" x14ac:dyDescent="0.25">
      <c r="AJ573" s="1" t="s">
        <v>189</v>
      </c>
      <c r="AK573" s="1" t="s">
        <v>301</v>
      </c>
      <c r="AL573" s="1">
        <v>129</v>
      </c>
      <c r="AM573" s="1" t="s">
        <v>295</v>
      </c>
      <c r="AN573" s="1">
        <v>1.625</v>
      </c>
      <c r="AO573" s="1" t="s">
        <v>296</v>
      </c>
      <c r="AP573" s="1" t="s">
        <v>297</v>
      </c>
      <c r="AQ573" s="1">
        <v>2.0000000000000001E-4</v>
      </c>
      <c r="AR573" s="1">
        <v>2.0000000000000001E-4</v>
      </c>
      <c r="AS573" s="1" t="s">
        <v>297</v>
      </c>
      <c r="AT573" s="1">
        <v>2.0000000000000001E-4</v>
      </c>
    </row>
    <row r="574" spans="36:46" x14ac:dyDescent="0.25">
      <c r="AJ574" s="1" t="s">
        <v>189</v>
      </c>
      <c r="AK574" s="1" t="s">
        <v>301</v>
      </c>
      <c r="AL574" s="1">
        <v>129</v>
      </c>
      <c r="AM574" s="1" t="s">
        <v>295</v>
      </c>
      <c r="AN574" s="1">
        <v>2.1666699999999999</v>
      </c>
      <c r="AO574" s="1" t="s">
        <v>296</v>
      </c>
      <c r="AP574" s="1" t="s">
        <v>297</v>
      </c>
      <c r="AQ574" s="1">
        <v>2.0000000000000001E-4</v>
      </c>
      <c r="AR574" s="1">
        <v>2.0000000000000001E-4</v>
      </c>
      <c r="AS574" s="1" t="s">
        <v>297</v>
      </c>
      <c r="AT574" s="1">
        <v>2.0000000000000001E-4</v>
      </c>
    </row>
    <row r="575" spans="36:46" x14ac:dyDescent="0.25">
      <c r="AJ575" s="1" t="s">
        <v>189</v>
      </c>
      <c r="AK575" s="1" t="s">
        <v>301</v>
      </c>
      <c r="AL575" s="1">
        <v>129</v>
      </c>
      <c r="AM575" s="1" t="s">
        <v>295</v>
      </c>
      <c r="AN575" s="1">
        <v>2.7083300000000001</v>
      </c>
      <c r="AO575" s="1" t="s">
        <v>296</v>
      </c>
      <c r="AP575" s="1" t="s">
        <v>297</v>
      </c>
      <c r="AQ575" s="1">
        <v>2.0000000000000001E-4</v>
      </c>
      <c r="AR575" s="1">
        <v>3.0899999999999998E-4</v>
      </c>
      <c r="AS575" s="1" t="s">
        <v>297</v>
      </c>
      <c r="AT575" s="1">
        <v>2.0000000000000001E-4</v>
      </c>
    </row>
    <row r="576" spans="36:46" x14ac:dyDescent="0.25">
      <c r="AJ576" s="1" t="s">
        <v>189</v>
      </c>
      <c r="AK576" s="1" t="s">
        <v>301</v>
      </c>
      <c r="AL576" s="1">
        <v>129</v>
      </c>
      <c r="AM576" s="1" t="s">
        <v>295</v>
      </c>
      <c r="AN576" s="1">
        <v>3.25</v>
      </c>
      <c r="AO576" s="1" t="s">
        <v>296</v>
      </c>
      <c r="AP576" s="1" t="s">
        <v>297</v>
      </c>
      <c r="AQ576" s="1">
        <v>2.0000000000000001E-4</v>
      </c>
      <c r="AR576" s="1">
        <v>4.35E-4</v>
      </c>
      <c r="AS576" s="1" t="s">
        <v>297</v>
      </c>
      <c r="AT576" s="1">
        <v>2.0000000000000001E-4</v>
      </c>
    </row>
    <row r="577" spans="36:46" x14ac:dyDescent="0.25">
      <c r="AJ577" s="1" t="s">
        <v>189</v>
      </c>
      <c r="AK577" s="1" t="s">
        <v>302</v>
      </c>
      <c r="AL577" s="1">
        <v>132</v>
      </c>
      <c r="AM577" s="1" t="s">
        <v>295</v>
      </c>
      <c r="AN577" s="1">
        <v>0.15</v>
      </c>
      <c r="AO577" s="1" t="s">
        <v>298</v>
      </c>
      <c r="AP577" s="1" t="s">
        <v>297</v>
      </c>
      <c r="AQ577" s="1">
        <v>2.0000000000000001E-4</v>
      </c>
      <c r="AR577" s="1">
        <v>2.5099999999999998E-4</v>
      </c>
      <c r="AS577" s="1" t="s">
        <v>297</v>
      </c>
      <c r="AT577" s="1">
        <v>2.0000000000000001E-4</v>
      </c>
    </row>
    <row r="578" spans="36:46" x14ac:dyDescent="0.25">
      <c r="AJ578" s="1" t="s">
        <v>189</v>
      </c>
      <c r="AK578" s="1" t="s">
        <v>302</v>
      </c>
      <c r="AL578" s="1">
        <v>132</v>
      </c>
      <c r="AM578" s="1" t="s">
        <v>295</v>
      </c>
      <c r="AN578" s="1">
        <v>0.3</v>
      </c>
      <c r="AO578" s="1" t="s">
        <v>298</v>
      </c>
      <c r="AP578" s="1" t="s">
        <v>297</v>
      </c>
      <c r="AQ578" s="1">
        <v>2.0000000000000001E-4</v>
      </c>
      <c r="AR578" s="1">
        <v>2.0799999999999999E-4</v>
      </c>
      <c r="AS578" s="1" t="s">
        <v>297</v>
      </c>
      <c r="AT578" s="1">
        <v>2.0000000000000001E-4</v>
      </c>
    </row>
    <row r="579" spans="36:46" x14ac:dyDescent="0.25">
      <c r="AJ579" s="1" t="s">
        <v>189</v>
      </c>
      <c r="AK579" s="1" t="s">
        <v>302</v>
      </c>
      <c r="AL579" s="1">
        <v>132</v>
      </c>
      <c r="AM579" s="1" t="s">
        <v>295</v>
      </c>
      <c r="AN579" s="1">
        <v>0.45</v>
      </c>
      <c r="AO579" s="1" t="s">
        <v>298</v>
      </c>
      <c r="AP579" s="1" t="s">
        <v>297</v>
      </c>
      <c r="AQ579" s="1">
        <v>2.0000000000000001E-4</v>
      </c>
      <c r="AR579" s="1">
        <v>2.0000000000000001E-4</v>
      </c>
      <c r="AS579" s="1" t="s">
        <v>297</v>
      </c>
      <c r="AT579" s="1">
        <v>2.0000000000000001E-4</v>
      </c>
    </row>
    <row r="580" spans="36:46" x14ac:dyDescent="0.25">
      <c r="AJ580" s="1" t="s">
        <v>189</v>
      </c>
      <c r="AK580" s="1" t="s">
        <v>302</v>
      </c>
      <c r="AL580" s="1">
        <v>132</v>
      </c>
      <c r="AM580" s="1" t="s">
        <v>295</v>
      </c>
      <c r="AN580" s="1">
        <v>0.6</v>
      </c>
      <c r="AO580" s="1" t="s">
        <v>298</v>
      </c>
      <c r="AP580" s="1" t="s">
        <v>297</v>
      </c>
      <c r="AQ580" s="1">
        <v>2.0000000000000001E-4</v>
      </c>
      <c r="AR580" s="1">
        <v>2.0000000000000001E-4</v>
      </c>
      <c r="AS580" s="1" t="s">
        <v>297</v>
      </c>
      <c r="AT580" s="1">
        <v>2.0000000000000001E-4</v>
      </c>
    </row>
    <row r="581" spans="36:46" x14ac:dyDescent="0.25">
      <c r="AJ581" s="1" t="s">
        <v>189</v>
      </c>
      <c r="AK581" s="1" t="s">
        <v>302</v>
      </c>
      <c r="AL581" s="1">
        <v>132</v>
      </c>
      <c r="AM581" s="1" t="s">
        <v>295</v>
      </c>
      <c r="AN581" s="1">
        <v>0.75</v>
      </c>
      <c r="AO581" s="1" t="s">
        <v>298</v>
      </c>
      <c r="AP581" s="1" t="s">
        <v>297</v>
      </c>
      <c r="AQ581" s="1">
        <v>2.0000000000000001E-4</v>
      </c>
      <c r="AR581" s="1">
        <v>2.0000000000000001E-4</v>
      </c>
      <c r="AS581" s="1" t="s">
        <v>297</v>
      </c>
      <c r="AT581" s="1">
        <v>2.0000000000000001E-4</v>
      </c>
    </row>
    <row r="582" spans="36:46" x14ac:dyDescent="0.25">
      <c r="AJ582" s="1" t="s">
        <v>189</v>
      </c>
      <c r="AK582" s="1" t="s">
        <v>302</v>
      </c>
      <c r="AL582" s="1">
        <v>132</v>
      </c>
      <c r="AM582" s="1" t="s">
        <v>295</v>
      </c>
      <c r="AN582" s="1">
        <v>0.9</v>
      </c>
      <c r="AO582" s="1" t="s">
        <v>298</v>
      </c>
      <c r="AP582" s="1" t="s">
        <v>297</v>
      </c>
      <c r="AQ582" s="1">
        <v>2.0000000000000001E-4</v>
      </c>
      <c r="AR582" s="1">
        <v>2.0000000000000001E-4</v>
      </c>
      <c r="AS582" s="1" t="s">
        <v>297</v>
      </c>
      <c r="AT582" s="1">
        <v>2.0000000000000001E-4</v>
      </c>
    </row>
    <row r="583" spans="36:46" x14ac:dyDescent="0.25">
      <c r="AJ583" s="1" t="s">
        <v>189</v>
      </c>
      <c r="AK583" s="1" t="s">
        <v>302</v>
      </c>
      <c r="AL583" s="1">
        <v>132</v>
      </c>
      <c r="AM583" s="1" t="s">
        <v>295</v>
      </c>
      <c r="AN583" s="1">
        <v>1.05</v>
      </c>
      <c r="AO583" s="1" t="s">
        <v>298</v>
      </c>
      <c r="AP583" s="1" t="s">
        <v>297</v>
      </c>
      <c r="AQ583" s="1">
        <v>2.0000000000000001E-4</v>
      </c>
      <c r="AR583" s="1">
        <v>2.0000000000000001E-4</v>
      </c>
      <c r="AS583" s="1" t="s">
        <v>297</v>
      </c>
      <c r="AT583" s="1">
        <v>2.0000000000000001E-4</v>
      </c>
    </row>
    <row r="584" spans="36:46" x14ac:dyDescent="0.25">
      <c r="AJ584" s="1" t="s">
        <v>189</v>
      </c>
      <c r="AK584" s="1" t="s">
        <v>303</v>
      </c>
      <c r="AL584" s="1">
        <v>66</v>
      </c>
      <c r="AM584" s="1" t="s">
        <v>295</v>
      </c>
      <c r="AN584" s="1">
        <v>0.15</v>
      </c>
      <c r="AO584" s="1" t="s">
        <v>298</v>
      </c>
      <c r="AP584" s="1" t="s">
        <v>297</v>
      </c>
      <c r="AQ584" s="1">
        <v>2.0000000000000001E-4</v>
      </c>
      <c r="AR584" s="1">
        <v>1.0250000000000001E-3</v>
      </c>
      <c r="AS584" s="1" t="s">
        <v>297</v>
      </c>
      <c r="AT584" s="1">
        <v>2.0000000000000001E-4</v>
      </c>
    </row>
    <row r="585" spans="36:46" x14ac:dyDescent="0.25">
      <c r="AJ585" s="1" t="s">
        <v>189</v>
      </c>
      <c r="AK585" s="1" t="s">
        <v>303</v>
      </c>
      <c r="AL585" s="1">
        <v>66</v>
      </c>
      <c r="AM585" s="1" t="s">
        <v>295</v>
      </c>
      <c r="AN585" s="1">
        <v>1.23333</v>
      </c>
      <c r="AO585" s="1" t="s">
        <v>298</v>
      </c>
      <c r="AP585" s="1" t="s">
        <v>297</v>
      </c>
      <c r="AQ585" s="1">
        <v>2.0000000000000001E-4</v>
      </c>
      <c r="AR585" s="1">
        <v>4.0400000000000001E-4</v>
      </c>
      <c r="AS585" s="1" t="s">
        <v>297</v>
      </c>
      <c r="AT585" s="1">
        <v>2.0000000000000001E-4</v>
      </c>
    </row>
    <row r="586" spans="36:46" x14ac:dyDescent="0.25">
      <c r="AJ586" s="1" t="s">
        <v>189</v>
      </c>
      <c r="AK586" s="1" t="s">
        <v>303</v>
      </c>
      <c r="AL586" s="1">
        <v>66</v>
      </c>
      <c r="AM586" s="1" t="s">
        <v>295</v>
      </c>
      <c r="AN586" s="1">
        <v>2.3166699999999998</v>
      </c>
      <c r="AO586" s="1" t="s">
        <v>298</v>
      </c>
      <c r="AP586" s="1" t="s">
        <v>297</v>
      </c>
      <c r="AQ586" s="1">
        <v>2.0000000000000001E-4</v>
      </c>
      <c r="AR586" s="1">
        <v>2.5900000000000001E-4</v>
      </c>
      <c r="AS586" s="1" t="s">
        <v>297</v>
      </c>
      <c r="AT586" s="1">
        <v>2.0000000000000001E-4</v>
      </c>
    </row>
    <row r="587" spans="36:46" x14ac:dyDescent="0.25">
      <c r="AJ587" s="1" t="s">
        <v>189</v>
      </c>
      <c r="AK587" s="1" t="s">
        <v>303</v>
      </c>
      <c r="AL587" s="1">
        <v>66</v>
      </c>
      <c r="AM587" s="1" t="s">
        <v>295</v>
      </c>
      <c r="AN587" s="1">
        <v>3.25</v>
      </c>
      <c r="AO587" s="1" t="s">
        <v>298</v>
      </c>
      <c r="AP587" s="1" t="s">
        <v>297</v>
      </c>
      <c r="AQ587" s="1">
        <v>2.0000000000000001E-4</v>
      </c>
      <c r="AR587" s="1">
        <v>2.5900000000000001E-4</v>
      </c>
      <c r="AS587" s="1" t="s">
        <v>297</v>
      </c>
      <c r="AT587" s="1">
        <v>2.0000000000000001E-4</v>
      </c>
    </row>
    <row r="588" spans="36:46" x14ac:dyDescent="0.25">
      <c r="AJ588" s="1" t="s">
        <v>189</v>
      </c>
      <c r="AK588" s="1" t="s">
        <v>303</v>
      </c>
      <c r="AL588" s="1">
        <v>66</v>
      </c>
      <c r="AM588" s="1" t="s">
        <v>295</v>
      </c>
      <c r="AN588" s="1">
        <v>3.25</v>
      </c>
      <c r="AO588" s="1" t="s">
        <v>298</v>
      </c>
      <c r="AP588" s="1" t="s">
        <v>297</v>
      </c>
      <c r="AQ588" s="1">
        <v>2.0000000000000001E-4</v>
      </c>
      <c r="AR588" s="1">
        <v>2.5900000000000001E-4</v>
      </c>
      <c r="AS588" s="1" t="s">
        <v>297</v>
      </c>
      <c r="AT588" s="1">
        <v>2.0000000000000001E-4</v>
      </c>
    </row>
    <row r="589" spans="36:46" x14ac:dyDescent="0.25">
      <c r="AJ589" s="1" t="s">
        <v>189</v>
      </c>
      <c r="AK589" s="1" t="s">
        <v>303</v>
      </c>
      <c r="AL589" s="1">
        <v>66</v>
      </c>
      <c r="AM589" s="1" t="s">
        <v>295</v>
      </c>
      <c r="AN589" s="1">
        <v>3.4</v>
      </c>
      <c r="AO589" s="1" t="s">
        <v>298</v>
      </c>
      <c r="AP589" s="1" t="s">
        <v>297</v>
      </c>
      <c r="AQ589" s="1">
        <v>2.0000000000000001E-4</v>
      </c>
      <c r="AR589" s="1">
        <v>2.5900000000000001E-4</v>
      </c>
      <c r="AS589" s="1" t="s">
        <v>297</v>
      </c>
      <c r="AT589" s="1">
        <v>2.0000000000000001E-4</v>
      </c>
    </row>
    <row r="590" spans="36:46" x14ac:dyDescent="0.25">
      <c r="AJ590" s="1" t="s">
        <v>189</v>
      </c>
      <c r="AK590" s="1" t="s">
        <v>303</v>
      </c>
      <c r="AL590" s="1">
        <v>66</v>
      </c>
      <c r="AM590" s="1" t="s">
        <v>295</v>
      </c>
      <c r="AN590" s="1">
        <v>4.4833299999999996</v>
      </c>
      <c r="AO590" s="1" t="s">
        <v>298</v>
      </c>
      <c r="AP590" s="1" t="s">
        <v>297</v>
      </c>
      <c r="AQ590" s="1">
        <v>2.0000000000000001E-4</v>
      </c>
      <c r="AR590" s="1">
        <v>2.5900000000000001E-4</v>
      </c>
      <c r="AS590" s="1" t="s">
        <v>297</v>
      </c>
      <c r="AT590" s="1">
        <v>2.0000000000000001E-4</v>
      </c>
    </row>
    <row r="591" spans="36:46" x14ac:dyDescent="0.25">
      <c r="AJ591" s="1" t="s">
        <v>189</v>
      </c>
      <c r="AK591" s="1" t="s">
        <v>303</v>
      </c>
      <c r="AL591" s="1">
        <v>66</v>
      </c>
      <c r="AM591" s="1" t="s">
        <v>295</v>
      </c>
      <c r="AN591" s="1">
        <v>5.5666700000000002</v>
      </c>
      <c r="AO591" s="1" t="s">
        <v>298</v>
      </c>
      <c r="AP591" s="1" t="s">
        <v>297</v>
      </c>
      <c r="AQ591" s="1">
        <v>2.0000000000000001E-4</v>
      </c>
      <c r="AR591" s="1">
        <v>5.1199999999999998E-4</v>
      </c>
      <c r="AS591" s="1" t="s">
        <v>297</v>
      </c>
      <c r="AT591" s="1">
        <v>2.0000000000000001E-4</v>
      </c>
    </row>
    <row r="592" spans="36:46" x14ac:dyDescent="0.25">
      <c r="AJ592" s="1" t="s">
        <v>189</v>
      </c>
      <c r="AK592" s="1" t="s">
        <v>303</v>
      </c>
      <c r="AL592" s="1">
        <v>66</v>
      </c>
      <c r="AM592" s="1" t="s">
        <v>295</v>
      </c>
      <c r="AN592" s="1">
        <v>6.65</v>
      </c>
      <c r="AO592" s="1" t="s">
        <v>298</v>
      </c>
      <c r="AP592" s="1" t="s">
        <v>297</v>
      </c>
      <c r="AQ592" s="1">
        <v>2.0000000000000001E-4</v>
      </c>
      <c r="AR592" s="1">
        <v>1.204E-3</v>
      </c>
      <c r="AS592" s="1" t="s">
        <v>297</v>
      </c>
      <c r="AT592" s="1">
        <v>2.0000000000000001E-4</v>
      </c>
    </row>
  </sheetData>
  <mergeCells count="2416">
    <mergeCell ref="AV4:AV5"/>
    <mergeCell ref="O14:P14"/>
    <mergeCell ref="Q14:R14"/>
    <mergeCell ref="S14:T14"/>
    <mergeCell ref="B15:C15"/>
    <mergeCell ref="H15:I15"/>
    <mergeCell ref="O15:P15"/>
    <mergeCell ref="Q15:R15"/>
    <mergeCell ref="S15:T15"/>
    <mergeCell ref="Q3:U3"/>
    <mergeCell ref="B5:T6"/>
    <mergeCell ref="O11:P11"/>
    <mergeCell ref="O10:P10"/>
    <mergeCell ref="O9:P9"/>
    <mergeCell ref="H11:I11"/>
    <mergeCell ref="H10:I10"/>
    <mergeCell ref="H9:I9"/>
    <mergeCell ref="Q11:R11"/>
    <mergeCell ref="A1:E3"/>
    <mergeCell ref="F1:G2"/>
    <mergeCell ref="H1:N2"/>
    <mergeCell ref="O1:P1"/>
    <mergeCell ref="Q1:U1"/>
    <mergeCell ref="O2:P2"/>
    <mergeCell ref="Q2:U2"/>
    <mergeCell ref="F3:G3"/>
    <mergeCell ref="H3:N3"/>
    <mergeCell ref="O3:P3"/>
    <mergeCell ref="N21:O21"/>
    <mergeCell ref="N22:O22"/>
    <mergeCell ref="B21:C22"/>
    <mergeCell ref="B23:C23"/>
    <mergeCell ref="D21:E21"/>
    <mergeCell ref="D22:E22"/>
    <mergeCell ref="D23:E23"/>
    <mergeCell ref="F21:G21"/>
    <mergeCell ref="F22:G22"/>
    <mergeCell ref="H21:I21"/>
    <mergeCell ref="S11:T11"/>
    <mergeCell ref="T21:U22"/>
    <mergeCell ref="B8:T8"/>
    <mergeCell ref="B9:C10"/>
    <mergeCell ref="B11:C11"/>
    <mergeCell ref="J9:N9"/>
    <mergeCell ref="Q9:R10"/>
    <mergeCell ref="A17:U18"/>
    <mergeCell ref="A21:A22"/>
    <mergeCell ref="A20:U20"/>
    <mergeCell ref="B12:C12"/>
    <mergeCell ref="H12:I12"/>
    <mergeCell ref="O12:P12"/>
    <mergeCell ref="Q12:R12"/>
    <mergeCell ref="S12:T12"/>
    <mergeCell ref="B13:C13"/>
    <mergeCell ref="H13:I13"/>
    <mergeCell ref="O13:P13"/>
    <mergeCell ref="Q13:R13"/>
    <mergeCell ref="S13:T13"/>
    <mergeCell ref="B14:C14"/>
    <mergeCell ref="H14:I14"/>
    <mergeCell ref="N24:O24"/>
    <mergeCell ref="P24:Q24"/>
    <mergeCell ref="R24:S24"/>
    <mergeCell ref="T24:U24"/>
    <mergeCell ref="B25:C25"/>
    <mergeCell ref="D25:E25"/>
    <mergeCell ref="F25:G25"/>
    <mergeCell ref="H25:I25"/>
    <mergeCell ref="J25:K25"/>
    <mergeCell ref="L25:M25"/>
    <mergeCell ref="B24:C24"/>
    <mergeCell ref="D24:E24"/>
    <mergeCell ref="F24:G24"/>
    <mergeCell ref="H24:I24"/>
    <mergeCell ref="J24:K24"/>
    <mergeCell ref="L24:M24"/>
    <mergeCell ref="R21:S21"/>
    <mergeCell ref="P21:Q22"/>
    <mergeCell ref="P23:Q23"/>
    <mergeCell ref="T23:U23"/>
    <mergeCell ref="R22:S22"/>
    <mergeCell ref="R23:S23"/>
    <mergeCell ref="F23:G23"/>
    <mergeCell ref="H23:I23"/>
    <mergeCell ref="J23:K23"/>
    <mergeCell ref="L23:M23"/>
    <mergeCell ref="N23:O23"/>
    <mergeCell ref="H22:I22"/>
    <mergeCell ref="J21:K21"/>
    <mergeCell ref="J22:K22"/>
    <mergeCell ref="L21:M21"/>
    <mergeCell ref="L22:M22"/>
    <mergeCell ref="N26:O26"/>
    <mergeCell ref="P26:Q26"/>
    <mergeCell ref="R26:S26"/>
    <mergeCell ref="T26:U26"/>
    <mergeCell ref="B27:C27"/>
    <mergeCell ref="D27:E27"/>
    <mergeCell ref="F27:G27"/>
    <mergeCell ref="H27:I27"/>
    <mergeCell ref="J27:K27"/>
    <mergeCell ref="L27:M27"/>
    <mergeCell ref="N25:O25"/>
    <mergeCell ref="P25:Q25"/>
    <mergeCell ref="R25:S25"/>
    <mergeCell ref="T25:U25"/>
    <mergeCell ref="B26:C26"/>
    <mergeCell ref="D26:E26"/>
    <mergeCell ref="F26:G26"/>
    <mergeCell ref="H26:I26"/>
    <mergeCell ref="J26:K26"/>
    <mergeCell ref="L26:M26"/>
    <mergeCell ref="N28:O28"/>
    <mergeCell ref="P28:Q28"/>
    <mergeCell ref="R28:S28"/>
    <mergeCell ref="T28:U28"/>
    <mergeCell ref="B29:C29"/>
    <mergeCell ref="D29:E29"/>
    <mergeCell ref="F29:G29"/>
    <mergeCell ref="H29:I29"/>
    <mergeCell ref="J29:K29"/>
    <mergeCell ref="L29:M29"/>
    <mergeCell ref="N27:O27"/>
    <mergeCell ref="P27:Q27"/>
    <mergeCell ref="R27:S27"/>
    <mergeCell ref="T27:U27"/>
    <mergeCell ref="B28:C28"/>
    <mergeCell ref="D28:E28"/>
    <mergeCell ref="F28:G28"/>
    <mergeCell ref="H28:I28"/>
    <mergeCell ref="J28:K28"/>
    <mergeCell ref="L28:M28"/>
    <mergeCell ref="N30:O30"/>
    <mergeCell ref="P30:Q30"/>
    <mergeCell ref="R30:S30"/>
    <mergeCell ref="T30:U30"/>
    <mergeCell ref="B31:C31"/>
    <mergeCell ref="D31:E31"/>
    <mergeCell ref="F31:G31"/>
    <mergeCell ref="H31:I31"/>
    <mergeCell ref="J31:K31"/>
    <mergeCell ref="L31:M31"/>
    <mergeCell ref="N29:O29"/>
    <mergeCell ref="P29:Q29"/>
    <mergeCell ref="R29:S29"/>
    <mergeCell ref="T29:U29"/>
    <mergeCell ref="B30:C30"/>
    <mergeCell ref="D30:E30"/>
    <mergeCell ref="F30:G30"/>
    <mergeCell ref="H30:I30"/>
    <mergeCell ref="J30:K30"/>
    <mergeCell ref="L30:M30"/>
    <mergeCell ref="N32:O32"/>
    <mergeCell ref="P32:Q32"/>
    <mergeCell ref="R32:S32"/>
    <mergeCell ref="T32:U32"/>
    <mergeCell ref="B33:C33"/>
    <mergeCell ref="D33:E33"/>
    <mergeCell ref="F33:G33"/>
    <mergeCell ref="H33:I33"/>
    <mergeCell ref="J33:K33"/>
    <mergeCell ref="L33:M33"/>
    <mergeCell ref="N31:O31"/>
    <mergeCell ref="P31:Q31"/>
    <mergeCell ref="R31:S31"/>
    <mergeCell ref="T31:U31"/>
    <mergeCell ref="B32:C32"/>
    <mergeCell ref="D32:E32"/>
    <mergeCell ref="F32:G32"/>
    <mergeCell ref="H32:I32"/>
    <mergeCell ref="J32:K32"/>
    <mergeCell ref="L32:M32"/>
    <mergeCell ref="N34:O34"/>
    <mergeCell ref="P34:Q34"/>
    <mergeCell ref="R34:S34"/>
    <mergeCell ref="T34:U34"/>
    <mergeCell ref="B35:C35"/>
    <mergeCell ref="D35:E35"/>
    <mergeCell ref="F35:G35"/>
    <mergeCell ref="H35:I35"/>
    <mergeCell ref="J35:K35"/>
    <mergeCell ref="L35:M35"/>
    <mergeCell ref="N33:O33"/>
    <mergeCell ref="P33:Q33"/>
    <mergeCell ref="R33:S33"/>
    <mergeCell ref="T33:U33"/>
    <mergeCell ref="B34:C34"/>
    <mergeCell ref="D34:E34"/>
    <mergeCell ref="F34:G34"/>
    <mergeCell ref="H34:I34"/>
    <mergeCell ref="J34:K34"/>
    <mergeCell ref="L34:M34"/>
    <mergeCell ref="N36:O36"/>
    <mergeCell ref="P36:Q36"/>
    <mergeCell ref="R36:S36"/>
    <mergeCell ref="T36:U36"/>
    <mergeCell ref="B37:C37"/>
    <mergeCell ref="D37:E37"/>
    <mergeCell ref="F37:G37"/>
    <mergeCell ref="H37:I37"/>
    <mergeCell ref="J37:K37"/>
    <mergeCell ref="L37:M37"/>
    <mergeCell ref="N35:O35"/>
    <mergeCell ref="P35:Q35"/>
    <mergeCell ref="R35:S35"/>
    <mergeCell ref="T35:U35"/>
    <mergeCell ref="B36:C36"/>
    <mergeCell ref="D36:E36"/>
    <mergeCell ref="F36:G36"/>
    <mergeCell ref="H36:I36"/>
    <mergeCell ref="J36:K36"/>
    <mergeCell ref="L36:M36"/>
    <mergeCell ref="N38:O38"/>
    <mergeCell ref="P38:Q38"/>
    <mergeCell ref="R38:S38"/>
    <mergeCell ref="T38:U38"/>
    <mergeCell ref="B39:C39"/>
    <mergeCell ref="D39:E39"/>
    <mergeCell ref="F39:G39"/>
    <mergeCell ref="H39:I39"/>
    <mergeCell ref="J39:K39"/>
    <mergeCell ref="L39:M39"/>
    <mergeCell ref="N37:O37"/>
    <mergeCell ref="P37:Q37"/>
    <mergeCell ref="R37:S37"/>
    <mergeCell ref="T37:U37"/>
    <mergeCell ref="B38:C38"/>
    <mergeCell ref="D38:E38"/>
    <mergeCell ref="F38:G38"/>
    <mergeCell ref="H38:I38"/>
    <mergeCell ref="J38:K38"/>
    <mergeCell ref="L38:M38"/>
    <mergeCell ref="N40:O40"/>
    <mergeCell ref="P40:Q40"/>
    <mergeCell ref="R40:S40"/>
    <mergeCell ref="T40:U40"/>
    <mergeCell ref="B41:C41"/>
    <mergeCell ref="D41:E41"/>
    <mergeCell ref="F41:G41"/>
    <mergeCell ref="H41:I41"/>
    <mergeCell ref="J41:K41"/>
    <mergeCell ref="L41:M41"/>
    <mergeCell ref="N39:O39"/>
    <mergeCell ref="P39:Q39"/>
    <mergeCell ref="R39:S39"/>
    <mergeCell ref="T39:U39"/>
    <mergeCell ref="B40:C40"/>
    <mergeCell ref="D40:E40"/>
    <mergeCell ref="F40:G40"/>
    <mergeCell ref="H40:I40"/>
    <mergeCell ref="J40:K40"/>
    <mergeCell ref="L40:M40"/>
    <mergeCell ref="N42:O42"/>
    <mergeCell ref="P42:Q42"/>
    <mergeCell ref="R42:S42"/>
    <mergeCell ref="T42:U42"/>
    <mergeCell ref="B43:C43"/>
    <mergeCell ref="D43:E43"/>
    <mergeCell ref="F43:G43"/>
    <mergeCell ref="H43:I43"/>
    <mergeCell ref="J43:K43"/>
    <mergeCell ref="L43:M43"/>
    <mergeCell ref="N41:O41"/>
    <mergeCell ref="P41:Q41"/>
    <mergeCell ref="R41:S41"/>
    <mergeCell ref="T41:U41"/>
    <mergeCell ref="B42:C42"/>
    <mergeCell ref="D42:E42"/>
    <mergeCell ref="F42:G42"/>
    <mergeCell ref="H42:I42"/>
    <mergeCell ref="J42:K42"/>
    <mergeCell ref="L42:M42"/>
    <mergeCell ref="N44:O44"/>
    <mergeCell ref="P44:Q44"/>
    <mergeCell ref="R44:S44"/>
    <mergeCell ref="T44:U44"/>
    <mergeCell ref="B45:C45"/>
    <mergeCell ref="D45:E45"/>
    <mergeCell ref="F45:G45"/>
    <mergeCell ref="H45:I45"/>
    <mergeCell ref="J45:K45"/>
    <mergeCell ref="L45:M45"/>
    <mergeCell ref="N43:O43"/>
    <mergeCell ref="P43:Q43"/>
    <mergeCell ref="R43:S43"/>
    <mergeCell ref="T43:U43"/>
    <mergeCell ref="B44:C44"/>
    <mergeCell ref="D44:E44"/>
    <mergeCell ref="F44:G44"/>
    <mergeCell ref="H44:I44"/>
    <mergeCell ref="J44:K44"/>
    <mergeCell ref="L44:M44"/>
    <mergeCell ref="N46:O46"/>
    <mergeCell ref="P46:Q46"/>
    <mergeCell ref="R46:S46"/>
    <mergeCell ref="T46:U46"/>
    <mergeCell ref="B47:C47"/>
    <mergeCell ref="D47:E47"/>
    <mergeCell ref="F47:G47"/>
    <mergeCell ref="H47:I47"/>
    <mergeCell ref="J47:K47"/>
    <mergeCell ref="L47:M47"/>
    <mergeCell ref="N45:O45"/>
    <mergeCell ref="P45:Q45"/>
    <mergeCell ref="R45:S45"/>
    <mergeCell ref="T45:U45"/>
    <mergeCell ref="B46:C46"/>
    <mergeCell ref="D46:E46"/>
    <mergeCell ref="F46:G46"/>
    <mergeCell ref="H46:I46"/>
    <mergeCell ref="J46:K46"/>
    <mergeCell ref="L46:M46"/>
    <mergeCell ref="N48:O48"/>
    <mergeCell ref="P48:Q48"/>
    <mergeCell ref="R48:S48"/>
    <mergeCell ref="T48:U48"/>
    <mergeCell ref="B49:C49"/>
    <mergeCell ref="D49:E49"/>
    <mergeCell ref="F49:G49"/>
    <mergeCell ref="H49:I49"/>
    <mergeCell ref="J49:K49"/>
    <mergeCell ref="L49:M49"/>
    <mergeCell ref="N47:O47"/>
    <mergeCell ref="P47:Q47"/>
    <mergeCell ref="R47:S47"/>
    <mergeCell ref="T47:U47"/>
    <mergeCell ref="B48:C48"/>
    <mergeCell ref="D48:E48"/>
    <mergeCell ref="F48:G48"/>
    <mergeCell ref="H48:I48"/>
    <mergeCell ref="J48:K48"/>
    <mergeCell ref="L48:M48"/>
    <mergeCell ref="N50:O50"/>
    <mergeCell ref="P50:Q50"/>
    <mergeCell ref="R50:S50"/>
    <mergeCell ref="T50:U50"/>
    <mergeCell ref="B51:C51"/>
    <mergeCell ref="D51:E51"/>
    <mergeCell ref="F51:G51"/>
    <mergeCell ref="H51:I51"/>
    <mergeCell ref="J51:K51"/>
    <mergeCell ref="L51:M51"/>
    <mergeCell ref="N49:O49"/>
    <mergeCell ref="P49:Q49"/>
    <mergeCell ref="R49:S49"/>
    <mergeCell ref="T49:U49"/>
    <mergeCell ref="B50:C50"/>
    <mergeCell ref="D50:E50"/>
    <mergeCell ref="F50:G50"/>
    <mergeCell ref="H50:I50"/>
    <mergeCell ref="J50:K50"/>
    <mergeCell ref="L50:M50"/>
    <mergeCell ref="N52:O52"/>
    <mergeCell ref="P52:Q52"/>
    <mergeCell ref="R52:S52"/>
    <mergeCell ref="T52:U52"/>
    <mergeCell ref="B53:C53"/>
    <mergeCell ref="D53:E53"/>
    <mergeCell ref="F53:G53"/>
    <mergeCell ref="H53:I53"/>
    <mergeCell ref="J53:K53"/>
    <mergeCell ref="L53:M53"/>
    <mergeCell ref="N51:O51"/>
    <mergeCell ref="P51:Q51"/>
    <mergeCell ref="R51:S51"/>
    <mergeCell ref="T51:U51"/>
    <mergeCell ref="B52:C52"/>
    <mergeCell ref="D52:E52"/>
    <mergeCell ref="F52:G52"/>
    <mergeCell ref="H52:I52"/>
    <mergeCell ref="J52:K52"/>
    <mergeCell ref="L52:M52"/>
    <mergeCell ref="N54:O54"/>
    <mergeCell ref="P54:Q54"/>
    <mergeCell ref="R54:S54"/>
    <mergeCell ref="T54:U54"/>
    <mergeCell ref="B55:C55"/>
    <mergeCell ref="D55:E55"/>
    <mergeCell ref="F55:G55"/>
    <mergeCell ref="H55:I55"/>
    <mergeCell ref="J55:K55"/>
    <mergeCell ref="L55:M55"/>
    <mergeCell ref="N53:O53"/>
    <mergeCell ref="P53:Q53"/>
    <mergeCell ref="R53:S53"/>
    <mergeCell ref="T53:U53"/>
    <mergeCell ref="B54:C54"/>
    <mergeCell ref="D54:E54"/>
    <mergeCell ref="F54:G54"/>
    <mergeCell ref="H54:I54"/>
    <mergeCell ref="J54:K54"/>
    <mergeCell ref="L54:M54"/>
    <mergeCell ref="N56:O56"/>
    <mergeCell ref="P56:Q56"/>
    <mergeCell ref="R56:S56"/>
    <mergeCell ref="T56:U56"/>
    <mergeCell ref="B57:C57"/>
    <mergeCell ref="D57:E57"/>
    <mergeCell ref="F57:G57"/>
    <mergeCell ref="H57:I57"/>
    <mergeCell ref="J57:K57"/>
    <mergeCell ref="L57:M57"/>
    <mergeCell ref="N55:O55"/>
    <mergeCell ref="P55:Q55"/>
    <mergeCell ref="R55:S55"/>
    <mergeCell ref="T55:U55"/>
    <mergeCell ref="B56:C56"/>
    <mergeCell ref="D56:E56"/>
    <mergeCell ref="F56:G56"/>
    <mergeCell ref="H56:I56"/>
    <mergeCell ref="J56:K56"/>
    <mergeCell ref="L56:M56"/>
    <mergeCell ref="N58:O58"/>
    <mergeCell ref="P58:Q58"/>
    <mergeCell ref="R58:S58"/>
    <mergeCell ref="T58:U58"/>
    <mergeCell ref="B59:C59"/>
    <mergeCell ref="D59:E59"/>
    <mergeCell ref="F59:G59"/>
    <mergeCell ref="H59:I59"/>
    <mergeCell ref="J59:K59"/>
    <mergeCell ref="L59:M59"/>
    <mergeCell ref="N57:O57"/>
    <mergeCell ref="P57:Q57"/>
    <mergeCell ref="R57:S57"/>
    <mergeCell ref="T57:U57"/>
    <mergeCell ref="B58:C58"/>
    <mergeCell ref="D58:E58"/>
    <mergeCell ref="F58:G58"/>
    <mergeCell ref="H58:I58"/>
    <mergeCell ref="J58:K58"/>
    <mergeCell ref="L58:M58"/>
    <mergeCell ref="N60:O60"/>
    <mergeCell ref="P60:Q60"/>
    <mergeCell ref="R60:S60"/>
    <mergeCell ref="T60:U60"/>
    <mergeCell ref="B61:C61"/>
    <mergeCell ref="D61:E61"/>
    <mergeCell ref="F61:G61"/>
    <mergeCell ref="H61:I61"/>
    <mergeCell ref="J61:K61"/>
    <mergeCell ref="L61:M61"/>
    <mergeCell ref="N59:O59"/>
    <mergeCell ref="P59:Q59"/>
    <mergeCell ref="R59:S59"/>
    <mergeCell ref="T59:U59"/>
    <mergeCell ref="B60:C60"/>
    <mergeCell ref="D60:E60"/>
    <mergeCell ref="F60:G60"/>
    <mergeCell ref="H60:I60"/>
    <mergeCell ref="J60:K60"/>
    <mergeCell ref="L60:M60"/>
    <mergeCell ref="N62:O62"/>
    <mergeCell ref="P62:Q62"/>
    <mergeCell ref="R62:S62"/>
    <mergeCell ref="T62:U62"/>
    <mergeCell ref="B63:C63"/>
    <mergeCell ref="D63:E63"/>
    <mergeCell ref="F63:G63"/>
    <mergeCell ref="H63:I63"/>
    <mergeCell ref="J63:K63"/>
    <mergeCell ref="L63:M63"/>
    <mergeCell ref="N61:O61"/>
    <mergeCell ref="P61:Q61"/>
    <mergeCell ref="R61:S61"/>
    <mergeCell ref="T61:U61"/>
    <mergeCell ref="B62:C62"/>
    <mergeCell ref="D62:E62"/>
    <mergeCell ref="F62:G62"/>
    <mergeCell ref="H62:I62"/>
    <mergeCell ref="J62:K62"/>
    <mergeCell ref="L62:M62"/>
    <mergeCell ref="N64:O64"/>
    <mergeCell ref="P64:Q64"/>
    <mergeCell ref="R64:S64"/>
    <mergeCell ref="T64:U64"/>
    <mergeCell ref="B70:C70"/>
    <mergeCell ref="D70:E70"/>
    <mergeCell ref="F70:G70"/>
    <mergeCell ref="H70:I70"/>
    <mergeCell ref="J70:K70"/>
    <mergeCell ref="L70:M70"/>
    <mergeCell ref="N63:O63"/>
    <mergeCell ref="P63:Q63"/>
    <mergeCell ref="R63:S63"/>
    <mergeCell ref="T63:U63"/>
    <mergeCell ref="B64:C64"/>
    <mergeCell ref="D64:E64"/>
    <mergeCell ref="F64:G64"/>
    <mergeCell ref="H64:I64"/>
    <mergeCell ref="J64:K64"/>
    <mergeCell ref="L64:M64"/>
    <mergeCell ref="J68:K68"/>
    <mergeCell ref="L68:M68"/>
    <mergeCell ref="N68:O68"/>
    <mergeCell ref="P68:Q69"/>
    <mergeCell ref="R68:S68"/>
    <mergeCell ref="T68:U69"/>
    <mergeCell ref="R69:S69"/>
    <mergeCell ref="N71:O71"/>
    <mergeCell ref="P71:Q71"/>
    <mergeCell ref="R71:S71"/>
    <mergeCell ref="T71:U71"/>
    <mergeCell ref="B72:C72"/>
    <mergeCell ref="D72:E72"/>
    <mergeCell ref="F72:G72"/>
    <mergeCell ref="H72:I72"/>
    <mergeCell ref="J72:K72"/>
    <mergeCell ref="L72:M72"/>
    <mergeCell ref="N70:O70"/>
    <mergeCell ref="P70:Q70"/>
    <mergeCell ref="R70:S70"/>
    <mergeCell ref="T70:U70"/>
    <mergeCell ref="B71:C71"/>
    <mergeCell ref="D71:E71"/>
    <mergeCell ref="F71:G71"/>
    <mergeCell ref="H71:I71"/>
    <mergeCell ref="J71:K71"/>
    <mergeCell ref="L71:M71"/>
    <mergeCell ref="N73:O73"/>
    <mergeCell ref="P73:Q73"/>
    <mergeCell ref="R73:S73"/>
    <mergeCell ref="T73:U73"/>
    <mergeCell ref="B74:C74"/>
    <mergeCell ref="D74:E74"/>
    <mergeCell ref="F74:G74"/>
    <mergeCell ref="H74:I74"/>
    <mergeCell ref="J74:K74"/>
    <mergeCell ref="L74:M74"/>
    <mergeCell ref="N72:O72"/>
    <mergeCell ref="P72:Q72"/>
    <mergeCell ref="R72:S72"/>
    <mergeCell ref="T72:U72"/>
    <mergeCell ref="B73:C73"/>
    <mergeCell ref="D73:E73"/>
    <mergeCell ref="F73:G73"/>
    <mergeCell ref="H73:I73"/>
    <mergeCell ref="J73:K73"/>
    <mergeCell ref="L73:M73"/>
    <mergeCell ref="N75:O75"/>
    <mergeCell ref="P75:Q75"/>
    <mergeCell ref="R75:S75"/>
    <mergeCell ref="T75:U75"/>
    <mergeCell ref="B76:C76"/>
    <mergeCell ref="D76:E76"/>
    <mergeCell ref="F76:G76"/>
    <mergeCell ref="H76:I76"/>
    <mergeCell ref="J76:K76"/>
    <mergeCell ref="L76:M76"/>
    <mergeCell ref="N74:O74"/>
    <mergeCell ref="P74:Q74"/>
    <mergeCell ref="R74:S74"/>
    <mergeCell ref="T74:U74"/>
    <mergeCell ref="B75:C75"/>
    <mergeCell ref="D75:E75"/>
    <mergeCell ref="F75:G75"/>
    <mergeCell ref="H75:I75"/>
    <mergeCell ref="J75:K75"/>
    <mergeCell ref="L75:M75"/>
    <mergeCell ref="N77:O77"/>
    <mergeCell ref="P77:Q77"/>
    <mergeCell ref="R77:S77"/>
    <mergeCell ref="T77:U77"/>
    <mergeCell ref="B78:C78"/>
    <mergeCell ref="D78:E78"/>
    <mergeCell ref="F78:G78"/>
    <mergeCell ref="H78:I78"/>
    <mergeCell ref="J78:K78"/>
    <mergeCell ref="L78:M78"/>
    <mergeCell ref="N76:O76"/>
    <mergeCell ref="P76:Q76"/>
    <mergeCell ref="R76:S76"/>
    <mergeCell ref="T76:U76"/>
    <mergeCell ref="B77:C77"/>
    <mergeCell ref="D77:E77"/>
    <mergeCell ref="F77:G77"/>
    <mergeCell ref="H77:I77"/>
    <mergeCell ref="J77:K77"/>
    <mergeCell ref="L77:M77"/>
    <mergeCell ref="N79:O79"/>
    <mergeCell ref="P79:Q79"/>
    <mergeCell ref="R79:S79"/>
    <mergeCell ref="T79:U79"/>
    <mergeCell ref="B80:C80"/>
    <mergeCell ref="D80:E80"/>
    <mergeCell ref="F80:G80"/>
    <mergeCell ref="H80:I80"/>
    <mergeCell ref="J80:K80"/>
    <mergeCell ref="L80:M80"/>
    <mergeCell ref="N78:O78"/>
    <mergeCell ref="P78:Q78"/>
    <mergeCell ref="R78:S78"/>
    <mergeCell ref="T78:U78"/>
    <mergeCell ref="B79:C79"/>
    <mergeCell ref="D79:E79"/>
    <mergeCell ref="F79:G79"/>
    <mergeCell ref="H79:I79"/>
    <mergeCell ref="J79:K79"/>
    <mergeCell ref="L79:M79"/>
    <mergeCell ref="N81:O81"/>
    <mergeCell ref="P81:Q81"/>
    <mergeCell ref="R81:S81"/>
    <mergeCell ref="T81:U81"/>
    <mergeCell ref="B82:C82"/>
    <mergeCell ref="D82:E82"/>
    <mergeCell ref="F82:G82"/>
    <mergeCell ref="H82:I82"/>
    <mergeCell ref="J82:K82"/>
    <mergeCell ref="L82:M82"/>
    <mergeCell ref="N80:O80"/>
    <mergeCell ref="P80:Q80"/>
    <mergeCell ref="R80:S80"/>
    <mergeCell ref="T80:U80"/>
    <mergeCell ref="B81:C81"/>
    <mergeCell ref="D81:E81"/>
    <mergeCell ref="F81:G81"/>
    <mergeCell ref="H81:I81"/>
    <mergeCell ref="J81:K81"/>
    <mergeCell ref="L81:M81"/>
    <mergeCell ref="N83:O83"/>
    <mergeCell ref="P83:Q83"/>
    <mergeCell ref="R83:S83"/>
    <mergeCell ref="T83:U83"/>
    <mergeCell ref="B84:C84"/>
    <mergeCell ref="D84:E84"/>
    <mergeCell ref="F84:G84"/>
    <mergeCell ref="H84:I84"/>
    <mergeCell ref="J84:K84"/>
    <mergeCell ref="L84:M84"/>
    <mergeCell ref="N82:O82"/>
    <mergeCell ref="P82:Q82"/>
    <mergeCell ref="R82:S82"/>
    <mergeCell ref="T82:U82"/>
    <mergeCell ref="B83:C83"/>
    <mergeCell ref="D83:E83"/>
    <mergeCell ref="F83:G83"/>
    <mergeCell ref="H83:I83"/>
    <mergeCell ref="J83:K83"/>
    <mergeCell ref="L83:M83"/>
    <mergeCell ref="N85:O85"/>
    <mergeCell ref="P85:Q85"/>
    <mergeCell ref="R85:S85"/>
    <mergeCell ref="T85:U85"/>
    <mergeCell ref="B86:C86"/>
    <mergeCell ref="D86:E86"/>
    <mergeCell ref="F86:G86"/>
    <mergeCell ref="H86:I86"/>
    <mergeCell ref="J86:K86"/>
    <mergeCell ref="L86:M86"/>
    <mergeCell ref="N84:O84"/>
    <mergeCell ref="P84:Q84"/>
    <mergeCell ref="R84:S84"/>
    <mergeCell ref="T84:U84"/>
    <mergeCell ref="B85:C85"/>
    <mergeCell ref="D85:E85"/>
    <mergeCell ref="F85:G85"/>
    <mergeCell ref="H85:I85"/>
    <mergeCell ref="J85:K85"/>
    <mergeCell ref="L85:M85"/>
    <mergeCell ref="N87:O87"/>
    <mergeCell ref="P87:Q87"/>
    <mergeCell ref="R87:S87"/>
    <mergeCell ref="T87:U87"/>
    <mergeCell ref="B88:C88"/>
    <mergeCell ref="D88:E88"/>
    <mergeCell ref="F88:G88"/>
    <mergeCell ref="H88:I88"/>
    <mergeCell ref="J88:K88"/>
    <mergeCell ref="L88:M88"/>
    <mergeCell ref="N86:O86"/>
    <mergeCell ref="P86:Q86"/>
    <mergeCell ref="R86:S86"/>
    <mergeCell ref="T86:U86"/>
    <mergeCell ref="B87:C87"/>
    <mergeCell ref="D87:E87"/>
    <mergeCell ref="F87:G87"/>
    <mergeCell ref="H87:I87"/>
    <mergeCell ref="J87:K87"/>
    <mergeCell ref="L87:M87"/>
    <mergeCell ref="N89:O89"/>
    <mergeCell ref="P89:Q89"/>
    <mergeCell ref="R89:S89"/>
    <mergeCell ref="T89:U89"/>
    <mergeCell ref="B90:C90"/>
    <mergeCell ref="D90:E90"/>
    <mergeCell ref="F90:G90"/>
    <mergeCell ref="H90:I90"/>
    <mergeCell ref="J90:K90"/>
    <mergeCell ref="L90:M90"/>
    <mergeCell ref="N88:O88"/>
    <mergeCell ref="P88:Q88"/>
    <mergeCell ref="R88:S88"/>
    <mergeCell ref="T88:U88"/>
    <mergeCell ref="B89:C89"/>
    <mergeCell ref="D89:E89"/>
    <mergeCell ref="F89:G89"/>
    <mergeCell ref="H89:I89"/>
    <mergeCell ref="J89:K89"/>
    <mergeCell ref="L89:M89"/>
    <mergeCell ref="N91:O91"/>
    <mergeCell ref="P91:Q91"/>
    <mergeCell ref="R91:S91"/>
    <mergeCell ref="T91:U91"/>
    <mergeCell ref="B92:C92"/>
    <mergeCell ref="D92:E92"/>
    <mergeCell ref="F92:G92"/>
    <mergeCell ref="H92:I92"/>
    <mergeCell ref="J92:K92"/>
    <mergeCell ref="L92:M92"/>
    <mergeCell ref="N90:O90"/>
    <mergeCell ref="P90:Q90"/>
    <mergeCell ref="R90:S90"/>
    <mergeCell ref="T90:U90"/>
    <mergeCell ref="B91:C91"/>
    <mergeCell ref="D91:E91"/>
    <mergeCell ref="F91:G91"/>
    <mergeCell ref="H91:I91"/>
    <mergeCell ref="J91:K91"/>
    <mergeCell ref="L91:M91"/>
    <mergeCell ref="N93:O93"/>
    <mergeCell ref="P93:Q93"/>
    <mergeCell ref="R93:S93"/>
    <mergeCell ref="T93:U93"/>
    <mergeCell ref="B94:C94"/>
    <mergeCell ref="D94:E94"/>
    <mergeCell ref="F94:G94"/>
    <mergeCell ref="H94:I94"/>
    <mergeCell ref="J94:K94"/>
    <mergeCell ref="L94:M94"/>
    <mergeCell ref="N92:O92"/>
    <mergeCell ref="P92:Q92"/>
    <mergeCell ref="R92:S92"/>
    <mergeCell ref="T92:U92"/>
    <mergeCell ref="B93:C93"/>
    <mergeCell ref="D93:E93"/>
    <mergeCell ref="F93:G93"/>
    <mergeCell ref="H93:I93"/>
    <mergeCell ref="J93:K93"/>
    <mergeCell ref="L93:M93"/>
    <mergeCell ref="N95:O95"/>
    <mergeCell ref="P95:Q95"/>
    <mergeCell ref="R95:S95"/>
    <mergeCell ref="T95:U95"/>
    <mergeCell ref="B96:C96"/>
    <mergeCell ref="D96:E96"/>
    <mergeCell ref="F96:G96"/>
    <mergeCell ref="H96:I96"/>
    <mergeCell ref="J96:K96"/>
    <mergeCell ref="L96:M96"/>
    <mergeCell ref="N94:O94"/>
    <mergeCell ref="P94:Q94"/>
    <mergeCell ref="R94:S94"/>
    <mergeCell ref="T94:U94"/>
    <mergeCell ref="B95:C95"/>
    <mergeCell ref="D95:E95"/>
    <mergeCell ref="F95:G95"/>
    <mergeCell ref="H95:I95"/>
    <mergeCell ref="J95:K95"/>
    <mergeCell ref="L95:M95"/>
    <mergeCell ref="N97:O97"/>
    <mergeCell ref="P97:Q97"/>
    <mergeCell ref="R97:S97"/>
    <mergeCell ref="T97:U97"/>
    <mergeCell ref="B98:C98"/>
    <mergeCell ref="D98:E98"/>
    <mergeCell ref="F98:G98"/>
    <mergeCell ref="H98:I98"/>
    <mergeCell ref="J98:K98"/>
    <mergeCell ref="L98:M98"/>
    <mergeCell ref="N96:O96"/>
    <mergeCell ref="P96:Q96"/>
    <mergeCell ref="R96:S96"/>
    <mergeCell ref="T96:U96"/>
    <mergeCell ref="B97:C97"/>
    <mergeCell ref="D97:E97"/>
    <mergeCell ref="F97:G97"/>
    <mergeCell ref="H97:I97"/>
    <mergeCell ref="J97:K97"/>
    <mergeCell ref="L97:M97"/>
    <mergeCell ref="N99:O99"/>
    <mergeCell ref="P99:Q99"/>
    <mergeCell ref="R99:S99"/>
    <mergeCell ref="T99:U99"/>
    <mergeCell ref="B100:C100"/>
    <mergeCell ref="D100:E100"/>
    <mergeCell ref="F100:G100"/>
    <mergeCell ref="H100:I100"/>
    <mergeCell ref="J100:K100"/>
    <mergeCell ref="L100:M100"/>
    <mergeCell ref="N98:O98"/>
    <mergeCell ref="P98:Q98"/>
    <mergeCell ref="R98:S98"/>
    <mergeCell ref="T98:U98"/>
    <mergeCell ref="B99:C99"/>
    <mergeCell ref="D99:E99"/>
    <mergeCell ref="F99:G99"/>
    <mergeCell ref="H99:I99"/>
    <mergeCell ref="J99:K99"/>
    <mergeCell ref="L99:M99"/>
    <mergeCell ref="N101:O101"/>
    <mergeCell ref="P101:Q101"/>
    <mergeCell ref="R101:S101"/>
    <mergeCell ref="T101:U101"/>
    <mergeCell ref="B102:C102"/>
    <mergeCell ref="D102:E102"/>
    <mergeCell ref="F102:G102"/>
    <mergeCell ref="H102:I102"/>
    <mergeCell ref="J102:K102"/>
    <mergeCell ref="L102:M102"/>
    <mergeCell ref="N100:O100"/>
    <mergeCell ref="P100:Q100"/>
    <mergeCell ref="R100:S100"/>
    <mergeCell ref="T100:U100"/>
    <mergeCell ref="B101:C101"/>
    <mergeCell ref="D101:E101"/>
    <mergeCell ref="F101:G101"/>
    <mergeCell ref="H101:I101"/>
    <mergeCell ref="J101:K101"/>
    <mergeCell ref="L101:M101"/>
    <mergeCell ref="N103:O103"/>
    <mergeCell ref="P103:Q103"/>
    <mergeCell ref="R103:S103"/>
    <mergeCell ref="T103:U103"/>
    <mergeCell ref="B104:C104"/>
    <mergeCell ref="D104:E104"/>
    <mergeCell ref="F104:G104"/>
    <mergeCell ref="H104:I104"/>
    <mergeCell ref="J104:K104"/>
    <mergeCell ref="L104:M104"/>
    <mergeCell ref="N102:O102"/>
    <mergeCell ref="P102:Q102"/>
    <mergeCell ref="R102:S102"/>
    <mergeCell ref="T102:U102"/>
    <mergeCell ref="B103:C103"/>
    <mergeCell ref="D103:E103"/>
    <mergeCell ref="F103:G103"/>
    <mergeCell ref="H103:I103"/>
    <mergeCell ref="J103:K103"/>
    <mergeCell ref="L103:M103"/>
    <mergeCell ref="R105:S105"/>
    <mergeCell ref="T105:U105"/>
    <mergeCell ref="B106:C106"/>
    <mergeCell ref="D106:E106"/>
    <mergeCell ref="F106:G106"/>
    <mergeCell ref="H106:I106"/>
    <mergeCell ref="J106:K106"/>
    <mergeCell ref="L106:M106"/>
    <mergeCell ref="N104:O104"/>
    <mergeCell ref="P104:Q104"/>
    <mergeCell ref="R104:S104"/>
    <mergeCell ref="T104:U104"/>
    <mergeCell ref="B105:C105"/>
    <mergeCell ref="D105:E105"/>
    <mergeCell ref="F105:G105"/>
    <mergeCell ref="H105:I105"/>
    <mergeCell ref="J105:K105"/>
    <mergeCell ref="L105:M105"/>
    <mergeCell ref="N109:O109"/>
    <mergeCell ref="P109:Q109"/>
    <mergeCell ref="R109:S109"/>
    <mergeCell ref="T109:U109"/>
    <mergeCell ref="A67:U67"/>
    <mergeCell ref="A68:A69"/>
    <mergeCell ref="B68:C69"/>
    <mergeCell ref="D68:E68"/>
    <mergeCell ref="F68:G68"/>
    <mergeCell ref="H68:I68"/>
    <mergeCell ref="N108:O108"/>
    <mergeCell ref="P108:Q108"/>
    <mergeCell ref="R108:S108"/>
    <mergeCell ref="T108:U108"/>
    <mergeCell ref="B109:C109"/>
    <mergeCell ref="D109:E109"/>
    <mergeCell ref="F109:G109"/>
    <mergeCell ref="H109:I109"/>
    <mergeCell ref="J109:K109"/>
    <mergeCell ref="L109:M109"/>
    <mergeCell ref="N107:O107"/>
    <mergeCell ref="P107:Q107"/>
    <mergeCell ref="R107:S107"/>
    <mergeCell ref="T107:U107"/>
    <mergeCell ref="B108:C108"/>
    <mergeCell ref="D107:E107"/>
    <mergeCell ref="F107:G107"/>
    <mergeCell ref="H107:I107"/>
    <mergeCell ref="J107:K107"/>
    <mergeCell ref="L107:M107"/>
    <mergeCell ref="N105:O105"/>
    <mergeCell ref="P105:Q105"/>
    <mergeCell ref="N110:O110"/>
    <mergeCell ref="P110:Q110"/>
    <mergeCell ref="R110:S110"/>
    <mergeCell ref="T110:U110"/>
    <mergeCell ref="B111:C111"/>
    <mergeCell ref="D111:E111"/>
    <mergeCell ref="F111:G111"/>
    <mergeCell ref="H111:I111"/>
    <mergeCell ref="J111:K111"/>
    <mergeCell ref="L111:M111"/>
    <mergeCell ref="B110:C110"/>
    <mergeCell ref="D110:E110"/>
    <mergeCell ref="F110:G110"/>
    <mergeCell ref="H110:I110"/>
    <mergeCell ref="J110:K110"/>
    <mergeCell ref="L110:M110"/>
    <mergeCell ref="D69:E69"/>
    <mergeCell ref="F69:G69"/>
    <mergeCell ref="H69:I69"/>
    <mergeCell ref="J69:K69"/>
    <mergeCell ref="L69:M69"/>
    <mergeCell ref="N69:O69"/>
    <mergeCell ref="D108:E108"/>
    <mergeCell ref="F108:G108"/>
    <mergeCell ref="H108:I108"/>
    <mergeCell ref="J108:K108"/>
    <mergeCell ref="L108:M108"/>
    <mergeCell ref="N106:O106"/>
    <mergeCell ref="P106:Q106"/>
    <mergeCell ref="R106:S106"/>
    <mergeCell ref="T106:U106"/>
    <mergeCell ref="B107:C107"/>
    <mergeCell ref="N112:O112"/>
    <mergeCell ref="P112:Q112"/>
    <mergeCell ref="R112:S112"/>
    <mergeCell ref="T112:U112"/>
    <mergeCell ref="B113:C113"/>
    <mergeCell ref="D113:E113"/>
    <mergeCell ref="F113:G113"/>
    <mergeCell ref="H113:I113"/>
    <mergeCell ref="J113:K113"/>
    <mergeCell ref="L113:M113"/>
    <mergeCell ref="N111:O111"/>
    <mergeCell ref="P111:Q111"/>
    <mergeCell ref="R111:S111"/>
    <mergeCell ref="T111:U111"/>
    <mergeCell ref="B112:C112"/>
    <mergeCell ref="D112:E112"/>
    <mergeCell ref="F112:G112"/>
    <mergeCell ref="H112:I112"/>
    <mergeCell ref="J112:K112"/>
    <mergeCell ref="L112:M112"/>
    <mergeCell ref="N114:O114"/>
    <mergeCell ref="P114:Q114"/>
    <mergeCell ref="R114:S114"/>
    <mergeCell ref="T114:U114"/>
    <mergeCell ref="B115:C115"/>
    <mergeCell ref="D115:E115"/>
    <mergeCell ref="F115:G115"/>
    <mergeCell ref="H115:I115"/>
    <mergeCell ref="J115:K115"/>
    <mergeCell ref="L115:M115"/>
    <mergeCell ref="N113:O113"/>
    <mergeCell ref="P113:Q113"/>
    <mergeCell ref="R113:S113"/>
    <mergeCell ref="T113:U113"/>
    <mergeCell ref="B114:C114"/>
    <mergeCell ref="D114:E114"/>
    <mergeCell ref="F114:G114"/>
    <mergeCell ref="H114:I114"/>
    <mergeCell ref="J114:K114"/>
    <mergeCell ref="L114:M114"/>
    <mergeCell ref="N116:O116"/>
    <mergeCell ref="P116:Q116"/>
    <mergeCell ref="R116:S116"/>
    <mergeCell ref="T116:U116"/>
    <mergeCell ref="B117:C117"/>
    <mergeCell ref="D117:E117"/>
    <mergeCell ref="F117:G117"/>
    <mergeCell ref="H117:I117"/>
    <mergeCell ref="J117:K117"/>
    <mergeCell ref="L117:M117"/>
    <mergeCell ref="N115:O115"/>
    <mergeCell ref="P115:Q115"/>
    <mergeCell ref="R115:S115"/>
    <mergeCell ref="T115:U115"/>
    <mergeCell ref="B116:C116"/>
    <mergeCell ref="D116:E116"/>
    <mergeCell ref="F116:G116"/>
    <mergeCell ref="H116:I116"/>
    <mergeCell ref="J116:K116"/>
    <mergeCell ref="L116:M116"/>
    <mergeCell ref="N118:O118"/>
    <mergeCell ref="P118:Q118"/>
    <mergeCell ref="R118:S118"/>
    <mergeCell ref="T118:U118"/>
    <mergeCell ref="B119:C119"/>
    <mergeCell ref="D119:E119"/>
    <mergeCell ref="F119:G119"/>
    <mergeCell ref="H119:I119"/>
    <mergeCell ref="J119:K119"/>
    <mergeCell ref="L119:M119"/>
    <mergeCell ref="N117:O117"/>
    <mergeCell ref="P117:Q117"/>
    <mergeCell ref="R117:S117"/>
    <mergeCell ref="T117:U117"/>
    <mergeCell ref="B118:C118"/>
    <mergeCell ref="D118:E118"/>
    <mergeCell ref="F118:G118"/>
    <mergeCell ref="H118:I118"/>
    <mergeCell ref="J118:K118"/>
    <mergeCell ref="L118:M118"/>
    <mergeCell ref="N120:O120"/>
    <mergeCell ref="P120:Q120"/>
    <mergeCell ref="R120:S120"/>
    <mergeCell ref="T120:U120"/>
    <mergeCell ref="B121:C121"/>
    <mergeCell ref="D121:E121"/>
    <mergeCell ref="F121:G121"/>
    <mergeCell ref="H121:I121"/>
    <mergeCell ref="J121:K121"/>
    <mergeCell ref="L121:M121"/>
    <mergeCell ref="N119:O119"/>
    <mergeCell ref="P119:Q119"/>
    <mergeCell ref="R119:S119"/>
    <mergeCell ref="T119:U119"/>
    <mergeCell ref="B120:C120"/>
    <mergeCell ref="D120:E120"/>
    <mergeCell ref="F120:G120"/>
    <mergeCell ref="H120:I120"/>
    <mergeCell ref="J120:K120"/>
    <mergeCell ref="L120:M120"/>
    <mergeCell ref="N122:O122"/>
    <mergeCell ref="P122:Q122"/>
    <mergeCell ref="R122:S122"/>
    <mergeCell ref="T122:U122"/>
    <mergeCell ref="B123:C123"/>
    <mergeCell ref="D123:E123"/>
    <mergeCell ref="F123:G123"/>
    <mergeCell ref="H123:I123"/>
    <mergeCell ref="J123:K123"/>
    <mergeCell ref="L123:M123"/>
    <mergeCell ref="N121:O121"/>
    <mergeCell ref="P121:Q121"/>
    <mergeCell ref="R121:S121"/>
    <mergeCell ref="T121:U121"/>
    <mergeCell ref="B122:C122"/>
    <mergeCell ref="D122:E122"/>
    <mergeCell ref="F122:G122"/>
    <mergeCell ref="H122:I122"/>
    <mergeCell ref="J122:K122"/>
    <mergeCell ref="L122:M122"/>
    <mergeCell ref="N124:O124"/>
    <mergeCell ref="P124:Q124"/>
    <mergeCell ref="R124:S124"/>
    <mergeCell ref="T124:U124"/>
    <mergeCell ref="B125:C125"/>
    <mergeCell ref="D125:E125"/>
    <mergeCell ref="F125:G125"/>
    <mergeCell ref="H125:I125"/>
    <mergeCell ref="J125:K125"/>
    <mergeCell ref="L125:M125"/>
    <mergeCell ref="N123:O123"/>
    <mergeCell ref="P123:Q123"/>
    <mergeCell ref="R123:S123"/>
    <mergeCell ref="T123:U123"/>
    <mergeCell ref="B124:C124"/>
    <mergeCell ref="D124:E124"/>
    <mergeCell ref="F124:G124"/>
    <mergeCell ref="H124:I124"/>
    <mergeCell ref="J124:K124"/>
    <mergeCell ref="L124:M124"/>
    <mergeCell ref="N126:O126"/>
    <mergeCell ref="P126:Q126"/>
    <mergeCell ref="R126:S126"/>
    <mergeCell ref="T126:U126"/>
    <mergeCell ref="B127:C127"/>
    <mergeCell ref="D127:E127"/>
    <mergeCell ref="F127:G127"/>
    <mergeCell ref="H127:I127"/>
    <mergeCell ref="J127:K127"/>
    <mergeCell ref="L127:M127"/>
    <mergeCell ref="N125:O125"/>
    <mergeCell ref="P125:Q125"/>
    <mergeCell ref="R125:S125"/>
    <mergeCell ref="T125:U125"/>
    <mergeCell ref="B126:C126"/>
    <mergeCell ref="D126:E126"/>
    <mergeCell ref="F126:G126"/>
    <mergeCell ref="H126:I126"/>
    <mergeCell ref="J126:K126"/>
    <mergeCell ref="L126:M126"/>
    <mergeCell ref="N128:O128"/>
    <mergeCell ref="P128:Q128"/>
    <mergeCell ref="R128:S128"/>
    <mergeCell ref="T128:U128"/>
    <mergeCell ref="B129:C129"/>
    <mergeCell ref="D129:E129"/>
    <mergeCell ref="F129:G129"/>
    <mergeCell ref="H129:I129"/>
    <mergeCell ref="J129:K129"/>
    <mergeCell ref="L129:M129"/>
    <mergeCell ref="N127:O127"/>
    <mergeCell ref="P127:Q127"/>
    <mergeCell ref="R127:S127"/>
    <mergeCell ref="T127:U127"/>
    <mergeCell ref="B128:C128"/>
    <mergeCell ref="D128:E128"/>
    <mergeCell ref="F128:G128"/>
    <mergeCell ref="H128:I128"/>
    <mergeCell ref="J128:K128"/>
    <mergeCell ref="L128:M128"/>
    <mergeCell ref="N130:O130"/>
    <mergeCell ref="P130:Q130"/>
    <mergeCell ref="R130:S130"/>
    <mergeCell ref="T130:U130"/>
    <mergeCell ref="B131:C131"/>
    <mergeCell ref="D131:E131"/>
    <mergeCell ref="F131:G131"/>
    <mergeCell ref="H131:I131"/>
    <mergeCell ref="J131:K131"/>
    <mergeCell ref="L131:M131"/>
    <mergeCell ref="N129:O129"/>
    <mergeCell ref="P129:Q129"/>
    <mergeCell ref="R129:S129"/>
    <mergeCell ref="T129:U129"/>
    <mergeCell ref="B130:C130"/>
    <mergeCell ref="D130:E130"/>
    <mergeCell ref="F130:G130"/>
    <mergeCell ref="H130:I130"/>
    <mergeCell ref="J130:K130"/>
    <mergeCell ref="L130:M130"/>
    <mergeCell ref="N132:O132"/>
    <mergeCell ref="P132:Q132"/>
    <mergeCell ref="R132:S132"/>
    <mergeCell ref="T132:U132"/>
    <mergeCell ref="B133:C133"/>
    <mergeCell ref="D133:E133"/>
    <mergeCell ref="F133:G133"/>
    <mergeCell ref="H133:I133"/>
    <mergeCell ref="J133:K133"/>
    <mergeCell ref="L133:M133"/>
    <mergeCell ref="N131:O131"/>
    <mergeCell ref="P131:Q131"/>
    <mergeCell ref="R131:S131"/>
    <mergeCell ref="T131:U131"/>
    <mergeCell ref="B132:C132"/>
    <mergeCell ref="D132:E132"/>
    <mergeCell ref="F132:G132"/>
    <mergeCell ref="H132:I132"/>
    <mergeCell ref="J132:K132"/>
    <mergeCell ref="L132:M132"/>
    <mergeCell ref="N134:O134"/>
    <mergeCell ref="P134:Q134"/>
    <mergeCell ref="R134:S134"/>
    <mergeCell ref="T134:U134"/>
    <mergeCell ref="B135:C135"/>
    <mergeCell ref="D135:E135"/>
    <mergeCell ref="F135:G135"/>
    <mergeCell ref="H135:I135"/>
    <mergeCell ref="J135:K135"/>
    <mergeCell ref="L135:M135"/>
    <mergeCell ref="N133:O133"/>
    <mergeCell ref="P133:Q133"/>
    <mergeCell ref="R133:S133"/>
    <mergeCell ref="T133:U133"/>
    <mergeCell ref="B134:C134"/>
    <mergeCell ref="D134:E134"/>
    <mergeCell ref="F134:G134"/>
    <mergeCell ref="H134:I134"/>
    <mergeCell ref="J134:K134"/>
    <mergeCell ref="L134:M134"/>
    <mergeCell ref="N136:O136"/>
    <mergeCell ref="P136:Q136"/>
    <mergeCell ref="R136:S136"/>
    <mergeCell ref="T136:U136"/>
    <mergeCell ref="B137:C137"/>
    <mergeCell ref="D137:E137"/>
    <mergeCell ref="F137:G137"/>
    <mergeCell ref="H137:I137"/>
    <mergeCell ref="J137:K137"/>
    <mergeCell ref="L137:M137"/>
    <mergeCell ref="N135:O135"/>
    <mergeCell ref="P135:Q135"/>
    <mergeCell ref="R135:S135"/>
    <mergeCell ref="T135:U135"/>
    <mergeCell ref="B136:C136"/>
    <mergeCell ref="D136:E136"/>
    <mergeCell ref="F136:G136"/>
    <mergeCell ref="H136:I136"/>
    <mergeCell ref="J136:K136"/>
    <mergeCell ref="L136:M136"/>
    <mergeCell ref="N138:O138"/>
    <mergeCell ref="P138:Q138"/>
    <mergeCell ref="R138:S138"/>
    <mergeCell ref="T138:U138"/>
    <mergeCell ref="B139:C139"/>
    <mergeCell ref="D139:E139"/>
    <mergeCell ref="F139:G139"/>
    <mergeCell ref="H139:I139"/>
    <mergeCell ref="J139:K139"/>
    <mergeCell ref="L139:M139"/>
    <mergeCell ref="N137:O137"/>
    <mergeCell ref="P137:Q137"/>
    <mergeCell ref="R137:S137"/>
    <mergeCell ref="T137:U137"/>
    <mergeCell ref="B138:C138"/>
    <mergeCell ref="D138:E138"/>
    <mergeCell ref="F138:G138"/>
    <mergeCell ref="H138:I138"/>
    <mergeCell ref="J138:K138"/>
    <mergeCell ref="L138:M138"/>
    <mergeCell ref="N140:O140"/>
    <mergeCell ref="P140:Q140"/>
    <mergeCell ref="R140:S140"/>
    <mergeCell ref="T140:U140"/>
    <mergeCell ref="B141:C141"/>
    <mergeCell ref="D141:E141"/>
    <mergeCell ref="F141:G141"/>
    <mergeCell ref="H141:I141"/>
    <mergeCell ref="J141:K141"/>
    <mergeCell ref="L141:M141"/>
    <mergeCell ref="N139:O139"/>
    <mergeCell ref="P139:Q139"/>
    <mergeCell ref="R139:S139"/>
    <mergeCell ref="T139:U139"/>
    <mergeCell ref="B140:C140"/>
    <mergeCell ref="D140:E140"/>
    <mergeCell ref="F140:G140"/>
    <mergeCell ref="H140:I140"/>
    <mergeCell ref="J140:K140"/>
    <mergeCell ref="L140:M140"/>
    <mergeCell ref="N142:O142"/>
    <mergeCell ref="P142:Q142"/>
    <mergeCell ref="R142:S142"/>
    <mergeCell ref="T142:U142"/>
    <mergeCell ref="B143:C143"/>
    <mergeCell ref="D143:E143"/>
    <mergeCell ref="F143:G143"/>
    <mergeCell ref="H143:I143"/>
    <mergeCell ref="J143:K143"/>
    <mergeCell ref="L143:M143"/>
    <mergeCell ref="N141:O141"/>
    <mergeCell ref="P141:Q141"/>
    <mergeCell ref="R141:S141"/>
    <mergeCell ref="T141:U141"/>
    <mergeCell ref="B142:C142"/>
    <mergeCell ref="D142:E142"/>
    <mergeCell ref="F142:G142"/>
    <mergeCell ref="H142:I142"/>
    <mergeCell ref="J142:K142"/>
    <mergeCell ref="L142:M142"/>
    <mergeCell ref="N144:O144"/>
    <mergeCell ref="P144:Q144"/>
    <mergeCell ref="R144:S144"/>
    <mergeCell ref="T144:U144"/>
    <mergeCell ref="B145:C145"/>
    <mergeCell ref="D145:E145"/>
    <mergeCell ref="F145:G145"/>
    <mergeCell ref="H145:I145"/>
    <mergeCell ref="J145:K145"/>
    <mergeCell ref="L145:M145"/>
    <mergeCell ref="N143:O143"/>
    <mergeCell ref="P143:Q143"/>
    <mergeCell ref="R143:S143"/>
    <mergeCell ref="T143:U143"/>
    <mergeCell ref="B144:C144"/>
    <mergeCell ref="D144:E144"/>
    <mergeCell ref="F144:G144"/>
    <mergeCell ref="H144:I144"/>
    <mergeCell ref="J144:K144"/>
    <mergeCell ref="L144:M144"/>
    <mergeCell ref="N146:O146"/>
    <mergeCell ref="P146:Q146"/>
    <mergeCell ref="R146:S146"/>
    <mergeCell ref="T146:U146"/>
    <mergeCell ref="B147:C147"/>
    <mergeCell ref="D147:E147"/>
    <mergeCell ref="F147:G147"/>
    <mergeCell ref="H147:I147"/>
    <mergeCell ref="J147:K147"/>
    <mergeCell ref="L147:M147"/>
    <mergeCell ref="N145:O145"/>
    <mergeCell ref="P145:Q145"/>
    <mergeCell ref="R145:S145"/>
    <mergeCell ref="T145:U145"/>
    <mergeCell ref="B146:C146"/>
    <mergeCell ref="D146:E146"/>
    <mergeCell ref="F146:G146"/>
    <mergeCell ref="H146:I146"/>
    <mergeCell ref="J146:K146"/>
    <mergeCell ref="L146:M146"/>
    <mergeCell ref="N148:O148"/>
    <mergeCell ref="P148:Q148"/>
    <mergeCell ref="R148:S148"/>
    <mergeCell ref="T148:U148"/>
    <mergeCell ref="B149:C149"/>
    <mergeCell ref="D149:E149"/>
    <mergeCell ref="F149:G149"/>
    <mergeCell ref="H149:I149"/>
    <mergeCell ref="J149:K149"/>
    <mergeCell ref="L149:M149"/>
    <mergeCell ref="N147:O147"/>
    <mergeCell ref="P147:Q147"/>
    <mergeCell ref="R147:S147"/>
    <mergeCell ref="T147:U147"/>
    <mergeCell ref="B148:C148"/>
    <mergeCell ref="D148:E148"/>
    <mergeCell ref="F148:G148"/>
    <mergeCell ref="H148:I148"/>
    <mergeCell ref="J148:K148"/>
    <mergeCell ref="L148:M148"/>
    <mergeCell ref="N150:O150"/>
    <mergeCell ref="P150:Q150"/>
    <mergeCell ref="R150:S150"/>
    <mergeCell ref="T150:U150"/>
    <mergeCell ref="B151:C151"/>
    <mergeCell ref="D151:E151"/>
    <mergeCell ref="F151:G151"/>
    <mergeCell ref="H151:I151"/>
    <mergeCell ref="J151:K151"/>
    <mergeCell ref="L151:M151"/>
    <mergeCell ref="N149:O149"/>
    <mergeCell ref="P149:Q149"/>
    <mergeCell ref="R149:S149"/>
    <mergeCell ref="T149:U149"/>
    <mergeCell ref="B150:C150"/>
    <mergeCell ref="D150:E150"/>
    <mergeCell ref="F150:G150"/>
    <mergeCell ref="H150:I150"/>
    <mergeCell ref="J150:K150"/>
    <mergeCell ref="L150:M150"/>
    <mergeCell ref="N152:O152"/>
    <mergeCell ref="P152:Q152"/>
    <mergeCell ref="R152:S152"/>
    <mergeCell ref="T152:U152"/>
    <mergeCell ref="B153:C153"/>
    <mergeCell ref="D153:E153"/>
    <mergeCell ref="F153:G153"/>
    <mergeCell ref="H153:I153"/>
    <mergeCell ref="J153:K153"/>
    <mergeCell ref="L153:M153"/>
    <mergeCell ref="N151:O151"/>
    <mergeCell ref="P151:Q151"/>
    <mergeCell ref="R151:S151"/>
    <mergeCell ref="T151:U151"/>
    <mergeCell ref="B152:C152"/>
    <mergeCell ref="D152:E152"/>
    <mergeCell ref="F152:G152"/>
    <mergeCell ref="H152:I152"/>
    <mergeCell ref="J152:K152"/>
    <mergeCell ref="L152:M152"/>
    <mergeCell ref="N154:O154"/>
    <mergeCell ref="P154:Q154"/>
    <mergeCell ref="R154:S154"/>
    <mergeCell ref="T154:U154"/>
    <mergeCell ref="B155:C155"/>
    <mergeCell ref="D155:E155"/>
    <mergeCell ref="F155:G155"/>
    <mergeCell ref="H155:I155"/>
    <mergeCell ref="J155:K155"/>
    <mergeCell ref="L155:M155"/>
    <mergeCell ref="N153:O153"/>
    <mergeCell ref="P153:Q153"/>
    <mergeCell ref="R153:S153"/>
    <mergeCell ref="T153:U153"/>
    <mergeCell ref="B154:C154"/>
    <mergeCell ref="D154:E154"/>
    <mergeCell ref="F154:G154"/>
    <mergeCell ref="H154:I154"/>
    <mergeCell ref="J154:K154"/>
    <mergeCell ref="L154:M154"/>
    <mergeCell ref="N156:O156"/>
    <mergeCell ref="P156:Q156"/>
    <mergeCell ref="R156:S156"/>
    <mergeCell ref="T156:U156"/>
    <mergeCell ref="B157:C157"/>
    <mergeCell ref="D157:E157"/>
    <mergeCell ref="F157:G157"/>
    <mergeCell ref="H157:I157"/>
    <mergeCell ref="J157:K157"/>
    <mergeCell ref="L157:M157"/>
    <mergeCell ref="N155:O155"/>
    <mergeCell ref="P155:Q155"/>
    <mergeCell ref="R155:S155"/>
    <mergeCell ref="T155:U155"/>
    <mergeCell ref="B156:C156"/>
    <mergeCell ref="D156:E156"/>
    <mergeCell ref="F156:G156"/>
    <mergeCell ref="H156:I156"/>
    <mergeCell ref="J156:K156"/>
    <mergeCell ref="L156:M156"/>
    <mergeCell ref="N158:O158"/>
    <mergeCell ref="P158:Q158"/>
    <mergeCell ref="R158:S158"/>
    <mergeCell ref="T158:U158"/>
    <mergeCell ref="B159:C159"/>
    <mergeCell ref="D159:E159"/>
    <mergeCell ref="F159:G159"/>
    <mergeCell ref="H159:I159"/>
    <mergeCell ref="J159:K159"/>
    <mergeCell ref="L159:M159"/>
    <mergeCell ref="N157:O157"/>
    <mergeCell ref="P157:Q157"/>
    <mergeCell ref="R157:S157"/>
    <mergeCell ref="T157:U157"/>
    <mergeCell ref="B158:C158"/>
    <mergeCell ref="D158:E158"/>
    <mergeCell ref="F158:G158"/>
    <mergeCell ref="H158:I158"/>
    <mergeCell ref="J158:K158"/>
    <mergeCell ref="L158:M158"/>
    <mergeCell ref="N160:O160"/>
    <mergeCell ref="P160:Q160"/>
    <mergeCell ref="R160:S160"/>
    <mergeCell ref="T160:U160"/>
    <mergeCell ref="B161:C161"/>
    <mergeCell ref="D161:E161"/>
    <mergeCell ref="F161:G161"/>
    <mergeCell ref="H161:I161"/>
    <mergeCell ref="J161:K161"/>
    <mergeCell ref="L161:M161"/>
    <mergeCell ref="N159:O159"/>
    <mergeCell ref="P159:Q159"/>
    <mergeCell ref="R159:S159"/>
    <mergeCell ref="T159:U159"/>
    <mergeCell ref="B160:C160"/>
    <mergeCell ref="D160:E160"/>
    <mergeCell ref="F160:G160"/>
    <mergeCell ref="H160:I160"/>
    <mergeCell ref="J160:K160"/>
    <mergeCell ref="L160:M160"/>
    <mergeCell ref="N162:O162"/>
    <mergeCell ref="P162:Q162"/>
    <mergeCell ref="R162:S162"/>
    <mergeCell ref="T162:U162"/>
    <mergeCell ref="B163:C163"/>
    <mergeCell ref="D163:E163"/>
    <mergeCell ref="F163:G163"/>
    <mergeCell ref="H163:I163"/>
    <mergeCell ref="J163:K163"/>
    <mergeCell ref="L163:M163"/>
    <mergeCell ref="N161:O161"/>
    <mergeCell ref="P161:Q161"/>
    <mergeCell ref="R161:S161"/>
    <mergeCell ref="T161:U161"/>
    <mergeCell ref="B162:C162"/>
    <mergeCell ref="D162:E162"/>
    <mergeCell ref="F162:G162"/>
    <mergeCell ref="H162:I162"/>
    <mergeCell ref="J162:K162"/>
    <mergeCell ref="L162:M162"/>
    <mergeCell ref="N164:O164"/>
    <mergeCell ref="P164:Q164"/>
    <mergeCell ref="R164:S164"/>
    <mergeCell ref="T164:U164"/>
    <mergeCell ref="B165:C165"/>
    <mergeCell ref="D165:E165"/>
    <mergeCell ref="F165:G165"/>
    <mergeCell ref="H165:I165"/>
    <mergeCell ref="J165:K165"/>
    <mergeCell ref="L165:M165"/>
    <mergeCell ref="N163:O163"/>
    <mergeCell ref="P163:Q163"/>
    <mergeCell ref="R163:S163"/>
    <mergeCell ref="T163:U163"/>
    <mergeCell ref="B164:C164"/>
    <mergeCell ref="D164:E164"/>
    <mergeCell ref="F164:G164"/>
    <mergeCell ref="H164:I164"/>
    <mergeCell ref="J164:K164"/>
    <mergeCell ref="L164:M164"/>
    <mergeCell ref="N166:O166"/>
    <mergeCell ref="P166:Q166"/>
    <mergeCell ref="R166:S166"/>
    <mergeCell ref="T166:U166"/>
    <mergeCell ref="B167:C167"/>
    <mergeCell ref="D167:E167"/>
    <mergeCell ref="F167:G167"/>
    <mergeCell ref="H167:I167"/>
    <mergeCell ref="J167:K167"/>
    <mergeCell ref="L167:M167"/>
    <mergeCell ref="N165:O165"/>
    <mergeCell ref="P165:Q165"/>
    <mergeCell ref="R165:S165"/>
    <mergeCell ref="T165:U165"/>
    <mergeCell ref="B166:C166"/>
    <mergeCell ref="D166:E166"/>
    <mergeCell ref="F166:G166"/>
    <mergeCell ref="H166:I166"/>
    <mergeCell ref="J166:K166"/>
    <mergeCell ref="L166:M166"/>
    <mergeCell ref="N168:O168"/>
    <mergeCell ref="P168:Q168"/>
    <mergeCell ref="R168:S168"/>
    <mergeCell ref="T168:U168"/>
    <mergeCell ref="B169:C169"/>
    <mergeCell ref="D169:E169"/>
    <mergeCell ref="F169:G169"/>
    <mergeCell ref="H169:I169"/>
    <mergeCell ref="J169:K169"/>
    <mergeCell ref="L169:M169"/>
    <mergeCell ref="N167:O167"/>
    <mergeCell ref="P167:Q167"/>
    <mergeCell ref="R167:S167"/>
    <mergeCell ref="T167:U167"/>
    <mergeCell ref="B168:C168"/>
    <mergeCell ref="D168:E168"/>
    <mergeCell ref="F168:G168"/>
    <mergeCell ref="H168:I168"/>
    <mergeCell ref="J168:K168"/>
    <mergeCell ref="L168:M168"/>
    <mergeCell ref="N170:O170"/>
    <mergeCell ref="P170:Q170"/>
    <mergeCell ref="R170:S170"/>
    <mergeCell ref="T170:U170"/>
    <mergeCell ref="B171:C171"/>
    <mergeCell ref="D171:E171"/>
    <mergeCell ref="F171:G171"/>
    <mergeCell ref="H171:I171"/>
    <mergeCell ref="J171:K171"/>
    <mergeCell ref="L171:M171"/>
    <mergeCell ref="N169:O169"/>
    <mergeCell ref="P169:Q169"/>
    <mergeCell ref="R169:S169"/>
    <mergeCell ref="T169:U169"/>
    <mergeCell ref="B170:C170"/>
    <mergeCell ref="D170:E170"/>
    <mergeCell ref="F170:G170"/>
    <mergeCell ref="H170:I170"/>
    <mergeCell ref="J170:K170"/>
    <mergeCell ref="L170:M170"/>
    <mergeCell ref="N172:O172"/>
    <mergeCell ref="P172:Q172"/>
    <mergeCell ref="R172:S172"/>
    <mergeCell ref="T172:U172"/>
    <mergeCell ref="B173:C173"/>
    <mergeCell ref="D173:E173"/>
    <mergeCell ref="F173:G173"/>
    <mergeCell ref="H173:I173"/>
    <mergeCell ref="J173:K173"/>
    <mergeCell ref="L173:M173"/>
    <mergeCell ref="N171:O171"/>
    <mergeCell ref="P171:Q171"/>
    <mergeCell ref="R171:S171"/>
    <mergeCell ref="T171:U171"/>
    <mergeCell ref="B172:C172"/>
    <mergeCell ref="D172:E172"/>
    <mergeCell ref="F172:G172"/>
    <mergeCell ref="H172:I172"/>
    <mergeCell ref="J172:K172"/>
    <mergeCell ref="L172:M172"/>
    <mergeCell ref="N174:O174"/>
    <mergeCell ref="P174:Q174"/>
    <mergeCell ref="R174:S174"/>
    <mergeCell ref="T174:U174"/>
    <mergeCell ref="B175:C175"/>
    <mergeCell ref="D175:E175"/>
    <mergeCell ref="F175:G175"/>
    <mergeCell ref="H175:I175"/>
    <mergeCell ref="J175:K175"/>
    <mergeCell ref="L175:M175"/>
    <mergeCell ref="N173:O173"/>
    <mergeCell ref="P173:Q173"/>
    <mergeCell ref="R173:S173"/>
    <mergeCell ref="T173:U173"/>
    <mergeCell ref="B174:C174"/>
    <mergeCell ref="D174:E174"/>
    <mergeCell ref="F174:G174"/>
    <mergeCell ref="H174:I174"/>
    <mergeCell ref="J174:K174"/>
    <mergeCell ref="L174:M174"/>
    <mergeCell ref="N176:O176"/>
    <mergeCell ref="P176:Q176"/>
    <mergeCell ref="R176:S176"/>
    <mergeCell ref="T176:U176"/>
    <mergeCell ref="B177:C177"/>
    <mergeCell ref="D177:E177"/>
    <mergeCell ref="F177:G177"/>
    <mergeCell ref="H177:I177"/>
    <mergeCell ref="J177:K177"/>
    <mergeCell ref="L177:M177"/>
    <mergeCell ref="N175:O175"/>
    <mergeCell ref="P175:Q175"/>
    <mergeCell ref="R175:S175"/>
    <mergeCell ref="T175:U175"/>
    <mergeCell ref="B176:C176"/>
    <mergeCell ref="D176:E176"/>
    <mergeCell ref="F176:G176"/>
    <mergeCell ref="H176:I176"/>
    <mergeCell ref="J176:K176"/>
    <mergeCell ref="L176:M176"/>
    <mergeCell ref="N178:O178"/>
    <mergeCell ref="P178:Q178"/>
    <mergeCell ref="R178:S178"/>
    <mergeCell ref="T178:U178"/>
    <mergeCell ref="B179:C179"/>
    <mergeCell ref="D179:E179"/>
    <mergeCell ref="F179:G179"/>
    <mergeCell ref="H179:I179"/>
    <mergeCell ref="J179:K179"/>
    <mergeCell ref="L179:M179"/>
    <mergeCell ref="N177:O177"/>
    <mergeCell ref="P177:Q177"/>
    <mergeCell ref="R177:S177"/>
    <mergeCell ref="T177:U177"/>
    <mergeCell ref="B178:C178"/>
    <mergeCell ref="D178:E178"/>
    <mergeCell ref="F178:G178"/>
    <mergeCell ref="H178:I178"/>
    <mergeCell ref="J178:K178"/>
    <mergeCell ref="L178:M178"/>
    <mergeCell ref="N180:O180"/>
    <mergeCell ref="P180:Q180"/>
    <mergeCell ref="R180:S180"/>
    <mergeCell ref="T180:U180"/>
    <mergeCell ref="B181:C181"/>
    <mergeCell ref="D181:E181"/>
    <mergeCell ref="F181:G181"/>
    <mergeCell ref="H181:I181"/>
    <mergeCell ref="J181:K181"/>
    <mergeCell ref="L181:M181"/>
    <mergeCell ref="N179:O179"/>
    <mergeCell ref="P179:Q179"/>
    <mergeCell ref="R179:S179"/>
    <mergeCell ref="T179:U179"/>
    <mergeCell ref="B180:C180"/>
    <mergeCell ref="D180:E180"/>
    <mergeCell ref="F180:G180"/>
    <mergeCell ref="H180:I180"/>
    <mergeCell ref="J180:K180"/>
    <mergeCell ref="L180:M180"/>
    <mergeCell ref="N182:O182"/>
    <mergeCell ref="P182:Q182"/>
    <mergeCell ref="R182:S182"/>
    <mergeCell ref="T182:U182"/>
    <mergeCell ref="B183:C183"/>
    <mergeCell ref="D183:E183"/>
    <mergeCell ref="F183:G183"/>
    <mergeCell ref="H183:I183"/>
    <mergeCell ref="J183:K183"/>
    <mergeCell ref="L183:M183"/>
    <mergeCell ref="N181:O181"/>
    <mergeCell ref="P181:Q181"/>
    <mergeCell ref="R181:S181"/>
    <mergeCell ref="T181:U181"/>
    <mergeCell ref="B182:C182"/>
    <mergeCell ref="D182:E182"/>
    <mergeCell ref="F182:G182"/>
    <mergeCell ref="H182:I182"/>
    <mergeCell ref="J182:K182"/>
    <mergeCell ref="L182:M182"/>
    <mergeCell ref="N184:O184"/>
    <mergeCell ref="P184:Q184"/>
    <mergeCell ref="R184:S184"/>
    <mergeCell ref="T184:U184"/>
    <mergeCell ref="B185:C185"/>
    <mergeCell ref="D185:E185"/>
    <mergeCell ref="F185:G185"/>
    <mergeCell ref="H185:I185"/>
    <mergeCell ref="J185:K185"/>
    <mergeCell ref="L185:M185"/>
    <mergeCell ref="N183:O183"/>
    <mergeCell ref="P183:Q183"/>
    <mergeCell ref="R183:S183"/>
    <mergeCell ref="T183:U183"/>
    <mergeCell ref="B184:C184"/>
    <mergeCell ref="D184:E184"/>
    <mergeCell ref="F184:G184"/>
    <mergeCell ref="H184:I184"/>
    <mergeCell ref="J184:K184"/>
    <mergeCell ref="L184:M184"/>
    <mergeCell ref="N186:O186"/>
    <mergeCell ref="P186:Q186"/>
    <mergeCell ref="R186:S186"/>
    <mergeCell ref="T186:U186"/>
    <mergeCell ref="B187:C187"/>
    <mergeCell ref="D187:E187"/>
    <mergeCell ref="F187:G187"/>
    <mergeCell ref="H187:I187"/>
    <mergeCell ref="J187:K187"/>
    <mergeCell ref="L187:M187"/>
    <mergeCell ref="N185:O185"/>
    <mergeCell ref="P185:Q185"/>
    <mergeCell ref="R185:S185"/>
    <mergeCell ref="T185:U185"/>
    <mergeCell ref="B186:C186"/>
    <mergeCell ref="D186:E186"/>
    <mergeCell ref="F186:G186"/>
    <mergeCell ref="H186:I186"/>
    <mergeCell ref="J186:K186"/>
    <mergeCell ref="L186:M186"/>
    <mergeCell ref="N188:O188"/>
    <mergeCell ref="P188:Q188"/>
    <mergeCell ref="R188:S188"/>
    <mergeCell ref="T188:U188"/>
    <mergeCell ref="B189:C189"/>
    <mergeCell ref="D189:E189"/>
    <mergeCell ref="F189:G189"/>
    <mergeCell ref="H189:I189"/>
    <mergeCell ref="J189:K189"/>
    <mergeCell ref="L189:M189"/>
    <mergeCell ref="N187:O187"/>
    <mergeCell ref="P187:Q187"/>
    <mergeCell ref="R187:S187"/>
    <mergeCell ref="T187:U187"/>
    <mergeCell ref="B188:C188"/>
    <mergeCell ref="D188:E188"/>
    <mergeCell ref="F188:G188"/>
    <mergeCell ref="H188:I188"/>
    <mergeCell ref="J188:K188"/>
    <mergeCell ref="L188:M188"/>
    <mergeCell ref="N190:O190"/>
    <mergeCell ref="P190:Q190"/>
    <mergeCell ref="R190:S190"/>
    <mergeCell ref="T190:U190"/>
    <mergeCell ref="B191:C191"/>
    <mergeCell ref="D191:E191"/>
    <mergeCell ref="F191:G191"/>
    <mergeCell ref="H191:I191"/>
    <mergeCell ref="J191:K191"/>
    <mergeCell ref="L191:M191"/>
    <mergeCell ref="N189:O189"/>
    <mergeCell ref="P189:Q189"/>
    <mergeCell ref="R189:S189"/>
    <mergeCell ref="T189:U189"/>
    <mergeCell ref="B190:C190"/>
    <mergeCell ref="D190:E190"/>
    <mergeCell ref="F190:G190"/>
    <mergeCell ref="H190:I190"/>
    <mergeCell ref="J190:K190"/>
    <mergeCell ref="L190:M190"/>
    <mergeCell ref="N192:O192"/>
    <mergeCell ref="P192:Q192"/>
    <mergeCell ref="R192:S192"/>
    <mergeCell ref="T192:U192"/>
    <mergeCell ref="B193:C193"/>
    <mergeCell ref="D193:E193"/>
    <mergeCell ref="F193:G193"/>
    <mergeCell ref="H193:I193"/>
    <mergeCell ref="J193:K193"/>
    <mergeCell ref="L193:M193"/>
    <mergeCell ref="N191:O191"/>
    <mergeCell ref="P191:Q191"/>
    <mergeCell ref="R191:S191"/>
    <mergeCell ref="T191:U191"/>
    <mergeCell ref="B192:C192"/>
    <mergeCell ref="D192:E192"/>
    <mergeCell ref="F192:G192"/>
    <mergeCell ref="H192:I192"/>
    <mergeCell ref="J192:K192"/>
    <mergeCell ref="L192:M192"/>
    <mergeCell ref="N194:O194"/>
    <mergeCell ref="P194:Q194"/>
    <mergeCell ref="R194:S194"/>
    <mergeCell ref="T194:U194"/>
    <mergeCell ref="B195:C195"/>
    <mergeCell ref="D195:E195"/>
    <mergeCell ref="F195:G195"/>
    <mergeCell ref="H195:I195"/>
    <mergeCell ref="J195:K195"/>
    <mergeCell ref="L195:M195"/>
    <mergeCell ref="N193:O193"/>
    <mergeCell ref="P193:Q193"/>
    <mergeCell ref="R193:S193"/>
    <mergeCell ref="T193:U193"/>
    <mergeCell ref="B194:C194"/>
    <mergeCell ref="D194:E194"/>
    <mergeCell ref="F194:G194"/>
    <mergeCell ref="H194:I194"/>
    <mergeCell ref="J194:K194"/>
    <mergeCell ref="L194:M194"/>
    <mergeCell ref="N196:O196"/>
    <mergeCell ref="P196:Q196"/>
    <mergeCell ref="R196:S196"/>
    <mergeCell ref="T196:U196"/>
    <mergeCell ref="B197:C197"/>
    <mergeCell ref="D197:E197"/>
    <mergeCell ref="F197:G197"/>
    <mergeCell ref="H197:I197"/>
    <mergeCell ref="J197:K197"/>
    <mergeCell ref="L197:M197"/>
    <mergeCell ref="N195:O195"/>
    <mergeCell ref="P195:Q195"/>
    <mergeCell ref="R195:S195"/>
    <mergeCell ref="T195:U195"/>
    <mergeCell ref="B196:C196"/>
    <mergeCell ref="D196:E196"/>
    <mergeCell ref="F196:G196"/>
    <mergeCell ref="H196:I196"/>
    <mergeCell ref="J196:K196"/>
    <mergeCell ref="L196:M196"/>
    <mergeCell ref="N198:O198"/>
    <mergeCell ref="P198:Q198"/>
    <mergeCell ref="R198:S198"/>
    <mergeCell ref="T198:U198"/>
    <mergeCell ref="B199:C199"/>
    <mergeCell ref="D199:E199"/>
    <mergeCell ref="F199:G199"/>
    <mergeCell ref="H199:I199"/>
    <mergeCell ref="J199:K199"/>
    <mergeCell ref="L199:M199"/>
    <mergeCell ref="N197:O197"/>
    <mergeCell ref="P197:Q197"/>
    <mergeCell ref="R197:S197"/>
    <mergeCell ref="T197:U197"/>
    <mergeCell ref="B198:C198"/>
    <mergeCell ref="D198:E198"/>
    <mergeCell ref="F198:G198"/>
    <mergeCell ref="H198:I198"/>
    <mergeCell ref="J198:K198"/>
    <mergeCell ref="L198:M198"/>
    <mergeCell ref="N200:O200"/>
    <mergeCell ref="P200:Q200"/>
    <mergeCell ref="R200:S200"/>
    <mergeCell ref="T200:U200"/>
    <mergeCell ref="B201:C201"/>
    <mergeCell ref="D201:E201"/>
    <mergeCell ref="F201:G201"/>
    <mergeCell ref="H201:I201"/>
    <mergeCell ref="J201:K201"/>
    <mergeCell ref="L201:M201"/>
    <mergeCell ref="N199:O199"/>
    <mergeCell ref="P199:Q199"/>
    <mergeCell ref="R199:S199"/>
    <mergeCell ref="T199:U199"/>
    <mergeCell ref="B200:C200"/>
    <mergeCell ref="D200:E200"/>
    <mergeCell ref="F200:G200"/>
    <mergeCell ref="H200:I200"/>
    <mergeCell ref="J200:K200"/>
    <mergeCell ref="L200:M200"/>
    <mergeCell ref="N202:O202"/>
    <mergeCell ref="P202:Q202"/>
    <mergeCell ref="R202:S202"/>
    <mergeCell ref="T202:U202"/>
    <mergeCell ref="B203:C203"/>
    <mergeCell ref="D203:E203"/>
    <mergeCell ref="F203:G203"/>
    <mergeCell ref="H203:I203"/>
    <mergeCell ref="J203:K203"/>
    <mergeCell ref="L203:M203"/>
    <mergeCell ref="N201:O201"/>
    <mergeCell ref="P201:Q201"/>
    <mergeCell ref="R201:S201"/>
    <mergeCell ref="T201:U201"/>
    <mergeCell ref="B202:C202"/>
    <mergeCell ref="D202:E202"/>
    <mergeCell ref="F202:G202"/>
    <mergeCell ref="H202:I202"/>
    <mergeCell ref="J202:K202"/>
    <mergeCell ref="L202:M202"/>
    <mergeCell ref="N204:O204"/>
    <mergeCell ref="P204:Q204"/>
    <mergeCell ref="R204:S204"/>
    <mergeCell ref="T204:U204"/>
    <mergeCell ref="B205:C205"/>
    <mergeCell ref="D205:E205"/>
    <mergeCell ref="F205:G205"/>
    <mergeCell ref="H205:I205"/>
    <mergeCell ref="J205:K205"/>
    <mergeCell ref="L205:M205"/>
    <mergeCell ref="N203:O203"/>
    <mergeCell ref="P203:Q203"/>
    <mergeCell ref="R203:S203"/>
    <mergeCell ref="T203:U203"/>
    <mergeCell ref="B204:C204"/>
    <mergeCell ref="D204:E204"/>
    <mergeCell ref="F204:G204"/>
    <mergeCell ref="H204:I204"/>
    <mergeCell ref="J204:K204"/>
    <mergeCell ref="L204:M204"/>
    <mergeCell ref="N206:O206"/>
    <mergeCell ref="P206:Q206"/>
    <mergeCell ref="R206:S206"/>
    <mergeCell ref="T206:U206"/>
    <mergeCell ref="B207:C207"/>
    <mergeCell ref="D207:E207"/>
    <mergeCell ref="F207:G207"/>
    <mergeCell ref="H207:I207"/>
    <mergeCell ref="J207:K207"/>
    <mergeCell ref="L207:M207"/>
    <mergeCell ref="N205:O205"/>
    <mergeCell ref="P205:Q205"/>
    <mergeCell ref="R205:S205"/>
    <mergeCell ref="T205:U205"/>
    <mergeCell ref="B206:C206"/>
    <mergeCell ref="D206:E206"/>
    <mergeCell ref="F206:G206"/>
    <mergeCell ref="H206:I206"/>
    <mergeCell ref="J206:K206"/>
    <mergeCell ref="L206:M206"/>
    <mergeCell ref="N208:O208"/>
    <mergeCell ref="P208:Q208"/>
    <mergeCell ref="R208:S208"/>
    <mergeCell ref="T208:U208"/>
    <mergeCell ref="B209:C209"/>
    <mergeCell ref="D209:E209"/>
    <mergeCell ref="F209:G209"/>
    <mergeCell ref="H209:I209"/>
    <mergeCell ref="J209:K209"/>
    <mergeCell ref="L209:M209"/>
    <mergeCell ref="N207:O207"/>
    <mergeCell ref="P207:Q207"/>
    <mergeCell ref="R207:S207"/>
    <mergeCell ref="T207:U207"/>
    <mergeCell ref="B208:C208"/>
    <mergeCell ref="D208:E208"/>
    <mergeCell ref="F208:G208"/>
    <mergeCell ref="H208:I208"/>
    <mergeCell ref="J208:K208"/>
    <mergeCell ref="L208:M208"/>
    <mergeCell ref="N210:O210"/>
    <mergeCell ref="P210:Q210"/>
    <mergeCell ref="R210:S210"/>
    <mergeCell ref="T210:U210"/>
    <mergeCell ref="B211:C211"/>
    <mergeCell ref="D211:E211"/>
    <mergeCell ref="F211:G211"/>
    <mergeCell ref="H211:I211"/>
    <mergeCell ref="J211:K211"/>
    <mergeCell ref="L211:M211"/>
    <mergeCell ref="N209:O209"/>
    <mergeCell ref="P209:Q209"/>
    <mergeCell ref="R209:S209"/>
    <mergeCell ref="T209:U209"/>
    <mergeCell ref="B210:C210"/>
    <mergeCell ref="D210:E210"/>
    <mergeCell ref="F210:G210"/>
    <mergeCell ref="H210:I210"/>
    <mergeCell ref="J210:K210"/>
    <mergeCell ref="L210:M210"/>
    <mergeCell ref="N212:O212"/>
    <mergeCell ref="P212:Q212"/>
    <mergeCell ref="R212:S212"/>
    <mergeCell ref="T212:U212"/>
    <mergeCell ref="B213:C213"/>
    <mergeCell ref="D213:E213"/>
    <mergeCell ref="F213:G213"/>
    <mergeCell ref="H213:I213"/>
    <mergeCell ref="J213:K213"/>
    <mergeCell ref="L213:M213"/>
    <mergeCell ref="N211:O211"/>
    <mergeCell ref="P211:Q211"/>
    <mergeCell ref="R211:S211"/>
    <mergeCell ref="T211:U211"/>
    <mergeCell ref="B212:C212"/>
    <mergeCell ref="D212:E212"/>
    <mergeCell ref="F212:G212"/>
    <mergeCell ref="H212:I212"/>
    <mergeCell ref="J212:K212"/>
    <mergeCell ref="L212:M212"/>
    <mergeCell ref="N214:O214"/>
    <mergeCell ref="P214:Q214"/>
    <mergeCell ref="R214:S214"/>
    <mergeCell ref="T214:U214"/>
    <mergeCell ref="B215:C215"/>
    <mergeCell ref="D215:E215"/>
    <mergeCell ref="F215:G215"/>
    <mergeCell ref="H215:I215"/>
    <mergeCell ref="J215:K215"/>
    <mergeCell ref="L215:M215"/>
    <mergeCell ref="N213:O213"/>
    <mergeCell ref="P213:Q213"/>
    <mergeCell ref="R213:S213"/>
    <mergeCell ref="T213:U213"/>
    <mergeCell ref="B214:C214"/>
    <mergeCell ref="D214:E214"/>
    <mergeCell ref="F214:G214"/>
    <mergeCell ref="H214:I214"/>
    <mergeCell ref="J214:K214"/>
    <mergeCell ref="L214:M214"/>
    <mergeCell ref="N216:O216"/>
    <mergeCell ref="P216:Q216"/>
    <mergeCell ref="R216:S216"/>
    <mergeCell ref="T216:U216"/>
    <mergeCell ref="B217:C217"/>
    <mergeCell ref="D217:E217"/>
    <mergeCell ref="F217:G217"/>
    <mergeCell ref="H217:I217"/>
    <mergeCell ref="J217:K217"/>
    <mergeCell ref="L217:M217"/>
    <mergeCell ref="N215:O215"/>
    <mergeCell ref="P215:Q215"/>
    <mergeCell ref="R215:S215"/>
    <mergeCell ref="T215:U215"/>
    <mergeCell ref="B216:C216"/>
    <mergeCell ref="D216:E216"/>
    <mergeCell ref="F216:G216"/>
    <mergeCell ref="H216:I216"/>
    <mergeCell ref="J216:K216"/>
    <mergeCell ref="L216:M216"/>
    <mergeCell ref="N218:O218"/>
    <mergeCell ref="P218:Q218"/>
    <mergeCell ref="R218:S218"/>
    <mergeCell ref="T218:U218"/>
    <mergeCell ref="B219:C219"/>
    <mergeCell ref="D219:E219"/>
    <mergeCell ref="F219:G219"/>
    <mergeCell ref="H219:I219"/>
    <mergeCell ref="J219:K219"/>
    <mergeCell ref="L219:M219"/>
    <mergeCell ref="N217:O217"/>
    <mergeCell ref="P217:Q217"/>
    <mergeCell ref="R217:S217"/>
    <mergeCell ref="T217:U217"/>
    <mergeCell ref="B218:C218"/>
    <mergeCell ref="D218:E218"/>
    <mergeCell ref="F218:G218"/>
    <mergeCell ref="H218:I218"/>
    <mergeCell ref="J218:K218"/>
    <mergeCell ref="L218:M218"/>
    <mergeCell ref="N220:O220"/>
    <mergeCell ref="P220:Q220"/>
    <mergeCell ref="R220:S220"/>
    <mergeCell ref="T220:U220"/>
    <mergeCell ref="B221:C221"/>
    <mergeCell ref="D221:E221"/>
    <mergeCell ref="F221:G221"/>
    <mergeCell ref="H221:I221"/>
    <mergeCell ref="J221:K221"/>
    <mergeCell ref="L221:M221"/>
    <mergeCell ref="N219:O219"/>
    <mergeCell ref="P219:Q219"/>
    <mergeCell ref="R219:S219"/>
    <mergeCell ref="T219:U219"/>
    <mergeCell ref="B220:C220"/>
    <mergeCell ref="D220:E220"/>
    <mergeCell ref="F220:G220"/>
    <mergeCell ref="H220:I220"/>
    <mergeCell ref="J220:K220"/>
    <mergeCell ref="L220:M220"/>
    <mergeCell ref="N222:O222"/>
    <mergeCell ref="P222:Q222"/>
    <mergeCell ref="R222:S222"/>
    <mergeCell ref="T222:U222"/>
    <mergeCell ref="B223:C223"/>
    <mergeCell ref="D223:E223"/>
    <mergeCell ref="F223:G223"/>
    <mergeCell ref="H223:I223"/>
    <mergeCell ref="J223:K223"/>
    <mergeCell ref="L223:M223"/>
    <mergeCell ref="N221:O221"/>
    <mergeCell ref="P221:Q221"/>
    <mergeCell ref="R221:S221"/>
    <mergeCell ref="T221:U221"/>
    <mergeCell ref="B222:C222"/>
    <mergeCell ref="D222:E222"/>
    <mergeCell ref="F222:G222"/>
    <mergeCell ref="H222:I222"/>
    <mergeCell ref="J222:K222"/>
    <mergeCell ref="L222:M222"/>
    <mergeCell ref="N224:O224"/>
    <mergeCell ref="P224:Q224"/>
    <mergeCell ref="R224:S224"/>
    <mergeCell ref="T224:U224"/>
    <mergeCell ref="B225:C225"/>
    <mergeCell ref="D225:E225"/>
    <mergeCell ref="F225:G225"/>
    <mergeCell ref="H225:I225"/>
    <mergeCell ref="J225:K225"/>
    <mergeCell ref="L225:M225"/>
    <mergeCell ref="N223:O223"/>
    <mergeCell ref="P223:Q223"/>
    <mergeCell ref="R223:S223"/>
    <mergeCell ref="T223:U223"/>
    <mergeCell ref="B224:C224"/>
    <mergeCell ref="D224:E224"/>
    <mergeCell ref="F224:G224"/>
    <mergeCell ref="H224:I224"/>
    <mergeCell ref="J224:K224"/>
    <mergeCell ref="L224:M224"/>
    <mergeCell ref="N226:O226"/>
    <mergeCell ref="P226:Q226"/>
    <mergeCell ref="R226:S226"/>
    <mergeCell ref="T226:U226"/>
    <mergeCell ref="B227:C227"/>
    <mergeCell ref="D227:E227"/>
    <mergeCell ref="F227:G227"/>
    <mergeCell ref="H227:I227"/>
    <mergeCell ref="J227:K227"/>
    <mergeCell ref="L227:M227"/>
    <mergeCell ref="N225:O225"/>
    <mergeCell ref="P225:Q225"/>
    <mergeCell ref="R225:S225"/>
    <mergeCell ref="T225:U225"/>
    <mergeCell ref="B226:C226"/>
    <mergeCell ref="D226:E226"/>
    <mergeCell ref="F226:G226"/>
    <mergeCell ref="H226:I226"/>
    <mergeCell ref="J226:K226"/>
    <mergeCell ref="L226:M226"/>
    <mergeCell ref="N228:O228"/>
    <mergeCell ref="P228:Q228"/>
    <mergeCell ref="R228:S228"/>
    <mergeCell ref="T228:U228"/>
    <mergeCell ref="B229:C229"/>
    <mergeCell ref="D229:E229"/>
    <mergeCell ref="F229:G229"/>
    <mergeCell ref="H229:I229"/>
    <mergeCell ref="J229:K229"/>
    <mergeCell ref="L229:M229"/>
    <mergeCell ref="N227:O227"/>
    <mergeCell ref="P227:Q227"/>
    <mergeCell ref="R227:S227"/>
    <mergeCell ref="T227:U227"/>
    <mergeCell ref="B228:C228"/>
    <mergeCell ref="D228:E228"/>
    <mergeCell ref="F228:G228"/>
    <mergeCell ref="H228:I228"/>
    <mergeCell ref="J228:K228"/>
    <mergeCell ref="L228:M228"/>
    <mergeCell ref="N230:O230"/>
    <mergeCell ref="P230:Q230"/>
    <mergeCell ref="R230:S230"/>
    <mergeCell ref="T230:U230"/>
    <mergeCell ref="B231:C231"/>
    <mergeCell ref="D231:E231"/>
    <mergeCell ref="F231:G231"/>
    <mergeCell ref="H231:I231"/>
    <mergeCell ref="J231:K231"/>
    <mergeCell ref="L231:M231"/>
    <mergeCell ref="N229:O229"/>
    <mergeCell ref="P229:Q229"/>
    <mergeCell ref="R229:S229"/>
    <mergeCell ref="T229:U229"/>
    <mergeCell ref="B230:C230"/>
    <mergeCell ref="D230:E230"/>
    <mergeCell ref="F230:G230"/>
    <mergeCell ref="H230:I230"/>
    <mergeCell ref="J230:K230"/>
    <mergeCell ref="L230:M230"/>
    <mergeCell ref="N232:O232"/>
    <mergeCell ref="P232:Q232"/>
    <mergeCell ref="R232:S232"/>
    <mergeCell ref="T232:U232"/>
    <mergeCell ref="B233:C233"/>
    <mergeCell ref="D233:E233"/>
    <mergeCell ref="F233:G233"/>
    <mergeCell ref="H233:I233"/>
    <mergeCell ref="J233:K233"/>
    <mergeCell ref="L233:M233"/>
    <mergeCell ref="N231:O231"/>
    <mergeCell ref="P231:Q231"/>
    <mergeCell ref="R231:S231"/>
    <mergeCell ref="T231:U231"/>
    <mergeCell ref="B232:C232"/>
    <mergeCell ref="D232:E232"/>
    <mergeCell ref="F232:G232"/>
    <mergeCell ref="H232:I232"/>
    <mergeCell ref="J232:K232"/>
    <mergeCell ref="L232:M232"/>
    <mergeCell ref="N234:O234"/>
    <mergeCell ref="P234:Q234"/>
    <mergeCell ref="R234:S234"/>
    <mergeCell ref="T234:U234"/>
    <mergeCell ref="B235:C235"/>
    <mergeCell ref="D235:E235"/>
    <mergeCell ref="F235:G235"/>
    <mergeCell ref="H235:I235"/>
    <mergeCell ref="J235:K235"/>
    <mergeCell ref="L235:M235"/>
    <mergeCell ref="N233:O233"/>
    <mergeCell ref="P233:Q233"/>
    <mergeCell ref="R233:S233"/>
    <mergeCell ref="T233:U233"/>
    <mergeCell ref="B234:C234"/>
    <mergeCell ref="D234:E234"/>
    <mergeCell ref="F234:G234"/>
    <mergeCell ref="H234:I234"/>
    <mergeCell ref="J234:K234"/>
    <mergeCell ref="L234:M234"/>
    <mergeCell ref="N236:O236"/>
    <mergeCell ref="P236:Q236"/>
    <mergeCell ref="R236:S236"/>
    <mergeCell ref="T236:U236"/>
    <mergeCell ref="B237:C237"/>
    <mergeCell ref="D237:E237"/>
    <mergeCell ref="F237:G237"/>
    <mergeCell ref="H237:I237"/>
    <mergeCell ref="J237:K237"/>
    <mergeCell ref="L237:M237"/>
    <mergeCell ref="N235:O235"/>
    <mergeCell ref="P235:Q235"/>
    <mergeCell ref="R235:S235"/>
    <mergeCell ref="T235:U235"/>
    <mergeCell ref="B236:C236"/>
    <mergeCell ref="D236:E236"/>
    <mergeCell ref="F236:G236"/>
    <mergeCell ref="H236:I236"/>
    <mergeCell ref="J236:K236"/>
    <mergeCell ref="L236:M236"/>
    <mergeCell ref="N238:O238"/>
    <mergeCell ref="P238:Q238"/>
    <mergeCell ref="R238:S238"/>
    <mergeCell ref="T238:U238"/>
    <mergeCell ref="B239:C239"/>
    <mergeCell ref="D239:E239"/>
    <mergeCell ref="F239:G239"/>
    <mergeCell ref="H239:I239"/>
    <mergeCell ref="J239:K239"/>
    <mergeCell ref="L239:M239"/>
    <mergeCell ref="N237:O237"/>
    <mergeCell ref="P237:Q237"/>
    <mergeCell ref="R237:S237"/>
    <mergeCell ref="T237:U237"/>
    <mergeCell ref="B238:C238"/>
    <mergeCell ref="D238:E238"/>
    <mergeCell ref="F238:G238"/>
    <mergeCell ref="H238:I238"/>
    <mergeCell ref="J238:K238"/>
    <mergeCell ref="L238:M238"/>
    <mergeCell ref="N240:O240"/>
    <mergeCell ref="P240:Q240"/>
    <mergeCell ref="R240:S240"/>
    <mergeCell ref="T240:U240"/>
    <mergeCell ref="B241:C241"/>
    <mergeCell ref="D241:E241"/>
    <mergeCell ref="F241:G241"/>
    <mergeCell ref="H241:I241"/>
    <mergeCell ref="J241:K241"/>
    <mergeCell ref="L241:M241"/>
    <mergeCell ref="N239:O239"/>
    <mergeCell ref="P239:Q239"/>
    <mergeCell ref="R239:S239"/>
    <mergeCell ref="T239:U239"/>
    <mergeCell ref="B240:C240"/>
    <mergeCell ref="D240:E240"/>
    <mergeCell ref="F240:G240"/>
    <mergeCell ref="H240:I240"/>
    <mergeCell ref="J240:K240"/>
    <mergeCell ref="L240:M240"/>
    <mergeCell ref="N242:O242"/>
    <mergeCell ref="P242:Q242"/>
    <mergeCell ref="R242:S242"/>
    <mergeCell ref="T242:U242"/>
    <mergeCell ref="B243:C243"/>
    <mergeCell ref="D243:E243"/>
    <mergeCell ref="F243:G243"/>
    <mergeCell ref="H243:I243"/>
    <mergeCell ref="J243:K243"/>
    <mergeCell ref="L243:M243"/>
    <mergeCell ref="N241:O241"/>
    <mergeCell ref="P241:Q241"/>
    <mergeCell ref="R241:S241"/>
    <mergeCell ref="T241:U241"/>
    <mergeCell ref="B242:C242"/>
    <mergeCell ref="D242:E242"/>
    <mergeCell ref="F242:G242"/>
    <mergeCell ref="H242:I242"/>
    <mergeCell ref="J242:K242"/>
    <mergeCell ref="L242:M242"/>
    <mergeCell ref="N244:O244"/>
    <mergeCell ref="P244:Q244"/>
    <mergeCell ref="R244:S244"/>
    <mergeCell ref="T244:U244"/>
    <mergeCell ref="B245:C245"/>
    <mergeCell ref="D245:E245"/>
    <mergeCell ref="F245:G245"/>
    <mergeCell ref="H245:I245"/>
    <mergeCell ref="J245:K245"/>
    <mergeCell ref="L245:M245"/>
    <mergeCell ref="N243:O243"/>
    <mergeCell ref="P243:Q243"/>
    <mergeCell ref="R243:S243"/>
    <mergeCell ref="T243:U243"/>
    <mergeCell ref="B244:C244"/>
    <mergeCell ref="D244:E244"/>
    <mergeCell ref="F244:G244"/>
    <mergeCell ref="H244:I244"/>
    <mergeCell ref="J244:K244"/>
    <mergeCell ref="L244:M244"/>
    <mergeCell ref="N246:O246"/>
    <mergeCell ref="P246:Q246"/>
    <mergeCell ref="R246:S246"/>
    <mergeCell ref="T246:U246"/>
    <mergeCell ref="B247:C247"/>
    <mergeCell ref="D247:E247"/>
    <mergeCell ref="F247:G247"/>
    <mergeCell ref="H247:I247"/>
    <mergeCell ref="J247:K247"/>
    <mergeCell ref="L247:M247"/>
    <mergeCell ref="N245:O245"/>
    <mergeCell ref="P245:Q245"/>
    <mergeCell ref="R245:S245"/>
    <mergeCell ref="T245:U245"/>
    <mergeCell ref="B246:C246"/>
    <mergeCell ref="D246:E246"/>
    <mergeCell ref="F246:G246"/>
    <mergeCell ref="H246:I246"/>
    <mergeCell ref="J246:K246"/>
    <mergeCell ref="L246:M246"/>
    <mergeCell ref="N248:O248"/>
    <mergeCell ref="P248:Q248"/>
    <mergeCell ref="R248:S248"/>
    <mergeCell ref="T248:U248"/>
    <mergeCell ref="B249:C249"/>
    <mergeCell ref="D249:E249"/>
    <mergeCell ref="F249:G249"/>
    <mergeCell ref="H249:I249"/>
    <mergeCell ref="J249:K249"/>
    <mergeCell ref="L249:M249"/>
    <mergeCell ref="N247:O247"/>
    <mergeCell ref="P247:Q247"/>
    <mergeCell ref="R247:S247"/>
    <mergeCell ref="T247:U247"/>
    <mergeCell ref="B248:C248"/>
    <mergeCell ref="D248:E248"/>
    <mergeCell ref="F248:G248"/>
    <mergeCell ref="H248:I248"/>
    <mergeCell ref="J248:K248"/>
    <mergeCell ref="L248:M248"/>
    <mergeCell ref="N250:O250"/>
    <mergeCell ref="P250:Q250"/>
    <mergeCell ref="R250:S250"/>
    <mergeCell ref="T250:U250"/>
    <mergeCell ref="B251:C251"/>
    <mergeCell ref="D251:E251"/>
    <mergeCell ref="F251:G251"/>
    <mergeCell ref="H251:I251"/>
    <mergeCell ref="J251:K251"/>
    <mergeCell ref="L251:M251"/>
    <mergeCell ref="N249:O249"/>
    <mergeCell ref="P249:Q249"/>
    <mergeCell ref="R249:S249"/>
    <mergeCell ref="T249:U249"/>
    <mergeCell ref="B250:C250"/>
    <mergeCell ref="D250:E250"/>
    <mergeCell ref="F250:G250"/>
    <mergeCell ref="H250:I250"/>
    <mergeCell ref="J250:K250"/>
    <mergeCell ref="L250:M250"/>
    <mergeCell ref="N252:O252"/>
    <mergeCell ref="P252:Q252"/>
    <mergeCell ref="R252:S252"/>
    <mergeCell ref="T252:U252"/>
    <mergeCell ref="B253:C253"/>
    <mergeCell ref="D253:E253"/>
    <mergeCell ref="F253:G253"/>
    <mergeCell ref="H253:I253"/>
    <mergeCell ref="J253:K253"/>
    <mergeCell ref="L253:M253"/>
    <mergeCell ref="N251:O251"/>
    <mergeCell ref="P251:Q251"/>
    <mergeCell ref="R251:S251"/>
    <mergeCell ref="T251:U251"/>
    <mergeCell ref="B252:C252"/>
    <mergeCell ref="D252:E252"/>
    <mergeCell ref="F252:G252"/>
    <mergeCell ref="H252:I252"/>
    <mergeCell ref="J252:K252"/>
    <mergeCell ref="L252:M252"/>
    <mergeCell ref="N254:O254"/>
    <mergeCell ref="P254:Q254"/>
    <mergeCell ref="R254:S254"/>
    <mergeCell ref="T254:U254"/>
    <mergeCell ref="B255:C255"/>
    <mergeCell ref="D255:E255"/>
    <mergeCell ref="F255:G255"/>
    <mergeCell ref="H255:I255"/>
    <mergeCell ref="J255:K255"/>
    <mergeCell ref="L255:M255"/>
    <mergeCell ref="N253:O253"/>
    <mergeCell ref="P253:Q253"/>
    <mergeCell ref="R253:S253"/>
    <mergeCell ref="T253:U253"/>
    <mergeCell ref="B254:C254"/>
    <mergeCell ref="D254:E254"/>
    <mergeCell ref="F254:G254"/>
    <mergeCell ref="H254:I254"/>
    <mergeCell ref="J254:K254"/>
    <mergeCell ref="L254:M254"/>
    <mergeCell ref="H258:I258"/>
    <mergeCell ref="J258:K258"/>
    <mergeCell ref="L258:M258"/>
    <mergeCell ref="N256:O256"/>
    <mergeCell ref="P256:Q256"/>
    <mergeCell ref="R256:S256"/>
    <mergeCell ref="T256:U256"/>
    <mergeCell ref="B257:C257"/>
    <mergeCell ref="D257:E257"/>
    <mergeCell ref="F257:G257"/>
    <mergeCell ref="H257:I257"/>
    <mergeCell ref="J257:K257"/>
    <mergeCell ref="L257:M257"/>
    <mergeCell ref="N255:O255"/>
    <mergeCell ref="P255:Q255"/>
    <mergeCell ref="R255:S255"/>
    <mergeCell ref="T255:U255"/>
    <mergeCell ref="B256:C256"/>
    <mergeCell ref="D256:E256"/>
    <mergeCell ref="F256:G256"/>
    <mergeCell ref="H256:I256"/>
    <mergeCell ref="J256:K256"/>
    <mergeCell ref="L256:M256"/>
    <mergeCell ref="N260:O260"/>
    <mergeCell ref="P260:Q260"/>
    <mergeCell ref="R260:S260"/>
    <mergeCell ref="T260:U260"/>
    <mergeCell ref="S9:T10"/>
    <mergeCell ref="N259:O259"/>
    <mergeCell ref="P259:Q259"/>
    <mergeCell ref="R259:S259"/>
    <mergeCell ref="T259:U259"/>
    <mergeCell ref="B260:C260"/>
    <mergeCell ref="D260:E260"/>
    <mergeCell ref="F260:G260"/>
    <mergeCell ref="H260:I260"/>
    <mergeCell ref="J260:K260"/>
    <mergeCell ref="L260:M260"/>
    <mergeCell ref="N258:O258"/>
    <mergeCell ref="P258:Q258"/>
    <mergeCell ref="R258:S258"/>
    <mergeCell ref="T258:U258"/>
    <mergeCell ref="B259:C259"/>
    <mergeCell ref="D259:E259"/>
    <mergeCell ref="F259:G259"/>
    <mergeCell ref="H259:I259"/>
    <mergeCell ref="J259:K259"/>
    <mergeCell ref="L259:M259"/>
    <mergeCell ref="N257:O257"/>
    <mergeCell ref="P257:Q257"/>
    <mergeCell ref="R257:S257"/>
    <mergeCell ref="T257:U257"/>
    <mergeCell ref="B258:C258"/>
    <mergeCell ref="D258:E258"/>
    <mergeCell ref="F258:G258"/>
  </mergeCells>
  <phoneticPr fontId="3" type="noConversion"/>
  <conditionalFormatting sqref="S11:T14">
    <cfRule type="cellIs" dxfId="169" priority="1" operator="equal">
      <formula>"N/C"</formula>
    </cfRule>
    <cfRule type="cellIs" dxfId="168" priority="2" operator="equal">
      <formula>"OK"</formula>
    </cfRule>
  </conditionalFormatting>
  <conditionalFormatting sqref="T23:U62">
    <cfRule type="cellIs" dxfId="167" priority="3" operator="equal">
      <formula>"N/C"</formula>
    </cfRule>
    <cfRule type="cellIs" dxfId="166" priority="4" operator="equal">
      <formula>"OK"</formula>
    </cfRule>
  </conditionalFormatting>
  <dataValidations count="1">
    <dataValidation type="list" allowBlank="1" showInputMessage="1" showErrorMessage="1" sqref="AA70:AA260 X70:X260 K11:K15 N11:N15 AA23:AA64 X23:X64" xr:uid="{C7B09783-E547-4BF1-BC9C-D99BCC48EF66}">
      <formula1>$W$7:$W$15</formula1>
    </dataValidation>
  </dataValidations>
  <printOptions horizontalCentered="1" verticalCentered="1"/>
  <pageMargins left="0.47244094488188981" right="0.47244094488188981" top="0.74803149606299213" bottom="0.74803149606299213" header="0.31496062992125984" footer="0.31496062992125984"/>
  <pageSetup scale="75" fitToWidth="0"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7CA88-4B55-4AFC-9FA4-0F7D830AC339}">
  <sheetPr>
    <pageSetUpPr fitToPage="1"/>
  </sheetPr>
  <dimension ref="A1:BO65"/>
  <sheetViews>
    <sheetView view="pageBreakPreview" zoomScale="85" zoomScaleNormal="100" zoomScaleSheetLayoutView="85" workbookViewId="0">
      <selection activeCell="AE44" sqref="AE44"/>
    </sheetView>
  </sheetViews>
  <sheetFormatPr baseColWidth="10" defaultColWidth="5.7109375" defaultRowHeight="15" x14ac:dyDescent="0.25"/>
  <cols>
    <col min="1" max="16" width="5.7109375" style="1" customWidth="1"/>
    <col min="17" max="17" width="5.7109375" style="1"/>
    <col min="18" max="21" width="5.7109375" style="1" customWidth="1"/>
    <col min="22" max="29" width="5.7109375" style="1"/>
    <col min="30" max="30" width="7.5703125" style="1" bestFit="1" customWidth="1"/>
    <col min="31" max="31" width="5" style="1" bestFit="1" customWidth="1"/>
    <col min="32" max="32" width="5.7109375" style="1"/>
    <col min="33" max="33" width="5.28515625" style="1" bestFit="1" customWidth="1"/>
    <col min="34" max="34" width="3.28515625" style="1" bestFit="1" customWidth="1"/>
    <col min="35" max="35" width="2.140625" style="1" bestFit="1" customWidth="1"/>
    <col min="36" max="36" width="5.28515625" style="1" bestFit="1" customWidth="1"/>
    <col min="37" max="37" width="3.28515625" style="1" bestFit="1" customWidth="1"/>
    <col min="38" max="43" width="5.7109375" style="1"/>
    <col min="44" max="44" width="5.28515625" style="1" bestFit="1" customWidth="1"/>
    <col min="45" max="45" width="3.28515625" style="1" bestFit="1" customWidth="1"/>
    <col min="46" max="46" width="2.140625" style="1" bestFit="1" customWidth="1"/>
    <col min="47" max="47" width="5.28515625" style="1" bestFit="1" customWidth="1"/>
    <col min="48" max="48" width="3.28515625" style="1" bestFit="1" customWidth="1"/>
    <col min="49" max="54" width="5.7109375" style="1"/>
    <col min="55" max="55" width="8" style="1" bestFit="1" customWidth="1"/>
    <col min="56" max="56" width="7.85546875" style="1" bestFit="1" customWidth="1"/>
    <col min="57" max="58" width="7.5703125" style="1" bestFit="1" customWidth="1"/>
    <col min="59" max="59" width="6.7109375" style="1" bestFit="1" customWidth="1"/>
    <col min="60" max="61" width="3.85546875" style="1" bestFit="1" customWidth="1"/>
    <col min="62" max="62" width="5" style="1" bestFit="1" customWidth="1"/>
    <col min="63" max="63" width="4.5703125" style="1" bestFit="1" customWidth="1"/>
    <col min="64" max="67" width="7.28515625" style="1" bestFit="1" customWidth="1"/>
    <col min="68" max="16384" width="5.7109375" style="1"/>
  </cols>
  <sheetData>
    <row r="1" spans="1:67" ht="15" customHeight="1" x14ac:dyDescent="0.25">
      <c r="A1" s="2"/>
      <c r="B1" s="3"/>
      <c r="C1" s="4"/>
      <c r="D1" s="212" t="str">
        <f>'0. CARTA RESPONSABILIDAD'!A1</f>
        <v>Memoria de cálculos estructurales</v>
      </c>
      <c r="E1" s="212"/>
      <c r="F1" s="212"/>
      <c r="G1" s="212"/>
      <c r="H1" s="212"/>
      <c r="I1" s="213"/>
      <c r="J1" s="209" t="s">
        <v>0</v>
      </c>
      <c r="K1" s="210"/>
      <c r="L1" s="211" t="str">
        <f>'0. INICIO'!H1</f>
        <v>EDIFICACIÓN LOCALES COMERCIALES</v>
      </c>
      <c r="M1" s="212"/>
      <c r="N1" s="212"/>
      <c r="O1" s="212"/>
      <c r="P1" s="212"/>
      <c r="Q1" s="212"/>
      <c r="R1" s="213"/>
      <c r="S1" s="221" t="s">
        <v>2</v>
      </c>
      <c r="T1" s="222"/>
      <c r="U1" s="222" t="str">
        <f>'0. INICIO'!Q1</f>
        <v>Mayo de 2025</v>
      </c>
      <c r="V1" s="222"/>
      <c r="W1" s="222"/>
      <c r="X1" s="222"/>
      <c r="Y1" s="223"/>
      <c r="Z1" s="2"/>
      <c r="AA1" s="3"/>
      <c r="AB1" s="4"/>
    </row>
    <row r="2" spans="1:67" ht="13.9" customHeight="1" x14ac:dyDescent="0.25">
      <c r="A2" s="5"/>
      <c r="C2" s="7"/>
      <c r="D2" s="215"/>
      <c r="E2" s="215"/>
      <c r="F2" s="215"/>
      <c r="G2" s="215"/>
      <c r="H2" s="215"/>
      <c r="I2" s="216"/>
      <c r="J2" s="220"/>
      <c r="K2" s="219"/>
      <c r="L2" s="229"/>
      <c r="M2" s="230"/>
      <c r="N2" s="230"/>
      <c r="O2" s="230"/>
      <c r="P2" s="230"/>
      <c r="Q2" s="230"/>
      <c r="R2" s="231"/>
      <c r="S2" s="221" t="s">
        <v>3</v>
      </c>
      <c r="T2" s="222"/>
      <c r="U2" s="222" t="str">
        <f>'0. INICIO'!Q2</f>
        <v xml:space="preserve"> </v>
      </c>
      <c r="V2" s="222"/>
      <c r="W2" s="222"/>
      <c r="X2" s="222"/>
      <c r="Y2" s="223"/>
      <c r="Z2" s="5"/>
      <c r="AB2" s="7"/>
      <c r="AD2" s="1" t="s">
        <v>306</v>
      </c>
      <c r="AE2" s="1" t="s">
        <v>308</v>
      </c>
    </row>
    <row r="3" spans="1:67" x14ac:dyDescent="0.25">
      <c r="A3" s="5"/>
      <c r="C3" s="7"/>
      <c r="D3" s="215"/>
      <c r="E3" s="215"/>
      <c r="F3" s="215"/>
      <c r="G3" s="215"/>
      <c r="H3" s="215"/>
      <c r="I3" s="216"/>
      <c r="J3" s="209" t="s">
        <v>1</v>
      </c>
      <c r="K3" s="210"/>
      <c r="L3" s="217" t="s">
        <v>348</v>
      </c>
      <c r="M3" s="209"/>
      <c r="N3" s="209"/>
      <c r="O3" s="209"/>
      <c r="P3" s="209"/>
      <c r="Q3" s="209"/>
      <c r="R3" s="210"/>
      <c r="S3" s="217" t="s">
        <v>4</v>
      </c>
      <c r="T3" s="209"/>
      <c r="U3" s="209" t="str">
        <f>'0. INICIO'!Q3</f>
        <v>R0</v>
      </c>
      <c r="V3" s="209"/>
      <c r="W3" s="209"/>
      <c r="X3" s="209"/>
      <c r="Y3" s="210"/>
      <c r="Z3" s="5"/>
      <c r="AB3" s="7"/>
      <c r="AD3" s="1" t="s">
        <v>307</v>
      </c>
      <c r="AE3" s="1" t="s">
        <v>309</v>
      </c>
    </row>
    <row r="4" spans="1:67" ht="13.9" x14ac:dyDescent="0.25">
      <c r="A4" s="2"/>
      <c r="B4" s="3"/>
      <c r="C4" s="3"/>
      <c r="D4" s="3"/>
      <c r="E4" s="3"/>
      <c r="F4" s="3"/>
      <c r="G4" s="3"/>
      <c r="H4" s="3"/>
      <c r="I4" s="3"/>
      <c r="J4" s="3"/>
      <c r="K4" s="3"/>
      <c r="L4" s="3"/>
      <c r="M4" s="3"/>
      <c r="N4" s="3"/>
      <c r="O4" s="3"/>
      <c r="P4" s="3"/>
      <c r="Q4" s="3"/>
      <c r="R4" s="3"/>
      <c r="S4" s="3"/>
      <c r="T4" s="3"/>
      <c r="U4" s="3"/>
      <c r="V4" s="3"/>
      <c r="W4" s="3"/>
      <c r="X4" s="3"/>
      <c r="Y4" s="3"/>
      <c r="Z4" s="3"/>
      <c r="AA4" s="3"/>
      <c r="AB4" s="4"/>
      <c r="AD4" s="1">
        <v>2</v>
      </c>
      <c r="AE4" s="1">
        <v>0.32</v>
      </c>
    </row>
    <row r="5" spans="1:67" ht="13.9" customHeight="1" x14ac:dyDescent="0.25">
      <c r="A5" s="5"/>
      <c r="B5" s="225" t="s">
        <v>855</v>
      </c>
      <c r="C5" s="225"/>
      <c r="D5" s="225"/>
      <c r="E5" s="225"/>
      <c r="F5" s="225"/>
      <c r="G5" s="225"/>
      <c r="H5" s="225"/>
      <c r="I5" s="225"/>
      <c r="J5" s="225"/>
      <c r="K5" s="225"/>
      <c r="L5" s="225"/>
      <c r="M5" s="225"/>
      <c r="N5" s="225"/>
      <c r="O5" s="225"/>
      <c r="P5" s="225"/>
      <c r="Q5" s="225"/>
      <c r="R5" s="225"/>
      <c r="S5" s="225"/>
      <c r="T5" s="225"/>
      <c r="U5" s="225"/>
      <c r="V5" s="225"/>
      <c r="W5" s="225"/>
      <c r="X5" s="225"/>
      <c r="Y5" s="225"/>
      <c r="Z5" s="225"/>
      <c r="AA5" s="225"/>
      <c r="AB5" s="7"/>
      <c r="AD5" s="1">
        <v>3</v>
      </c>
      <c r="AE5" s="1">
        <v>0.71</v>
      </c>
    </row>
    <row r="6" spans="1:67" ht="13.9" customHeight="1" x14ac:dyDescent="0.25">
      <c r="A6" s="5"/>
      <c r="B6" s="225"/>
      <c r="C6" s="225"/>
      <c r="D6" s="225"/>
      <c r="E6" s="225"/>
      <c r="F6" s="225"/>
      <c r="G6" s="225"/>
      <c r="H6" s="225"/>
      <c r="I6" s="225"/>
      <c r="J6" s="225"/>
      <c r="K6" s="225"/>
      <c r="L6" s="225"/>
      <c r="M6" s="225"/>
      <c r="N6" s="225"/>
      <c r="O6" s="225"/>
      <c r="P6" s="225"/>
      <c r="Q6" s="225"/>
      <c r="R6" s="225"/>
      <c r="S6" s="225"/>
      <c r="T6" s="225"/>
      <c r="U6" s="225"/>
      <c r="V6" s="225"/>
      <c r="W6" s="225"/>
      <c r="X6" s="225"/>
      <c r="Y6" s="225"/>
      <c r="Z6" s="225"/>
      <c r="AA6" s="225"/>
      <c r="AB6" s="7"/>
      <c r="AD6" s="1">
        <v>4</v>
      </c>
      <c r="AE6" s="1">
        <v>1.29</v>
      </c>
    </row>
    <row r="7" spans="1:67" ht="13.9" x14ac:dyDescent="0.25">
      <c r="A7" s="5"/>
      <c r="B7" s="6"/>
      <c r="C7" s="6"/>
      <c r="D7" s="6"/>
      <c r="E7" s="6"/>
      <c r="F7" s="6"/>
      <c r="G7" s="6"/>
      <c r="H7" s="6"/>
      <c r="I7" s="6"/>
      <c r="J7" s="6"/>
      <c r="AB7" s="7"/>
      <c r="AD7" s="1">
        <v>5</v>
      </c>
      <c r="AE7" s="1">
        <v>1.99</v>
      </c>
    </row>
    <row r="8" spans="1:67" ht="14.45" customHeight="1" x14ac:dyDescent="0.25">
      <c r="A8" s="294" t="s">
        <v>311</v>
      </c>
      <c r="B8" s="294"/>
      <c r="C8" s="294" t="s">
        <v>125</v>
      </c>
      <c r="D8" s="294" t="s">
        <v>312</v>
      </c>
      <c r="E8" s="294" t="s">
        <v>332</v>
      </c>
      <c r="F8" s="294" t="s">
        <v>725</v>
      </c>
      <c r="G8" s="294" t="s">
        <v>316</v>
      </c>
      <c r="H8" s="294"/>
      <c r="I8" s="294"/>
      <c r="J8" s="294"/>
      <c r="K8" s="294"/>
      <c r="L8" s="294" t="s">
        <v>319</v>
      </c>
      <c r="M8" s="294"/>
      <c r="N8" s="294" t="s">
        <v>321</v>
      </c>
      <c r="O8" s="294"/>
      <c r="P8" s="294" t="s">
        <v>320</v>
      </c>
      <c r="Q8" s="294"/>
      <c r="R8" s="294" t="s">
        <v>334</v>
      </c>
      <c r="S8" s="294"/>
      <c r="T8" s="294" t="s">
        <v>340</v>
      </c>
      <c r="U8" s="294" t="s">
        <v>349</v>
      </c>
      <c r="V8" s="294" t="s">
        <v>350</v>
      </c>
      <c r="W8" s="294" t="s">
        <v>344</v>
      </c>
      <c r="X8" s="294"/>
      <c r="Y8" s="294" t="s">
        <v>351</v>
      </c>
      <c r="Z8" s="294" t="s">
        <v>352</v>
      </c>
      <c r="AA8" s="294" t="s">
        <v>344</v>
      </c>
      <c r="AB8" s="294"/>
      <c r="AD8" s="1">
        <v>6</v>
      </c>
      <c r="AE8" s="1">
        <v>2.84</v>
      </c>
      <c r="AG8" s="254" t="s">
        <v>342</v>
      </c>
      <c r="AH8" s="254"/>
      <c r="AI8" s="254"/>
      <c r="AJ8" s="254"/>
      <c r="AK8" s="254"/>
      <c r="AL8" s="254"/>
      <c r="AM8" s="254"/>
      <c r="AN8" s="254"/>
      <c r="AO8" s="254"/>
      <c r="AP8" s="254"/>
      <c r="AQ8" s="254"/>
      <c r="AR8" s="254" t="s">
        <v>343</v>
      </c>
      <c r="AS8" s="254"/>
      <c r="AT8" s="254"/>
      <c r="AU8" s="254"/>
      <c r="AV8" s="254"/>
      <c r="AW8" s="254"/>
      <c r="AX8" s="254"/>
      <c r="AY8" s="254"/>
      <c r="AZ8" s="254"/>
      <c r="BA8" s="254"/>
      <c r="BB8" s="254"/>
      <c r="BC8" s="236" t="s">
        <v>335</v>
      </c>
      <c r="BD8" s="236" t="s">
        <v>336</v>
      </c>
      <c r="BE8" s="236" t="s">
        <v>9</v>
      </c>
      <c r="BF8" s="236" t="s">
        <v>26</v>
      </c>
      <c r="BG8" s="236" t="s">
        <v>337</v>
      </c>
      <c r="BH8" s="236" t="s">
        <v>338</v>
      </c>
      <c r="BI8" s="236" t="s">
        <v>339</v>
      </c>
      <c r="BJ8" s="236" t="s">
        <v>332</v>
      </c>
      <c r="BK8" s="236" t="s">
        <v>341</v>
      </c>
      <c r="BL8" s="236" t="s">
        <v>353</v>
      </c>
      <c r="BM8" s="236" t="s">
        <v>354</v>
      </c>
      <c r="BN8" s="236" t="s">
        <v>355</v>
      </c>
      <c r="BO8" s="236" t="s">
        <v>356</v>
      </c>
    </row>
    <row r="9" spans="1:67" ht="13.9" customHeight="1" x14ac:dyDescent="0.25">
      <c r="A9" s="294"/>
      <c r="B9" s="294"/>
      <c r="C9" s="294"/>
      <c r="D9" s="294"/>
      <c r="E9" s="294"/>
      <c r="F9" s="294"/>
      <c r="G9" s="294"/>
      <c r="H9" s="294"/>
      <c r="I9" s="294"/>
      <c r="J9" s="294"/>
      <c r="K9" s="294"/>
      <c r="L9" s="294"/>
      <c r="M9" s="294"/>
      <c r="N9" s="294"/>
      <c r="O9" s="294"/>
      <c r="P9" s="294"/>
      <c r="Q9" s="294"/>
      <c r="R9" s="294"/>
      <c r="S9" s="294"/>
      <c r="T9" s="294"/>
      <c r="U9" s="294"/>
      <c r="V9" s="294"/>
      <c r="W9" s="294"/>
      <c r="X9" s="294"/>
      <c r="Y9" s="294"/>
      <c r="Z9" s="294"/>
      <c r="AA9" s="294"/>
      <c r="AB9" s="294"/>
      <c r="AD9" s="1">
        <v>7</v>
      </c>
      <c r="AE9" s="1">
        <v>3.87</v>
      </c>
      <c r="AG9" s="236" t="s">
        <v>317</v>
      </c>
      <c r="AH9" s="236" t="s">
        <v>307</v>
      </c>
      <c r="AI9" s="236" t="s">
        <v>318</v>
      </c>
      <c r="AJ9" s="236" t="s">
        <v>317</v>
      </c>
      <c r="AK9" s="236" t="s">
        <v>307</v>
      </c>
      <c r="AL9" s="254" t="s">
        <v>346</v>
      </c>
      <c r="AM9" s="254"/>
      <c r="AN9" s="254" t="s">
        <v>321</v>
      </c>
      <c r="AO9" s="254"/>
      <c r="AP9" s="254" t="s">
        <v>321</v>
      </c>
      <c r="AQ9" s="254"/>
      <c r="AR9" s="236" t="s">
        <v>317</v>
      </c>
      <c r="AS9" s="236" t="s">
        <v>307</v>
      </c>
      <c r="AT9" s="236" t="s">
        <v>318</v>
      </c>
      <c r="AU9" s="236" t="s">
        <v>317</v>
      </c>
      <c r="AV9" s="236" t="s">
        <v>307</v>
      </c>
      <c r="AW9" s="254" t="s">
        <v>345</v>
      </c>
      <c r="AX9" s="254"/>
      <c r="AY9" s="254" t="s">
        <v>321</v>
      </c>
      <c r="AZ9" s="254"/>
      <c r="BA9" s="254" t="s">
        <v>321</v>
      </c>
      <c r="BB9" s="254"/>
      <c r="BC9" s="236"/>
      <c r="BD9" s="236"/>
      <c r="BE9" s="236"/>
      <c r="BF9" s="236"/>
      <c r="BG9" s="236"/>
      <c r="BH9" s="236"/>
      <c r="BI9" s="236"/>
      <c r="BJ9" s="236"/>
      <c r="BK9" s="236"/>
      <c r="BL9" s="236"/>
      <c r="BM9" s="236"/>
      <c r="BN9" s="236"/>
      <c r="BO9" s="236"/>
    </row>
    <row r="10" spans="1:67" ht="14.45" customHeight="1" x14ac:dyDescent="0.25">
      <c r="A10" s="294"/>
      <c r="B10" s="294"/>
      <c r="C10" s="86" t="s">
        <v>150</v>
      </c>
      <c r="D10" s="86" t="s">
        <v>150</v>
      </c>
      <c r="E10" s="86" t="s">
        <v>309</v>
      </c>
      <c r="F10" s="86" t="s">
        <v>309</v>
      </c>
      <c r="G10" s="86" t="s">
        <v>317</v>
      </c>
      <c r="H10" s="86" t="s">
        <v>307</v>
      </c>
      <c r="I10" s="81" t="s">
        <v>318</v>
      </c>
      <c r="J10" s="86" t="s">
        <v>317</v>
      </c>
      <c r="K10" s="86" t="s">
        <v>307</v>
      </c>
      <c r="L10" s="294" t="s">
        <v>305</v>
      </c>
      <c r="M10" s="294"/>
      <c r="N10" s="294"/>
      <c r="O10" s="294"/>
      <c r="P10" s="294"/>
      <c r="Q10" s="294"/>
      <c r="R10" s="294"/>
      <c r="S10" s="294"/>
      <c r="T10" s="86" t="s">
        <v>150</v>
      </c>
      <c r="U10" s="86" t="s">
        <v>309</v>
      </c>
      <c r="V10" s="86" t="s">
        <v>309</v>
      </c>
      <c r="W10" s="294"/>
      <c r="X10" s="294"/>
      <c r="Y10" s="86" t="s">
        <v>309</v>
      </c>
      <c r="Z10" s="86" t="s">
        <v>305</v>
      </c>
      <c r="AA10" s="294"/>
      <c r="AB10" s="294"/>
      <c r="AD10" s="1">
        <v>8</v>
      </c>
      <c r="AE10" s="1">
        <v>5.0999999999999996</v>
      </c>
      <c r="AG10" s="236" t="s">
        <v>317</v>
      </c>
      <c r="AH10" s="236" t="s">
        <v>307</v>
      </c>
      <c r="AI10" s="236" t="s">
        <v>318</v>
      </c>
      <c r="AJ10" s="236" t="s">
        <v>317</v>
      </c>
      <c r="AK10" s="236" t="s">
        <v>307</v>
      </c>
      <c r="AL10" s="254" t="s">
        <v>305</v>
      </c>
      <c r="AM10" s="254"/>
      <c r="AN10" s="254"/>
      <c r="AO10" s="254"/>
      <c r="AP10" s="254"/>
      <c r="AQ10" s="254"/>
      <c r="AR10" s="236" t="s">
        <v>317</v>
      </c>
      <c r="AS10" s="236" t="s">
        <v>307</v>
      </c>
      <c r="AT10" s="236" t="s">
        <v>318</v>
      </c>
      <c r="AU10" s="236" t="s">
        <v>317</v>
      </c>
      <c r="AV10" s="236" t="s">
        <v>307</v>
      </c>
      <c r="AW10" s="254" t="s">
        <v>305</v>
      </c>
      <c r="AX10" s="254"/>
      <c r="AY10" s="254"/>
      <c r="AZ10" s="254"/>
      <c r="BA10" s="254"/>
      <c r="BB10" s="254"/>
      <c r="BC10" s="54" t="s">
        <v>150</v>
      </c>
      <c r="BD10" s="54" t="s">
        <v>150</v>
      </c>
      <c r="BE10" s="54" t="s">
        <v>195</v>
      </c>
      <c r="BF10" s="54" t="s">
        <v>195</v>
      </c>
      <c r="BG10" s="54" t="s">
        <v>150</v>
      </c>
      <c r="BH10" s="54" t="s">
        <v>150</v>
      </c>
      <c r="BI10" s="54" t="s">
        <v>150</v>
      </c>
      <c r="BJ10" s="54" t="s">
        <v>309</v>
      </c>
      <c r="BK10" s="54" t="s">
        <v>309</v>
      </c>
      <c r="BL10" s="54" t="s">
        <v>309</v>
      </c>
      <c r="BM10" s="54" t="s">
        <v>309</v>
      </c>
      <c r="BN10" s="54" t="s">
        <v>309</v>
      </c>
      <c r="BO10" s="54" t="s">
        <v>309</v>
      </c>
    </row>
    <row r="11" spans="1:67" ht="13.9" x14ac:dyDescent="0.25">
      <c r="A11" s="236" t="s">
        <v>854</v>
      </c>
      <c r="B11" s="236"/>
      <c r="C11" s="53">
        <v>110</v>
      </c>
      <c r="D11" s="53">
        <v>35</v>
      </c>
      <c r="E11" s="53">
        <f>C11*D11</f>
        <v>3850</v>
      </c>
      <c r="F11" s="53">
        <f>+E11/100</f>
        <v>38.5</v>
      </c>
      <c r="G11" s="64">
        <v>16</v>
      </c>
      <c r="H11" s="53">
        <v>6</v>
      </c>
      <c r="I11" s="49" t="s">
        <v>318</v>
      </c>
      <c r="J11" s="64"/>
      <c r="K11" s="53">
        <v>5</v>
      </c>
      <c r="L11" s="236">
        <f>G11*VLOOKUP(H11,$AD$4:$AE$12,2,)+J11*VLOOKUP(K11,$AD$4:$AE$12,2,)</f>
        <v>45.44</v>
      </c>
      <c r="M11" s="236"/>
      <c r="N11" s="236" t="str">
        <f>CONCATENATE(G11,"#",H11,IF(J11="","",CONCATENATE("+",J11,"#",K11)))</f>
        <v>16#6</v>
      </c>
      <c r="O11" s="236"/>
      <c r="P11" s="236" t="str">
        <f>IF(L11&gt;=F11,"OK","N/C")</f>
        <v>OK</v>
      </c>
      <c r="Q11" s="236"/>
      <c r="R11" s="241">
        <f>L11/E11</f>
        <v>1.1802597402597401E-2</v>
      </c>
      <c r="S11" s="241"/>
      <c r="T11" s="53">
        <v>10</v>
      </c>
      <c r="U11" s="12">
        <f>MAX(BL11:BM11)</f>
        <v>8.1185185185185187</v>
      </c>
      <c r="V11" s="12">
        <f>AL11</f>
        <v>9.0300000000000011</v>
      </c>
      <c r="W11" s="236" t="str">
        <f>+AN11</f>
        <v>2#4+5#4</v>
      </c>
      <c r="X11" s="236"/>
      <c r="Y11" s="12">
        <f>MAX(BN11:BO11)</f>
        <v>2.1490196078431376</v>
      </c>
      <c r="Z11" s="53">
        <f>AW11</f>
        <v>3.87</v>
      </c>
      <c r="AA11" s="236" t="str">
        <f>AY11</f>
        <v>2#4+1#4</v>
      </c>
      <c r="AB11" s="236"/>
      <c r="AD11" s="1">
        <v>9</v>
      </c>
      <c r="AE11" s="1">
        <v>6.45</v>
      </c>
      <c r="AG11" s="64">
        <v>2</v>
      </c>
      <c r="AH11" s="53">
        <v>4</v>
      </c>
      <c r="AI11" s="49" t="s">
        <v>318</v>
      </c>
      <c r="AJ11" s="64">
        <v>5</v>
      </c>
      <c r="AK11" s="53">
        <v>4</v>
      </c>
      <c r="AL11" s="236">
        <f>AG11*VLOOKUP(AH11,$AD$4:$AE$12,2,)+AJ11*VLOOKUP(AK11,$AD$4:$AE$12,2,)</f>
        <v>9.0300000000000011</v>
      </c>
      <c r="AM11" s="236"/>
      <c r="AN11" s="236" t="str">
        <f>CONCATENATE(AG11,"#",AH11,IF(AJ11="","",CONCATENATE("+",AJ11,"#",AK11)))</f>
        <v>2#4+5#4</v>
      </c>
      <c r="AO11" s="236"/>
      <c r="AP11" s="254" t="str">
        <f>IF(AL11&gt;U11,"OK","N/C")</f>
        <v>OK</v>
      </c>
      <c r="AQ11" s="254"/>
      <c r="AR11" s="64">
        <v>2</v>
      </c>
      <c r="AS11" s="53">
        <v>4</v>
      </c>
      <c r="AT11" s="49" t="s">
        <v>318</v>
      </c>
      <c r="AU11" s="64">
        <v>1</v>
      </c>
      <c r="AV11" s="53">
        <v>4</v>
      </c>
      <c r="AW11" s="236">
        <f>AR11*VLOOKUP(AS11,$AD$4:$AE$12,2,)+AU11*VLOOKUP(AV11,$AD$4:$AE$12,2,)</f>
        <v>3.87</v>
      </c>
      <c r="AX11" s="236"/>
      <c r="AY11" s="236" t="str">
        <f>CONCATENATE(AR11,"#",AS11,IF(AU11="","",CONCATENATE("+",AU11,"#",AV11)))</f>
        <v>2#4+1#4</v>
      </c>
      <c r="AZ11" s="236"/>
      <c r="BA11" s="254" t="str">
        <f>IF(Z11&gt;Y11,"OK","N/C")</f>
        <v>OK</v>
      </c>
      <c r="BB11" s="254"/>
      <c r="BC11" s="82">
        <f>MAX(C11:D11)</f>
        <v>110</v>
      </c>
      <c r="BD11" s="82">
        <f>MIN(C11:D11)</f>
        <v>35</v>
      </c>
      <c r="BE11" s="82">
        <f>'0. INICIO'!$H$71*10</f>
        <v>280</v>
      </c>
      <c r="BF11" s="82">
        <v>4200</v>
      </c>
      <c r="BG11" s="82">
        <v>4</v>
      </c>
      <c r="BH11" s="53">
        <f>BC11-2*BG11</f>
        <v>102</v>
      </c>
      <c r="BI11" s="53">
        <f>BD11-2*BG11</f>
        <v>27</v>
      </c>
      <c r="BJ11" s="53">
        <f>BC11*BD11</f>
        <v>3850</v>
      </c>
      <c r="BK11" s="53">
        <f>BH11*BI11</f>
        <v>2754</v>
      </c>
      <c r="BL11" s="12">
        <f>(0.3*T11*BH11*BE11/BF11)*(BJ11/BK11-1)</f>
        <v>8.1185185185185187</v>
      </c>
      <c r="BM11" s="12">
        <f>(0.09*T11*BH11*BE11/BF11)</f>
        <v>6.12</v>
      </c>
      <c r="BN11" s="12">
        <f>(0.3*T11*BI11*BE11/BF11)*(BJ11/BK11-1)</f>
        <v>2.1490196078431376</v>
      </c>
      <c r="BO11" s="12">
        <f>(0.09*T11*BI11*BE11/BF11)</f>
        <v>1.6199999999999999</v>
      </c>
    </row>
    <row r="12" spans="1:67" ht="13.9" x14ac:dyDescent="0.25">
      <c r="A12" s="236" t="s">
        <v>854</v>
      </c>
      <c r="B12" s="236"/>
      <c r="C12" s="53">
        <v>110</v>
      </c>
      <c r="D12" s="53">
        <v>35</v>
      </c>
      <c r="E12" s="53">
        <f>C12*D12</f>
        <v>3850</v>
      </c>
      <c r="F12" s="53">
        <f>+E12/100</f>
        <v>38.5</v>
      </c>
      <c r="G12" s="64">
        <v>18</v>
      </c>
      <c r="H12" s="53">
        <v>6</v>
      </c>
      <c r="I12" s="49" t="s">
        <v>318</v>
      </c>
      <c r="J12" s="64"/>
      <c r="K12" s="53">
        <v>5</v>
      </c>
      <c r="L12" s="236">
        <f>G12*VLOOKUP(H12,$AD$4:$AE$12,2,)+J12*VLOOKUP(K12,$AD$4:$AE$12,2,)</f>
        <v>51.12</v>
      </c>
      <c r="M12" s="236"/>
      <c r="N12" s="236" t="str">
        <f>CONCATENATE(G12,"#",H12,IF(J12="","",CONCATENATE("+",J12,"#",K12)))</f>
        <v>18#6</v>
      </c>
      <c r="O12" s="236"/>
      <c r="P12" s="236" t="str">
        <f>IF(L12&gt;=F12,"OK","N/C")</f>
        <v>OK</v>
      </c>
      <c r="Q12" s="236"/>
      <c r="R12" s="241">
        <f>L12/E12</f>
        <v>1.3277922077922078E-2</v>
      </c>
      <c r="S12" s="241"/>
      <c r="T12" s="53">
        <v>10</v>
      </c>
      <c r="U12" s="12">
        <f>MAX(BL12:BM12)</f>
        <v>8.1185185185185187</v>
      </c>
      <c r="V12" s="12">
        <f>AL12</f>
        <v>9.0300000000000011</v>
      </c>
      <c r="W12" s="236" t="str">
        <f>+AN12</f>
        <v>2#4+5#4</v>
      </c>
      <c r="X12" s="236"/>
      <c r="Y12" s="12">
        <f>MAX(BN12:BO12)</f>
        <v>2.1490196078431376</v>
      </c>
      <c r="Z12" s="53">
        <f>AW12</f>
        <v>3.87</v>
      </c>
      <c r="AA12" s="236" t="str">
        <f>AY12</f>
        <v>2#4+1#4</v>
      </c>
      <c r="AB12" s="236"/>
      <c r="AD12" s="1">
        <v>10</v>
      </c>
      <c r="AE12" s="1">
        <v>8.19</v>
      </c>
      <c r="AG12" s="64">
        <v>2</v>
      </c>
      <c r="AH12" s="53">
        <v>4</v>
      </c>
      <c r="AI12" s="49" t="s">
        <v>318</v>
      </c>
      <c r="AJ12" s="64">
        <v>5</v>
      </c>
      <c r="AK12" s="53">
        <v>4</v>
      </c>
      <c r="AL12" s="236">
        <f t="shared" ref="AL12:AL24" si="0">AG12*VLOOKUP(AH12,$AD$4:$AE$12,2,)+AJ12*VLOOKUP(AK12,$AD$4:$AE$12,2,)</f>
        <v>9.0300000000000011</v>
      </c>
      <c r="AM12" s="236"/>
      <c r="AN12" s="236" t="str">
        <f t="shared" ref="AN12:AN24" si="1">CONCATENATE(AG12,"#",AH12,IF(AJ12="","",CONCATENATE("+",AJ12,"#",AK12)))</f>
        <v>2#4+5#4</v>
      </c>
      <c r="AO12" s="236"/>
      <c r="AP12" s="254" t="str">
        <f t="shared" ref="AP12:AP24" si="2">IF(AL12&gt;U12,"OK","N/C")</f>
        <v>OK</v>
      </c>
      <c r="AQ12" s="254"/>
      <c r="AR12" s="64">
        <v>2</v>
      </c>
      <c r="AS12" s="53">
        <v>4</v>
      </c>
      <c r="AT12" s="49" t="s">
        <v>318</v>
      </c>
      <c r="AU12" s="64">
        <v>1</v>
      </c>
      <c r="AV12" s="53">
        <v>4</v>
      </c>
      <c r="AW12" s="236">
        <f t="shared" ref="AW12:AW24" si="3">AR12*VLOOKUP(AS12,$AD$4:$AE$12,2,)+AU12*VLOOKUP(AV12,$AD$4:$AE$12,2,)</f>
        <v>3.87</v>
      </c>
      <c r="AX12" s="236"/>
      <c r="AY12" s="236" t="str">
        <f t="shared" ref="AY12:AY24" si="4">CONCATENATE(AR12,"#",AS12,IF(AU12="","",CONCATENATE("+",AU12,"#",AV12)))</f>
        <v>2#4+1#4</v>
      </c>
      <c r="AZ12" s="236"/>
      <c r="BA12" s="254" t="str">
        <f t="shared" ref="BA12:BA24" si="5">IF(Z12&gt;Y12,"OK","N/C")</f>
        <v>OK</v>
      </c>
      <c r="BB12" s="254"/>
      <c r="BC12" s="82">
        <f t="shared" ref="BC12:BC24" si="6">MAX(C12:D12)</f>
        <v>110</v>
      </c>
      <c r="BD12" s="82">
        <f t="shared" ref="BD12:BD24" si="7">MIN(C12:D12)</f>
        <v>35</v>
      </c>
      <c r="BE12" s="82">
        <f>'0. INICIO'!$H$71*10</f>
        <v>280</v>
      </c>
      <c r="BF12" s="82">
        <v>4200</v>
      </c>
      <c r="BG12" s="82">
        <v>4</v>
      </c>
      <c r="BH12" s="53">
        <f t="shared" ref="BH12:BH24" si="8">BC12-2*BG12</f>
        <v>102</v>
      </c>
      <c r="BI12" s="53">
        <f t="shared" ref="BI12:BI24" si="9">BD12-2*BG12</f>
        <v>27</v>
      </c>
      <c r="BJ12" s="53">
        <f t="shared" ref="BJ12:BJ24" si="10">BC12*BD12</f>
        <v>3850</v>
      </c>
      <c r="BK12" s="53">
        <f t="shared" ref="BK12:BK24" si="11">BH12*BI12</f>
        <v>2754</v>
      </c>
      <c r="BL12" s="12">
        <f t="shared" ref="BL12:BL24" si="12">(0.3*T12*BH12*BE12/BF12)*(BJ12/BK12-1)</f>
        <v>8.1185185185185187</v>
      </c>
      <c r="BM12" s="12">
        <f t="shared" ref="BM12:BM24" si="13">(0.09*T12*BH12*BE12/BF12)</f>
        <v>6.12</v>
      </c>
      <c r="BN12" s="12">
        <f t="shared" ref="BN12:BN24" si="14">(0.3*T12*BI12*BE12/BF12)*(BJ12/BK12-1)</f>
        <v>2.1490196078431376</v>
      </c>
      <c r="BO12" s="12">
        <f t="shared" ref="BO12:BO24" si="15">(0.09*T12*BI12*BE12/BF12)</f>
        <v>1.6199999999999999</v>
      </c>
    </row>
    <row r="13" spans="1:67" ht="13.9" x14ac:dyDescent="0.25">
      <c r="A13" s="236" t="s">
        <v>854</v>
      </c>
      <c r="B13" s="236"/>
      <c r="C13" s="53">
        <v>110</v>
      </c>
      <c r="D13" s="53">
        <v>35</v>
      </c>
      <c r="E13" s="53">
        <f>C13*D13</f>
        <v>3850</v>
      </c>
      <c r="F13" s="53">
        <f>+E13/100</f>
        <v>38.5</v>
      </c>
      <c r="G13" s="64">
        <v>16</v>
      </c>
      <c r="H13" s="53">
        <v>6</v>
      </c>
      <c r="I13" s="49" t="s">
        <v>318</v>
      </c>
      <c r="J13" s="64">
        <v>4</v>
      </c>
      <c r="K13" s="53">
        <v>7</v>
      </c>
      <c r="L13" s="236">
        <f>G13*VLOOKUP(H13,$AD$4:$AE$12,2,)+J13*VLOOKUP(K13,$AD$4:$AE$12,2,)</f>
        <v>60.92</v>
      </c>
      <c r="M13" s="236"/>
      <c r="N13" s="236" t="str">
        <f>CONCATENATE(G13,"#",H13,IF(J13="","",CONCATENATE("+",J13,"#",K13)))</f>
        <v>16#6+4#7</v>
      </c>
      <c r="O13" s="236"/>
      <c r="P13" s="236" t="str">
        <f>IF(L13&gt;=F13,"OK","N/C")</f>
        <v>OK</v>
      </c>
      <c r="Q13" s="236"/>
      <c r="R13" s="241">
        <f>L13/E13</f>
        <v>1.5823376623376625E-2</v>
      </c>
      <c r="S13" s="241"/>
      <c r="T13" s="53">
        <v>10</v>
      </c>
      <c r="U13" s="12">
        <f>MAX(BL13:BM13)</f>
        <v>8.1185185185185187</v>
      </c>
      <c r="V13" s="12">
        <f>AL13</f>
        <v>9.0300000000000011</v>
      </c>
      <c r="W13" s="236" t="str">
        <f>+AN13</f>
        <v>2#4+5#4</v>
      </c>
      <c r="X13" s="236"/>
      <c r="Y13" s="12">
        <f>MAX(BN13:BO13)</f>
        <v>2.1490196078431376</v>
      </c>
      <c r="Z13" s="53">
        <f>AW13</f>
        <v>3.29</v>
      </c>
      <c r="AA13" s="236" t="str">
        <f>AY13</f>
        <v>2#4+1#3</v>
      </c>
      <c r="AB13" s="236"/>
      <c r="AG13" s="64">
        <v>2</v>
      </c>
      <c r="AH13" s="53">
        <v>4</v>
      </c>
      <c r="AI13" s="49" t="s">
        <v>318</v>
      </c>
      <c r="AJ13" s="64">
        <v>5</v>
      </c>
      <c r="AK13" s="53">
        <v>4</v>
      </c>
      <c r="AL13" s="236">
        <f t="shared" si="0"/>
        <v>9.0300000000000011</v>
      </c>
      <c r="AM13" s="236"/>
      <c r="AN13" s="236" t="str">
        <f t="shared" si="1"/>
        <v>2#4+5#4</v>
      </c>
      <c r="AO13" s="236"/>
      <c r="AP13" s="254" t="str">
        <f t="shared" si="2"/>
        <v>OK</v>
      </c>
      <c r="AQ13" s="254"/>
      <c r="AR13" s="64">
        <v>2</v>
      </c>
      <c r="AS13" s="53">
        <v>4</v>
      </c>
      <c r="AT13" s="49" t="s">
        <v>318</v>
      </c>
      <c r="AU13" s="64">
        <v>1</v>
      </c>
      <c r="AV13" s="53">
        <v>3</v>
      </c>
      <c r="AW13" s="236">
        <f t="shared" si="3"/>
        <v>3.29</v>
      </c>
      <c r="AX13" s="236"/>
      <c r="AY13" s="236" t="str">
        <f t="shared" si="4"/>
        <v>2#4+1#3</v>
      </c>
      <c r="AZ13" s="236"/>
      <c r="BA13" s="254" t="str">
        <f t="shared" si="5"/>
        <v>OK</v>
      </c>
      <c r="BB13" s="254"/>
      <c r="BC13" s="82">
        <f t="shared" si="6"/>
        <v>110</v>
      </c>
      <c r="BD13" s="82">
        <f t="shared" si="7"/>
        <v>35</v>
      </c>
      <c r="BE13" s="82">
        <f>'0. INICIO'!$H$71*10</f>
        <v>280</v>
      </c>
      <c r="BF13" s="82">
        <v>4200</v>
      </c>
      <c r="BG13" s="82">
        <v>4</v>
      </c>
      <c r="BH13" s="53">
        <f t="shared" si="8"/>
        <v>102</v>
      </c>
      <c r="BI13" s="53">
        <f t="shared" si="9"/>
        <v>27</v>
      </c>
      <c r="BJ13" s="53">
        <f t="shared" si="10"/>
        <v>3850</v>
      </c>
      <c r="BK13" s="53">
        <f t="shared" si="11"/>
        <v>2754</v>
      </c>
      <c r="BL13" s="12">
        <f t="shared" si="12"/>
        <v>8.1185185185185187</v>
      </c>
      <c r="BM13" s="12">
        <f t="shared" si="13"/>
        <v>6.12</v>
      </c>
      <c r="BN13" s="12">
        <f t="shared" si="14"/>
        <v>2.1490196078431376</v>
      </c>
      <c r="BO13" s="12">
        <f t="shared" si="15"/>
        <v>1.6199999999999999</v>
      </c>
    </row>
    <row r="14" spans="1:67" ht="13.9" x14ac:dyDescent="0.25">
      <c r="A14" s="5"/>
      <c r="B14" s="6"/>
      <c r="AB14" s="7"/>
      <c r="AG14" s="64">
        <v>2</v>
      </c>
      <c r="AH14" s="53">
        <v>4</v>
      </c>
      <c r="AI14" s="49" t="s">
        <v>318</v>
      </c>
      <c r="AJ14" s="64">
        <v>1</v>
      </c>
      <c r="AK14" s="53">
        <v>3</v>
      </c>
      <c r="AL14" s="236">
        <f t="shared" si="0"/>
        <v>3.29</v>
      </c>
      <c r="AM14" s="236"/>
      <c r="AN14" s="236" t="str">
        <f t="shared" si="1"/>
        <v>2#4+1#3</v>
      </c>
      <c r="AO14" s="236"/>
      <c r="AP14" s="254" t="str">
        <f t="shared" si="2"/>
        <v>OK</v>
      </c>
      <c r="AQ14" s="254"/>
      <c r="AR14" s="64">
        <v>2</v>
      </c>
      <c r="AS14" s="53">
        <v>4</v>
      </c>
      <c r="AT14" s="49" t="s">
        <v>318</v>
      </c>
      <c r="AU14" s="64">
        <v>2</v>
      </c>
      <c r="AV14" s="53">
        <v>3</v>
      </c>
      <c r="AW14" s="236">
        <f t="shared" si="3"/>
        <v>4</v>
      </c>
      <c r="AX14" s="236"/>
      <c r="AY14" s="236" t="str">
        <f t="shared" si="4"/>
        <v>2#4+2#3</v>
      </c>
      <c r="AZ14" s="236"/>
      <c r="BA14" s="254" t="str">
        <f t="shared" si="5"/>
        <v>N/C</v>
      </c>
      <c r="BB14" s="254"/>
      <c r="BC14" s="82">
        <f t="shared" si="6"/>
        <v>0</v>
      </c>
      <c r="BD14" s="82">
        <f t="shared" si="7"/>
        <v>0</v>
      </c>
      <c r="BE14" s="82">
        <f>'0. INICIO'!$H$71*10</f>
        <v>280</v>
      </c>
      <c r="BF14" s="82">
        <v>4200</v>
      </c>
      <c r="BG14" s="82">
        <v>4</v>
      </c>
      <c r="BH14" s="53">
        <f t="shared" si="8"/>
        <v>-8</v>
      </c>
      <c r="BI14" s="53">
        <f t="shared" si="9"/>
        <v>-8</v>
      </c>
      <c r="BJ14" s="53">
        <f t="shared" si="10"/>
        <v>0</v>
      </c>
      <c r="BK14" s="53">
        <f t="shared" si="11"/>
        <v>64</v>
      </c>
      <c r="BL14" s="12">
        <f t="shared" si="12"/>
        <v>0</v>
      </c>
      <c r="BM14" s="12">
        <f t="shared" si="13"/>
        <v>0</v>
      </c>
      <c r="BN14" s="12">
        <f t="shared" si="14"/>
        <v>0</v>
      </c>
      <c r="BO14" s="12">
        <f t="shared" si="15"/>
        <v>0</v>
      </c>
    </row>
    <row r="15" spans="1:67" ht="13.9" x14ac:dyDescent="0.25">
      <c r="A15" s="5"/>
      <c r="B15" s="6"/>
      <c r="AB15" s="7"/>
      <c r="AG15" s="64">
        <v>2</v>
      </c>
      <c r="AH15" s="53">
        <v>4</v>
      </c>
      <c r="AI15" s="49" t="s">
        <v>318</v>
      </c>
      <c r="AJ15" s="64">
        <v>1</v>
      </c>
      <c r="AK15" s="53">
        <v>3</v>
      </c>
      <c r="AL15" s="236">
        <f t="shared" si="0"/>
        <v>3.29</v>
      </c>
      <c r="AM15" s="236"/>
      <c r="AN15" s="236" t="str">
        <f t="shared" si="1"/>
        <v>2#4+1#3</v>
      </c>
      <c r="AO15" s="236"/>
      <c r="AP15" s="254" t="str">
        <f t="shared" si="2"/>
        <v>OK</v>
      </c>
      <c r="AQ15" s="254"/>
      <c r="AR15" s="64">
        <v>2</v>
      </c>
      <c r="AS15" s="53">
        <v>4</v>
      </c>
      <c r="AT15" s="49" t="s">
        <v>318</v>
      </c>
      <c r="AU15" s="64">
        <v>2</v>
      </c>
      <c r="AV15" s="53">
        <v>3</v>
      </c>
      <c r="AW15" s="236">
        <f t="shared" si="3"/>
        <v>4</v>
      </c>
      <c r="AX15" s="236"/>
      <c r="AY15" s="236" t="str">
        <f t="shared" si="4"/>
        <v>2#4+2#3</v>
      </c>
      <c r="AZ15" s="236"/>
      <c r="BA15" s="254" t="str">
        <f t="shared" si="5"/>
        <v>N/C</v>
      </c>
      <c r="BB15" s="254"/>
      <c r="BC15" s="82">
        <f t="shared" si="6"/>
        <v>0</v>
      </c>
      <c r="BD15" s="82">
        <f t="shared" si="7"/>
        <v>0</v>
      </c>
      <c r="BE15" s="82">
        <f>'0. INICIO'!$H$71*10</f>
        <v>280</v>
      </c>
      <c r="BF15" s="82">
        <v>4200</v>
      </c>
      <c r="BG15" s="82">
        <v>4</v>
      </c>
      <c r="BH15" s="53">
        <f t="shared" si="8"/>
        <v>-8</v>
      </c>
      <c r="BI15" s="53">
        <f t="shared" si="9"/>
        <v>-8</v>
      </c>
      <c r="BJ15" s="53">
        <f t="shared" si="10"/>
        <v>0</v>
      </c>
      <c r="BK15" s="53">
        <f t="shared" si="11"/>
        <v>64</v>
      </c>
      <c r="BL15" s="12">
        <f t="shared" si="12"/>
        <v>0</v>
      </c>
      <c r="BM15" s="12">
        <f t="shared" si="13"/>
        <v>0</v>
      </c>
      <c r="BN15" s="12">
        <f t="shared" si="14"/>
        <v>0</v>
      </c>
      <c r="BO15" s="12">
        <f t="shared" si="15"/>
        <v>0</v>
      </c>
    </row>
    <row r="16" spans="1:67" ht="13.9" x14ac:dyDescent="0.25">
      <c r="A16" s="5"/>
      <c r="B16" s="6"/>
      <c r="AB16" s="7"/>
      <c r="AG16" s="64">
        <v>2</v>
      </c>
      <c r="AH16" s="53">
        <v>4</v>
      </c>
      <c r="AI16" s="49" t="s">
        <v>318</v>
      </c>
      <c r="AJ16" s="64">
        <v>1</v>
      </c>
      <c r="AK16" s="53">
        <v>3</v>
      </c>
      <c r="AL16" s="236">
        <f t="shared" si="0"/>
        <v>3.29</v>
      </c>
      <c r="AM16" s="236"/>
      <c r="AN16" s="236" t="str">
        <f t="shared" si="1"/>
        <v>2#4+1#3</v>
      </c>
      <c r="AO16" s="236"/>
      <c r="AP16" s="254" t="str">
        <f t="shared" si="2"/>
        <v>OK</v>
      </c>
      <c r="AQ16" s="254"/>
      <c r="AR16" s="64">
        <v>2</v>
      </c>
      <c r="AS16" s="53">
        <v>4</v>
      </c>
      <c r="AT16" s="49" t="s">
        <v>318</v>
      </c>
      <c r="AU16" s="64">
        <v>2</v>
      </c>
      <c r="AV16" s="53">
        <v>3</v>
      </c>
      <c r="AW16" s="236">
        <f t="shared" si="3"/>
        <v>4</v>
      </c>
      <c r="AX16" s="236"/>
      <c r="AY16" s="236" t="str">
        <f t="shared" si="4"/>
        <v>2#4+2#3</v>
      </c>
      <c r="AZ16" s="236"/>
      <c r="BA16" s="254" t="str">
        <f t="shared" si="5"/>
        <v>N/C</v>
      </c>
      <c r="BB16" s="254"/>
      <c r="BC16" s="82">
        <f t="shared" si="6"/>
        <v>0</v>
      </c>
      <c r="BD16" s="82">
        <f t="shared" si="7"/>
        <v>0</v>
      </c>
      <c r="BE16" s="82">
        <f>'0. INICIO'!$H$71*10</f>
        <v>280</v>
      </c>
      <c r="BF16" s="82">
        <v>4200</v>
      </c>
      <c r="BG16" s="82">
        <v>4</v>
      </c>
      <c r="BH16" s="53">
        <f t="shared" si="8"/>
        <v>-8</v>
      </c>
      <c r="BI16" s="53">
        <f t="shared" si="9"/>
        <v>-8</v>
      </c>
      <c r="BJ16" s="53">
        <f t="shared" si="10"/>
        <v>0</v>
      </c>
      <c r="BK16" s="53">
        <f t="shared" si="11"/>
        <v>64</v>
      </c>
      <c r="BL16" s="12">
        <f t="shared" si="12"/>
        <v>0</v>
      </c>
      <c r="BM16" s="12">
        <f t="shared" si="13"/>
        <v>0</v>
      </c>
      <c r="BN16" s="12">
        <f t="shared" si="14"/>
        <v>0</v>
      </c>
      <c r="BO16" s="12">
        <f t="shared" si="15"/>
        <v>0</v>
      </c>
    </row>
    <row r="17" spans="1:67" ht="13.9" x14ac:dyDescent="0.25">
      <c r="A17" s="5"/>
      <c r="B17" s="6"/>
      <c r="AB17" s="7"/>
      <c r="AG17" s="64">
        <v>2</v>
      </c>
      <c r="AH17" s="53">
        <v>4</v>
      </c>
      <c r="AI17" s="49" t="s">
        <v>318</v>
      </c>
      <c r="AJ17" s="64">
        <v>1</v>
      </c>
      <c r="AK17" s="53">
        <v>3</v>
      </c>
      <c r="AL17" s="236">
        <f t="shared" si="0"/>
        <v>3.29</v>
      </c>
      <c r="AM17" s="236"/>
      <c r="AN17" s="236" t="str">
        <f t="shared" si="1"/>
        <v>2#4+1#3</v>
      </c>
      <c r="AO17" s="236"/>
      <c r="AP17" s="254" t="str">
        <f t="shared" si="2"/>
        <v>OK</v>
      </c>
      <c r="AQ17" s="254"/>
      <c r="AR17" s="64">
        <v>2</v>
      </c>
      <c r="AS17" s="53">
        <v>4</v>
      </c>
      <c r="AT17" s="49" t="s">
        <v>318</v>
      </c>
      <c r="AU17" s="64">
        <v>2</v>
      </c>
      <c r="AV17" s="53">
        <v>3</v>
      </c>
      <c r="AW17" s="236">
        <f t="shared" si="3"/>
        <v>4</v>
      </c>
      <c r="AX17" s="236"/>
      <c r="AY17" s="236" t="str">
        <f t="shared" si="4"/>
        <v>2#4+2#3</v>
      </c>
      <c r="AZ17" s="236"/>
      <c r="BA17" s="254" t="str">
        <f t="shared" si="5"/>
        <v>N/C</v>
      </c>
      <c r="BB17" s="254"/>
      <c r="BC17" s="82">
        <f t="shared" si="6"/>
        <v>0</v>
      </c>
      <c r="BD17" s="82">
        <f t="shared" si="7"/>
        <v>0</v>
      </c>
      <c r="BE17" s="82">
        <f>'0. INICIO'!$H$71*10</f>
        <v>280</v>
      </c>
      <c r="BF17" s="82">
        <v>4200</v>
      </c>
      <c r="BG17" s="82">
        <v>4</v>
      </c>
      <c r="BH17" s="53">
        <f t="shared" si="8"/>
        <v>-8</v>
      </c>
      <c r="BI17" s="53">
        <f t="shared" si="9"/>
        <v>-8</v>
      </c>
      <c r="BJ17" s="53">
        <f t="shared" si="10"/>
        <v>0</v>
      </c>
      <c r="BK17" s="53">
        <f t="shared" si="11"/>
        <v>64</v>
      </c>
      <c r="BL17" s="12">
        <f t="shared" si="12"/>
        <v>0</v>
      </c>
      <c r="BM17" s="12">
        <f t="shared" si="13"/>
        <v>0</v>
      </c>
      <c r="BN17" s="12">
        <f t="shared" si="14"/>
        <v>0</v>
      </c>
      <c r="BO17" s="12">
        <f t="shared" si="15"/>
        <v>0</v>
      </c>
    </row>
    <row r="18" spans="1:67" ht="13.9" x14ac:dyDescent="0.25">
      <c r="A18" s="5"/>
      <c r="B18" s="6"/>
      <c r="C18" s="6"/>
      <c r="AB18" s="7"/>
      <c r="AG18" s="64">
        <v>2</v>
      </c>
      <c r="AH18" s="53">
        <v>4</v>
      </c>
      <c r="AI18" s="49" t="s">
        <v>318</v>
      </c>
      <c r="AJ18" s="64">
        <v>1</v>
      </c>
      <c r="AK18" s="53">
        <v>3</v>
      </c>
      <c r="AL18" s="236">
        <f t="shared" si="0"/>
        <v>3.29</v>
      </c>
      <c r="AM18" s="236"/>
      <c r="AN18" s="236" t="str">
        <f t="shared" si="1"/>
        <v>2#4+1#3</v>
      </c>
      <c r="AO18" s="236"/>
      <c r="AP18" s="254" t="str">
        <f t="shared" si="2"/>
        <v>OK</v>
      </c>
      <c r="AQ18" s="254"/>
      <c r="AR18" s="64">
        <v>2</v>
      </c>
      <c r="AS18" s="53">
        <v>4</v>
      </c>
      <c r="AT18" s="49" t="s">
        <v>318</v>
      </c>
      <c r="AU18" s="64">
        <v>2</v>
      </c>
      <c r="AV18" s="53">
        <v>3</v>
      </c>
      <c r="AW18" s="236">
        <f t="shared" si="3"/>
        <v>4</v>
      </c>
      <c r="AX18" s="236"/>
      <c r="AY18" s="236" t="str">
        <f t="shared" si="4"/>
        <v>2#4+2#3</v>
      </c>
      <c r="AZ18" s="236"/>
      <c r="BA18" s="254" t="str">
        <f t="shared" si="5"/>
        <v>N/C</v>
      </c>
      <c r="BB18" s="254"/>
      <c r="BC18" s="82">
        <f t="shared" si="6"/>
        <v>0</v>
      </c>
      <c r="BD18" s="82">
        <f t="shared" si="7"/>
        <v>0</v>
      </c>
      <c r="BE18" s="82">
        <f>'0. INICIO'!$H$71*10</f>
        <v>280</v>
      </c>
      <c r="BF18" s="82">
        <v>4200</v>
      </c>
      <c r="BG18" s="82">
        <v>4</v>
      </c>
      <c r="BH18" s="53">
        <f t="shared" si="8"/>
        <v>-8</v>
      </c>
      <c r="BI18" s="53">
        <f t="shared" si="9"/>
        <v>-8</v>
      </c>
      <c r="BJ18" s="53">
        <f t="shared" si="10"/>
        <v>0</v>
      </c>
      <c r="BK18" s="53">
        <f t="shared" si="11"/>
        <v>64</v>
      </c>
      <c r="BL18" s="12">
        <f t="shared" si="12"/>
        <v>0</v>
      </c>
      <c r="BM18" s="12">
        <f t="shared" si="13"/>
        <v>0</v>
      </c>
      <c r="BN18" s="12">
        <f t="shared" si="14"/>
        <v>0</v>
      </c>
      <c r="BO18" s="12">
        <f t="shared" si="15"/>
        <v>0</v>
      </c>
    </row>
    <row r="19" spans="1:67" ht="13.9" x14ac:dyDescent="0.25">
      <c r="A19" s="5"/>
      <c r="B19" s="6"/>
      <c r="C19" s="6"/>
      <c r="AB19" s="7"/>
      <c r="AG19" s="64">
        <v>2</v>
      </c>
      <c r="AH19" s="53">
        <v>4</v>
      </c>
      <c r="AI19" s="49" t="s">
        <v>318</v>
      </c>
      <c r="AJ19" s="64">
        <v>1</v>
      </c>
      <c r="AK19" s="53">
        <v>3</v>
      </c>
      <c r="AL19" s="236">
        <f t="shared" si="0"/>
        <v>3.29</v>
      </c>
      <c r="AM19" s="236"/>
      <c r="AN19" s="236" t="str">
        <f t="shared" si="1"/>
        <v>2#4+1#3</v>
      </c>
      <c r="AO19" s="236"/>
      <c r="AP19" s="254" t="str">
        <f t="shared" si="2"/>
        <v>OK</v>
      </c>
      <c r="AQ19" s="254"/>
      <c r="AR19" s="64">
        <v>2</v>
      </c>
      <c r="AS19" s="53">
        <v>4</v>
      </c>
      <c r="AT19" s="49" t="s">
        <v>318</v>
      </c>
      <c r="AU19" s="64">
        <v>2</v>
      </c>
      <c r="AV19" s="53">
        <v>3</v>
      </c>
      <c r="AW19" s="236">
        <f t="shared" si="3"/>
        <v>4</v>
      </c>
      <c r="AX19" s="236"/>
      <c r="AY19" s="236" t="str">
        <f t="shared" si="4"/>
        <v>2#4+2#3</v>
      </c>
      <c r="AZ19" s="236"/>
      <c r="BA19" s="254" t="str">
        <f t="shared" si="5"/>
        <v>N/C</v>
      </c>
      <c r="BB19" s="254"/>
      <c r="BC19" s="82">
        <f t="shared" si="6"/>
        <v>0</v>
      </c>
      <c r="BD19" s="82">
        <f t="shared" si="7"/>
        <v>0</v>
      </c>
      <c r="BE19" s="82">
        <f>'0. INICIO'!$H$71*10</f>
        <v>280</v>
      </c>
      <c r="BF19" s="82">
        <v>4200</v>
      </c>
      <c r="BG19" s="82">
        <v>4</v>
      </c>
      <c r="BH19" s="53">
        <f t="shared" si="8"/>
        <v>-8</v>
      </c>
      <c r="BI19" s="53">
        <f t="shared" si="9"/>
        <v>-8</v>
      </c>
      <c r="BJ19" s="53">
        <f t="shared" si="10"/>
        <v>0</v>
      </c>
      <c r="BK19" s="53">
        <f t="shared" si="11"/>
        <v>64</v>
      </c>
      <c r="BL19" s="12">
        <f t="shared" si="12"/>
        <v>0</v>
      </c>
      <c r="BM19" s="12">
        <f t="shared" si="13"/>
        <v>0</v>
      </c>
      <c r="BN19" s="12">
        <f t="shared" si="14"/>
        <v>0</v>
      </c>
      <c r="BO19" s="12">
        <f t="shared" si="15"/>
        <v>0</v>
      </c>
    </row>
    <row r="20" spans="1:67" ht="13.9" x14ac:dyDescent="0.25">
      <c r="A20" s="5"/>
      <c r="B20" s="6"/>
      <c r="C20" s="6"/>
      <c r="D20" s="6"/>
      <c r="E20" s="6"/>
      <c r="F20" s="6"/>
      <c r="G20" s="6"/>
      <c r="H20" s="6"/>
      <c r="I20" s="6"/>
      <c r="J20" s="6"/>
      <c r="AB20" s="7"/>
      <c r="AG20" s="64">
        <v>2</v>
      </c>
      <c r="AH20" s="53">
        <v>4</v>
      </c>
      <c r="AI20" s="49" t="s">
        <v>318</v>
      </c>
      <c r="AJ20" s="64">
        <v>1</v>
      </c>
      <c r="AK20" s="53">
        <v>3</v>
      </c>
      <c r="AL20" s="236">
        <f t="shared" si="0"/>
        <v>3.29</v>
      </c>
      <c r="AM20" s="236"/>
      <c r="AN20" s="236" t="str">
        <f t="shared" si="1"/>
        <v>2#4+1#3</v>
      </c>
      <c r="AO20" s="236"/>
      <c r="AP20" s="254" t="str">
        <f t="shared" si="2"/>
        <v>OK</v>
      </c>
      <c r="AQ20" s="254"/>
      <c r="AR20" s="64">
        <v>2</v>
      </c>
      <c r="AS20" s="53">
        <v>4</v>
      </c>
      <c r="AT20" s="49" t="s">
        <v>318</v>
      </c>
      <c r="AU20" s="64">
        <v>2</v>
      </c>
      <c r="AV20" s="53">
        <v>3</v>
      </c>
      <c r="AW20" s="236">
        <f t="shared" si="3"/>
        <v>4</v>
      </c>
      <c r="AX20" s="236"/>
      <c r="AY20" s="236" t="str">
        <f t="shared" si="4"/>
        <v>2#4+2#3</v>
      </c>
      <c r="AZ20" s="236"/>
      <c r="BA20" s="254" t="str">
        <f t="shared" si="5"/>
        <v>N/C</v>
      </c>
      <c r="BB20" s="254"/>
      <c r="BC20" s="82">
        <f t="shared" si="6"/>
        <v>0</v>
      </c>
      <c r="BD20" s="82">
        <f t="shared" si="7"/>
        <v>0</v>
      </c>
      <c r="BE20" s="82">
        <f>'0. INICIO'!$H$71*10</f>
        <v>280</v>
      </c>
      <c r="BF20" s="82">
        <v>4200</v>
      </c>
      <c r="BG20" s="82">
        <v>4</v>
      </c>
      <c r="BH20" s="53">
        <f t="shared" si="8"/>
        <v>-8</v>
      </c>
      <c r="BI20" s="53">
        <f t="shared" si="9"/>
        <v>-8</v>
      </c>
      <c r="BJ20" s="53">
        <f t="shared" si="10"/>
        <v>0</v>
      </c>
      <c r="BK20" s="53">
        <f t="shared" si="11"/>
        <v>64</v>
      </c>
      <c r="BL20" s="12">
        <f t="shared" si="12"/>
        <v>0</v>
      </c>
      <c r="BM20" s="12">
        <f t="shared" si="13"/>
        <v>0</v>
      </c>
      <c r="BN20" s="12">
        <f t="shared" si="14"/>
        <v>0</v>
      </c>
      <c r="BO20" s="12">
        <f t="shared" si="15"/>
        <v>0</v>
      </c>
    </row>
    <row r="21" spans="1:67" ht="13.9" x14ac:dyDescent="0.25">
      <c r="A21" s="5"/>
      <c r="B21" s="6"/>
      <c r="C21" s="6"/>
      <c r="D21" s="6"/>
      <c r="E21" s="6"/>
      <c r="F21" s="6"/>
      <c r="G21" s="6"/>
      <c r="H21" s="6"/>
      <c r="I21" s="6"/>
      <c r="J21" s="6"/>
      <c r="AB21" s="7"/>
      <c r="AG21" s="64">
        <v>2</v>
      </c>
      <c r="AH21" s="53">
        <v>4</v>
      </c>
      <c r="AI21" s="49" t="s">
        <v>318</v>
      </c>
      <c r="AJ21" s="64">
        <v>1</v>
      </c>
      <c r="AK21" s="53">
        <v>3</v>
      </c>
      <c r="AL21" s="236">
        <f t="shared" si="0"/>
        <v>3.29</v>
      </c>
      <c r="AM21" s="236"/>
      <c r="AN21" s="236" t="str">
        <f t="shared" si="1"/>
        <v>2#4+1#3</v>
      </c>
      <c r="AO21" s="236"/>
      <c r="AP21" s="254" t="str">
        <f t="shared" si="2"/>
        <v>OK</v>
      </c>
      <c r="AQ21" s="254"/>
      <c r="AR21" s="64">
        <v>2</v>
      </c>
      <c r="AS21" s="53">
        <v>4</v>
      </c>
      <c r="AT21" s="49" t="s">
        <v>318</v>
      </c>
      <c r="AU21" s="64">
        <v>2</v>
      </c>
      <c r="AV21" s="53">
        <v>3</v>
      </c>
      <c r="AW21" s="236">
        <f t="shared" si="3"/>
        <v>4</v>
      </c>
      <c r="AX21" s="236"/>
      <c r="AY21" s="236" t="str">
        <f t="shared" si="4"/>
        <v>2#4+2#3</v>
      </c>
      <c r="AZ21" s="236"/>
      <c r="BA21" s="254" t="str">
        <f t="shared" si="5"/>
        <v>N/C</v>
      </c>
      <c r="BB21" s="254"/>
      <c r="BC21" s="82">
        <f t="shared" si="6"/>
        <v>0</v>
      </c>
      <c r="BD21" s="82">
        <f t="shared" si="7"/>
        <v>0</v>
      </c>
      <c r="BE21" s="82">
        <f>'0. INICIO'!$H$71*10</f>
        <v>280</v>
      </c>
      <c r="BF21" s="82">
        <v>4200</v>
      </c>
      <c r="BG21" s="82">
        <v>4</v>
      </c>
      <c r="BH21" s="53">
        <f t="shared" si="8"/>
        <v>-8</v>
      </c>
      <c r="BI21" s="53">
        <f t="shared" si="9"/>
        <v>-8</v>
      </c>
      <c r="BJ21" s="53">
        <f t="shared" si="10"/>
        <v>0</v>
      </c>
      <c r="BK21" s="53">
        <f t="shared" si="11"/>
        <v>64</v>
      </c>
      <c r="BL21" s="12">
        <f t="shared" si="12"/>
        <v>0</v>
      </c>
      <c r="BM21" s="12">
        <f t="shared" si="13"/>
        <v>0</v>
      </c>
      <c r="BN21" s="12">
        <f t="shared" si="14"/>
        <v>0</v>
      </c>
      <c r="BO21" s="12">
        <f t="shared" si="15"/>
        <v>0</v>
      </c>
    </row>
    <row r="22" spans="1:67" ht="13.9" x14ac:dyDescent="0.25">
      <c r="A22" s="5"/>
      <c r="B22" s="6"/>
      <c r="C22" s="6"/>
      <c r="D22" s="6"/>
      <c r="E22" s="6"/>
      <c r="F22" s="6"/>
      <c r="G22" s="6"/>
      <c r="H22" s="6"/>
      <c r="I22" s="6"/>
      <c r="J22" s="6"/>
      <c r="AB22" s="7"/>
      <c r="AG22" s="64">
        <v>2</v>
      </c>
      <c r="AH22" s="53">
        <v>4</v>
      </c>
      <c r="AI22" s="49" t="s">
        <v>318</v>
      </c>
      <c r="AJ22" s="64">
        <v>1</v>
      </c>
      <c r="AK22" s="53">
        <v>3</v>
      </c>
      <c r="AL22" s="236">
        <f t="shared" si="0"/>
        <v>3.29</v>
      </c>
      <c r="AM22" s="236"/>
      <c r="AN22" s="236" t="str">
        <f t="shared" si="1"/>
        <v>2#4+1#3</v>
      </c>
      <c r="AO22" s="236"/>
      <c r="AP22" s="254" t="str">
        <f t="shared" si="2"/>
        <v>OK</v>
      </c>
      <c r="AQ22" s="254"/>
      <c r="AR22" s="64">
        <v>2</v>
      </c>
      <c r="AS22" s="53">
        <v>4</v>
      </c>
      <c r="AT22" s="49" t="s">
        <v>318</v>
      </c>
      <c r="AU22" s="64">
        <v>2</v>
      </c>
      <c r="AV22" s="53">
        <v>3</v>
      </c>
      <c r="AW22" s="236">
        <f t="shared" si="3"/>
        <v>4</v>
      </c>
      <c r="AX22" s="236"/>
      <c r="AY22" s="236" t="str">
        <f t="shared" si="4"/>
        <v>2#4+2#3</v>
      </c>
      <c r="AZ22" s="236"/>
      <c r="BA22" s="254" t="str">
        <f t="shared" si="5"/>
        <v>N/C</v>
      </c>
      <c r="BB22" s="254"/>
      <c r="BC22" s="82">
        <f t="shared" si="6"/>
        <v>0</v>
      </c>
      <c r="BD22" s="82">
        <f t="shared" si="7"/>
        <v>0</v>
      </c>
      <c r="BE22" s="82">
        <f>'0. INICIO'!$H$71*10</f>
        <v>280</v>
      </c>
      <c r="BF22" s="82">
        <v>4200</v>
      </c>
      <c r="BG22" s="82">
        <v>4</v>
      </c>
      <c r="BH22" s="53">
        <f t="shared" si="8"/>
        <v>-8</v>
      </c>
      <c r="BI22" s="53">
        <f t="shared" si="9"/>
        <v>-8</v>
      </c>
      <c r="BJ22" s="53">
        <f t="shared" si="10"/>
        <v>0</v>
      </c>
      <c r="BK22" s="53">
        <f t="shared" si="11"/>
        <v>64</v>
      </c>
      <c r="BL22" s="12">
        <f t="shared" si="12"/>
        <v>0</v>
      </c>
      <c r="BM22" s="12">
        <f t="shared" si="13"/>
        <v>0</v>
      </c>
      <c r="BN22" s="12">
        <f t="shared" si="14"/>
        <v>0</v>
      </c>
      <c r="BO22" s="12">
        <f t="shared" si="15"/>
        <v>0</v>
      </c>
    </row>
    <row r="23" spans="1:67" ht="13.9" x14ac:dyDescent="0.25">
      <c r="A23" s="5"/>
      <c r="B23" s="6"/>
      <c r="C23" s="6"/>
      <c r="D23" s="6"/>
      <c r="E23" s="6"/>
      <c r="F23" s="6"/>
      <c r="G23" s="6"/>
      <c r="H23" s="6"/>
      <c r="I23" s="6"/>
      <c r="J23" s="6"/>
      <c r="AB23" s="7"/>
      <c r="AG23" s="64">
        <v>2</v>
      </c>
      <c r="AH23" s="53">
        <v>4</v>
      </c>
      <c r="AI23" s="49" t="s">
        <v>318</v>
      </c>
      <c r="AJ23" s="64">
        <v>1</v>
      </c>
      <c r="AK23" s="53">
        <v>3</v>
      </c>
      <c r="AL23" s="236">
        <f t="shared" si="0"/>
        <v>3.29</v>
      </c>
      <c r="AM23" s="236"/>
      <c r="AN23" s="236" t="str">
        <f t="shared" si="1"/>
        <v>2#4+1#3</v>
      </c>
      <c r="AO23" s="236"/>
      <c r="AP23" s="254" t="str">
        <f t="shared" si="2"/>
        <v>OK</v>
      </c>
      <c r="AQ23" s="254"/>
      <c r="AR23" s="64">
        <v>2</v>
      </c>
      <c r="AS23" s="53">
        <v>4</v>
      </c>
      <c r="AT23" s="49" t="s">
        <v>318</v>
      </c>
      <c r="AU23" s="64">
        <v>2</v>
      </c>
      <c r="AV23" s="53">
        <v>3</v>
      </c>
      <c r="AW23" s="236">
        <f t="shared" si="3"/>
        <v>4</v>
      </c>
      <c r="AX23" s="236"/>
      <c r="AY23" s="236" t="str">
        <f t="shared" si="4"/>
        <v>2#4+2#3</v>
      </c>
      <c r="AZ23" s="236"/>
      <c r="BA23" s="254" t="str">
        <f t="shared" si="5"/>
        <v>N/C</v>
      </c>
      <c r="BB23" s="254"/>
      <c r="BC23" s="82">
        <f t="shared" si="6"/>
        <v>0</v>
      </c>
      <c r="BD23" s="82">
        <f t="shared" si="7"/>
        <v>0</v>
      </c>
      <c r="BE23" s="82">
        <f>'0. INICIO'!$H$71*10</f>
        <v>280</v>
      </c>
      <c r="BF23" s="82">
        <v>4200</v>
      </c>
      <c r="BG23" s="82">
        <v>4</v>
      </c>
      <c r="BH23" s="53">
        <f t="shared" si="8"/>
        <v>-8</v>
      </c>
      <c r="BI23" s="53">
        <f t="shared" si="9"/>
        <v>-8</v>
      </c>
      <c r="BJ23" s="53">
        <f t="shared" si="10"/>
        <v>0</v>
      </c>
      <c r="BK23" s="53">
        <f t="shared" si="11"/>
        <v>64</v>
      </c>
      <c r="BL23" s="12">
        <f t="shared" si="12"/>
        <v>0</v>
      </c>
      <c r="BM23" s="12">
        <f t="shared" si="13"/>
        <v>0</v>
      </c>
      <c r="BN23" s="12">
        <f t="shared" si="14"/>
        <v>0</v>
      </c>
      <c r="BO23" s="12">
        <f t="shared" si="15"/>
        <v>0</v>
      </c>
    </row>
    <row r="24" spans="1:67" ht="13.9" x14ac:dyDescent="0.25">
      <c r="A24" s="5"/>
      <c r="B24" s="6"/>
      <c r="C24" s="6"/>
      <c r="D24" s="6"/>
      <c r="E24" s="6"/>
      <c r="F24" s="6"/>
      <c r="G24" s="6"/>
      <c r="H24" s="6"/>
      <c r="I24" s="6"/>
      <c r="J24" s="6"/>
      <c r="AB24" s="7"/>
      <c r="AG24" s="64">
        <v>2</v>
      </c>
      <c r="AH24" s="53">
        <v>4</v>
      </c>
      <c r="AI24" s="49" t="s">
        <v>318</v>
      </c>
      <c r="AJ24" s="64">
        <v>1</v>
      </c>
      <c r="AK24" s="53">
        <v>3</v>
      </c>
      <c r="AL24" s="236">
        <f t="shared" si="0"/>
        <v>3.29</v>
      </c>
      <c r="AM24" s="236"/>
      <c r="AN24" s="236" t="str">
        <f t="shared" si="1"/>
        <v>2#4+1#3</v>
      </c>
      <c r="AO24" s="236"/>
      <c r="AP24" s="254" t="str">
        <f t="shared" si="2"/>
        <v>OK</v>
      </c>
      <c r="AQ24" s="254"/>
      <c r="AR24" s="64">
        <v>2</v>
      </c>
      <c r="AS24" s="53">
        <v>4</v>
      </c>
      <c r="AT24" s="49" t="s">
        <v>318</v>
      </c>
      <c r="AU24" s="64">
        <v>2</v>
      </c>
      <c r="AV24" s="53">
        <v>3</v>
      </c>
      <c r="AW24" s="236">
        <f t="shared" si="3"/>
        <v>4</v>
      </c>
      <c r="AX24" s="236"/>
      <c r="AY24" s="236" t="str">
        <f t="shared" si="4"/>
        <v>2#4+2#3</v>
      </c>
      <c r="AZ24" s="236"/>
      <c r="BA24" s="254" t="str">
        <f t="shared" si="5"/>
        <v>N/C</v>
      </c>
      <c r="BB24" s="254"/>
      <c r="BC24" s="82">
        <f t="shared" si="6"/>
        <v>0</v>
      </c>
      <c r="BD24" s="82">
        <f t="shared" si="7"/>
        <v>0</v>
      </c>
      <c r="BE24" s="82">
        <f>'0. INICIO'!$H$71*10</f>
        <v>280</v>
      </c>
      <c r="BF24" s="82">
        <v>4200</v>
      </c>
      <c r="BG24" s="82">
        <v>4</v>
      </c>
      <c r="BH24" s="53">
        <f t="shared" si="8"/>
        <v>-8</v>
      </c>
      <c r="BI24" s="53">
        <f t="shared" si="9"/>
        <v>-8</v>
      </c>
      <c r="BJ24" s="53">
        <f t="shared" si="10"/>
        <v>0</v>
      </c>
      <c r="BK24" s="53">
        <f t="shared" si="11"/>
        <v>64</v>
      </c>
      <c r="BL24" s="12">
        <f t="shared" si="12"/>
        <v>0</v>
      </c>
      <c r="BM24" s="12">
        <f t="shared" si="13"/>
        <v>0</v>
      </c>
      <c r="BN24" s="12">
        <f t="shared" si="14"/>
        <v>0</v>
      </c>
      <c r="BO24" s="12">
        <f t="shared" si="15"/>
        <v>0</v>
      </c>
    </row>
    <row r="25" spans="1:67" ht="13.9" x14ac:dyDescent="0.25">
      <c r="A25" s="5"/>
      <c r="B25" s="6"/>
      <c r="C25" s="6"/>
      <c r="D25" s="6"/>
      <c r="E25" s="6"/>
      <c r="F25" s="6"/>
      <c r="G25" s="6"/>
      <c r="H25" s="6"/>
      <c r="I25" s="6"/>
      <c r="J25" s="6"/>
      <c r="AB25" s="7"/>
    </row>
    <row r="26" spans="1:67" ht="13.9" x14ac:dyDescent="0.25">
      <c r="A26" s="5"/>
      <c r="B26" s="6"/>
      <c r="C26" s="6"/>
      <c r="D26" s="6"/>
      <c r="E26" s="6"/>
      <c r="F26" s="6"/>
      <c r="G26" s="6"/>
      <c r="H26" s="6"/>
      <c r="I26" s="6"/>
      <c r="J26" s="6"/>
      <c r="AB26" s="7"/>
    </row>
    <row r="27" spans="1:67" ht="13.9" x14ac:dyDescent="0.25">
      <c r="A27" s="5"/>
      <c r="B27" s="6"/>
      <c r="C27" s="6"/>
      <c r="D27" s="6"/>
      <c r="E27" s="6"/>
      <c r="F27" s="6"/>
      <c r="G27" s="6"/>
      <c r="H27" s="6"/>
      <c r="I27" s="6"/>
      <c r="J27" s="6"/>
      <c r="AB27" s="7"/>
    </row>
    <row r="28" spans="1:67" ht="13.9" x14ac:dyDescent="0.25">
      <c r="A28" s="5"/>
      <c r="B28" s="6"/>
      <c r="C28" s="6"/>
      <c r="D28" s="6"/>
      <c r="E28" s="6"/>
      <c r="F28" s="6"/>
      <c r="G28" s="6"/>
      <c r="H28" s="6"/>
      <c r="I28" s="6"/>
      <c r="J28" s="6"/>
      <c r="AB28" s="7"/>
    </row>
    <row r="29" spans="1:67" ht="13.9" x14ac:dyDescent="0.25">
      <c r="A29" s="5"/>
      <c r="B29" s="6"/>
      <c r="C29" s="6"/>
      <c r="D29" s="6"/>
      <c r="E29" s="6"/>
      <c r="F29" s="6"/>
      <c r="G29" s="6"/>
      <c r="H29" s="6"/>
      <c r="I29" s="6"/>
      <c r="J29" s="6"/>
      <c r="AB29" s="7"/>
    </row>
    <row r="30" spans="1:67" ht="13.9" x14ac:dyDescent="0.25">
      <c r="A30" s="5"/>
      <c r="B30" s="6"/>
      <c r="C30" s="6"/>
      <c r="D30" s="6"/>
      <c r="E30" s="6"/>
      <c r="F30" s="6"/>
      <c r="G30" s="6"/>
      <c r="H30" s="6"/>
      <c r="I30" s="6"/>
      <c r="J30" s="6"/>
      <c r="AB30" s="7"/>
    </row>
    <row r="31" spans="1:67" ht="13.9" x14ac:dyDescent="0.25">
      <c r="A31" s="5"/>
      <c r="B31" s="6"/>
      <c r="C31" s="6"/>
      <c r="D31" s="6"/>
      <c r="E31" s="6"/>
      <c r="F31" s="6"/>
      <c r="G31" s="6"/>
      <c r="H31" s="6"/>
      <c r="I31" s="6"/>
      <c r="J31" s="6"/>
      <c r="AB31" s="7"/>
    </row>
    <row r="32" spans="1:67" ht="13.9" x14ac:dyDescent="0.25">
      <c r="A32" s="5"/>
      <c r="B32" s="6"/>
      <c r="C32" s="6"/>
      <c r="D32" s="6"/>
      <c r="E32" s="6"/>
      <c r="F32" s="6"/>
      <c r="G32" s="6"/>
      <c r="H32" s="6"/>
      <c r="I32" s="6"/>
      <c r="J32" s="6"/>
      <c r="AB32" s="7"/>
    </row>
    <row r="33" spans="1:28" ht="13.9" x14ac:dyDescent="0.25">
      <c r="A33" s="5"/>
      <c r="B33" s="6"/>
      <c r="C33" s="6"/>
      <c r="D33" s="6"/>
      <c r="E33" s="6"/>
      <c r="F33" s="6"/>
      <c r="G33" s="6"/>
      <c r="H33" s="6"/>
      <c r="I33" s="6"/>
      <c r="J33" s="6"/>
      <c r="AB33" s="7"/>
    </row>
    <row r="34" spans="1:28" ht="13.9" x14ac:dyDescent="0.25">
      <c r="A34" s="5"/>
      <c r="B34" s="6"/>
      <c r="C34" s="6"/>
      <c r="D34" s="6"/>
      <c r="E34" s="6"/>
      <c r="F34" s="6"/>
      <c r="G34" s="6"/>
      <c r="H34" s="6"/>
      <c r="I34" s="6"/>
      <c r="J34" s="6"/>
      <c r="AB34" s="7"/>
    </row>
    <row r="35" spans="1:28" ht="13.9" x14ac:dyDescent="0.25">
      <c r="A35" s="5"/>
      <c r="B35" s="6"/>
      <c r="C35" s="6"/>
      <c r="D35" s="6"/>
      <c r="E35" s="6"/>
      <c r="F35" s="6"/>
      <c r="G35" s="6"/>
      <c r="H35" s="6"/>
      <c r="I35" s="6"/>
      <c r="J35" s="6"/>
      <c r="AB35" s="7"/>
    </row>
    <row r="36" spans="1:28" ht="13.9" x14ac:dyDescent="0.25">
      <c r="A36" s="5"/>
      <c r="B36" s="6"/>
      <c r="C36" s="6"/>
      <c r="D36" s="6"/>
      <c r="E36" s="6"/>
      <c r="F36" s="6"/>
      <c r="G36" s="6"/>
      <c r="H36" s="6"/>
      <c r="I36" s="6"/>
      <c r="J36" s="6"/>
      <c r="AB36" s="7"/>
    </row>
    <row r="37" spans="1:28" ht="13.9" customHeight="1" x14ac:dyDescent="0.25">
      <c r="A37" s="5"/>
      <c r="B37" s="6"/>
      <c r="C37" s="6"/>
      <c r="D37" s="6"/>
      <c r="E37" s="6"/>
      <c r="F37" s="6"/>
      <c r="G37" s="6"/>
      <c r="H37" s="6"/>
      <c r="I37" s="6"/>
      <c r="J37" s="6"/>
      <c r="AB37" s="7"/>
    </row>
    <row r="38" spans="1:28" ht="13.9" x14ac:dyDescent="0.25">
      <c r="A38" s="5"/>
      <c r="B38" s="6"/>
      <c r="C38" s="6"/>
      <c r="D38" s="6"/>
      <c r="E38" s="6"/>
      <c r="F38" s="6"/>
      <c r="G38" s="6"/>
      <c r="H38" s="6"/>
      <c r="I38" s="6"/>
      <c r="J38" s="6"/>
      <c r="AB38" s="7"/>
    </row>
    <row r="39" spans="1:28" ht="13.9" x14ac:dyDescent="0.25">
      <c r="A39" s="5"/>
      <c r="B39" s="6"/>
      <c r="C39" s="6"/>
      <c r="D39" s="6"/>
      <c r="E39" s="6"/>
      <c r="F39" s="6"/>
      <c r="G39" s="6"/>
      <c r="H39" s="6"/>
      <c r="I39" s="6"/>
      <c r="J39" s="6"/>
      <c r="AB39" s="7"/>
    </row>
    <row r="40" spans="1:28" ht="13.9" x14ac:dyDescent="0.25">
      <c r="A40" s="5"/>
      <c r="B40" s="6"/>
      <c r="C40" s="6"/>
      <c r="D40" s="6"/>
      <c r="E40" s="6"/>
      <c r="F40" s="6"/>
      <c r="G40" s="6"/>
      <c r="H40" s="6"/>
      <c r="I40" s="6"/>
      <c r="J40" s="6"/>
      <c r="AB40" s="7"/>
    </row>
    <row r="41" spans="1:28" ht="13.9" x14ac:dyDescent="0.25">
      <c r="A41" s="5"/>
      <c r="B41" s="6"/>
      <c r="C41" s="6"/>
      <c r="D41" s="6"/>
      <c r="E41" s="6"/>
      <c r="F41" s="6"/>
      <c r="G41" s="6"/>
      <c r="H41" s="6"/>
      <c r="I41" s="6"/>
      <c r="J41" s="6"/>
      <c r="AB41" s="7"/>
    </row>
    <row r="42" spans="1:28" ht="13.9" x14ac:dyDescent="0.25">
      <c r="A42" s="5"/>
      <c r="B42" s="6"/>
      <c r="C42" s="6"/>
      <c r="D42" s="6"/>
      <c r="E42" s="6"/>
      <c r="F42" s="6"/>
      <c r="G42" s="6"/>
      <c r="H42" s="6"/>
      <c r="I42" s="6"/>
      <c r="J42" s="6"/>
      <c r="AB42" s="7"/>
    </row>
    <row r="43" spans="1:28" ht="13.9" x14ac:dyDescent="0.25">
      <c r="A43" s="5"/>
      <c r="B43" s="6"/>
      <c r="C43" s="6"/>
      <c r="D43" s="6"/>
      <c r="E43" s="6"/>
      <c r="F43" s="6"/>
      <c r="G43" s="6"/>
      <c r="H43" s="6"/>
      <c r="I43" s="6"/>
      <c r="J43" s="6"/>
      <c r="U43" s="17"/>
      <c r="AB43" s="7"/>
    </row>
    <row r="44" spans="1:28" ht="13.9" x14ac:dyDescent="0.25">
      <c r="A44" s="5"/>
      <c r="B44" s="6"/>
      <c r="C44" s="6"/>
      <c r="D44" s="6"/>
      <c r="E44" s="6"/>
      <c r="F44" s="6"/>
      <c r="G44" s="6"/>
      <c r="H44" s="6"/>
      <c r="I44" s="6"/>
      <c r="J44" s="6"/>
      <c r="AB44" s="7"/>
    </row>
    <row r="45" spans="1:28" ht="13.9" x14ac:dyDescent="0.25">
      <c r="A45" s="5"/>
      <c r="B45" s="6"/>
      <c r="C45" s="6"/>
      <c r="D45" s="6"/>
      <c r="E45" s="6"/>
      <c r="F45" s="6"/>
      <c r="G45" s="6"/>
      <c r="H45" s="6"/>
      <c r="I45" s="6"/>
      <c r="J45" s="6"/>
      <c r="AB45" s="7"/>
    </row>
    <row r="46" spans="1:28" ht="13.9" x14ac:dyDescent="0.25">
      <c r="A46" s="5"/>
      <c r="B46" s="6"/>
      <c r="C46" s="6"/>
      <c r="D46" s="6"/>
      <c r="E46" s="6"/>
      <c r="F46" s="6"/>
      <c r="G46" s="6"/>
      <c r="H46" s="6"/>
      <c r="I46" s="6"/>
      <c r="J46" s="6"/>
      <c r="AB46" s="7"/>
    </row>
    <row r="47" spans="1:28" ht="13.9" x14ac:dyDescent="0.25">
      <c r="A47" s="9"/>
      <c r="B47" s="66"/>
      <c r="C47" s="66"/>
      <c r="D47" s="66"/>
      <c r="E47" s="66"/>
      <c r="F47" s="66"/>
      <c r="G47" s="66"/>
      <c r="H47" s="66"/>
      <c r="I47" s="66"/>
      <c r="J47" s="66"/>
      <c r="K47" s="10"/>
      <c r="L47" s="10"/>
      <c r="M47" s="10"/>
      <c r="N47" s="10"/>
      <c r="O47" s="10"/>
      <c r="P47" s="10"/>
      <c r="Q47" s="10"/>
      <c r="R47" s="10"/>
      <c r="S47" s="10"/>
      <c r="T47" s="10"/>
      <c r="U47" s="10"/>
      <c r="V47" s="10"/>
      <c r="W47" s="10"/>
      <c r="X47" s="10"/>
      <c r="Y47" s="10"/>
      <c r="Z47" s="10"/>
      <c r="AA47" s="10"/>
      <c r="AB47" s="11"/>
    </row>
    <row r="48" spans="1:28" ht="13.9" x14ac:dyDescent="0.25">
      <c r="A48" s="5"/>
      <c r="U48" s="7"/>
    </row>
    <row r="49" spans="1:21" ht="13.9" x14ac:dyDescent="0.25">
      <c r="A49" s="5"/>
      <c r="U49" s="7"/>
    </row>
    <row r="50" spans="1:21" ht="13.9" x14ac:dyDescent="0.25">
      <c r="A50" s="5"/>
      <c r="U50" s="7"/>
    </row>
    <row r="51" spans="1:21" ht="13.9" x14ac:dyDescent="0.25">
      <c r="A51" s="5"/>
      <c r="U51" s="7"/>
    </row>
    <row r="52" spans="1:21" ht="13.9" x14ac:dyDescent="0.25">
      <c r="A52" s="5"/>
      <c r="U52" s="7"/>
    </row>
    <row r="53" spans="1:21" ht="13.9" x14ac:dyDescent="0.25">
      <c r="A53" s="5"/>
      <c r="U53" s="7"/>
    </row>
    <row r="54" spans="1:21" ht="13.9" x14ac:dyDescent="0.25">
      <c r="A54" s="5"/>
      <c r="U54" s="7"/>
    </row>
    <row r="55" spans="1:21" ht="13.9" x14ac:dyDescent="0.25">
      <c r="A55" s="5"/>
      <c r="U55" s="7"/>
    </row>
    <row r="56" spans="1:21" ht="13.9" x14ac:dyDescent="0.25">
      <c r="A56" s="5"/>
      <c r="U56" s="7"/>
    </row>
    <row r="57" spans="1:21" ht="13.9" x14ac:dyDescent="0.25">
      <c r="A57" s="5"/>
      <c r="U57" s="7"/>
    </row>
    <row r="58" spans="1:21" ht="13.9" x14ac:dyDescent="0.25">
      <c r="A58" s="5"/>
      <c r="U58" s="7"/>
    </row>
    <row r="59" spans="1:21" ht="13.9" x14ac:dyDescent="0.25">
      <c r="A59" s="5"/>
      <c r="U59" s="7"/>
    </row>
    <row r="60" spans="1:21" ht="13.9" x14ac:dyDescent="0.25">
      <c r="A60" s="5"/>
      <c r="U60" s="7"/>
    </row>
    <row r="61" spans="1:21" x14ac:dyDescent="0.25">
      <c r="A61" s="5"/>
      <c r="U61" s="7"/>
    </row>
    <row r="62" spans="1:21" x14ac:dyDescent="0.25">
      <c r="A62" s="5"/>
      <c r="U62" s="7"/>
    </row>
    <row r="63" spans="1:21" x14ac:dyDescent="0.25">
      <c r="A63" s="5"/>
      <c r="U63" s="7"/>
    </row>
    <row r="64" spans="1:21" x14ac:dyDescent="0.25">
      <c r="A64" s="5"/>
      <c r="U64" s="7"/>
    </row>
    <row r="65" spans="1:21" x14ac:dyDescent="0.25">
      <c r="A65" s="9"/>
      <c r="B65" s="10"/>
      <c r="C65" s="10"/>
      <c r="D65" s="10"/>
      <c r="E65" s="10"/>
      <c r="F65" s="10"/>
      <c r="G65" s="10"/>
      <c r="H65" s="10"/>
      <c r="I65" s="10"/>
      <c r="J65" s="10"/>
      <c r="K65" s="10"/>
      <c r="L65" s="10"/>
      <c r="M65" s="10"/>
      <c r="N65" s="10"/>
      <c r="O65" s="10"/>
      <c r="P65" s="10"/>
      <c r="Q65" s="10"/>
      <c r="R65" s="10"/>
      <c r="S65" s="10"/>
      <c r="T65" s="10"/>
      <c r="U65" s="11"/>
    </row>
  </sheetData>
  <mergeCells count="168">
    <mergeCell ref="BA24:BB24"/>
    <mergeCell ref="AL24:AM24"/>
    <mergeCell ref="AN24:AO24"/>
    <mergeCell ref="AP24:AQ24"/>
    <mergeCell ref="AW24:AX24"/>
    <mergeCell ref="AY24:AZ24"/>
    <mergeCell ref="BA22:BB22"/>
    <mergeCell ref="AL23:AM23"/>
    <mergeCell ref="AN23:AO23"/>
    <mergeCell ref="AP23:AQ23"/>
    <mergeCell ref="AW23:AX23"/>
    <mergeCell ref="AY23:AZ23"/>
    <mergeCell ref="BA23:BB23"/>
    <mergeCell ref="AL22:AM22"/>
    <mergeCell ref="AN22:AO22"/>
    <mergeCell ref="AP22:AQ22"/>
    <mergeCell ref="AW22:AX22"/>
    <mergeCell ref="AY22:AZ22"/>
    <mergeCell ref="BA20:BB20"/>
    <mergeCell ref="AL21:AM21"/>
    <mergeCell ref="AN21:AO21"/>
    <mergeCell ref="AP21:AQ21"/>
    <mergeCell ref="AW21:AX21"/>
    <mergeCell ref="AY21:AZ21"/>
    <mergeCell ref="BA21:BB21"/>
    <mergeCell ref="AL20:AM20"/>
    <mergeCell ref="AN20:AO20"/>
    <mergeCell ref="AP20:AQ20"/>
    <mergeCell ref="AW20:AX20"/>
    <mergeCell ref="AY20:AZ20"/>
    <mergeCell ref="BA18:BB18"/>
    <mergeCell ref="AL19:AM19"/>
    <mergeCell ref="AN19:AO19"/>
    <mergeCell ref="AP19:AQ19"/>
    <mergeCell ref="AW19:AX19"/>
    <mergeCell ref="AY19:AZ19"/>
    <mergeCell ref="BA19:BB19"/>
    <mergeCell ref="AL18:AM18"/>
    <mergeCell ref="AN18:AO18"/>
    <mergeCell ref="AP18:AQ18"/>
    <mergeCell ref="AW18:AX18"/>
    <mergeCell ref="AY18:AZ18"/>
    <mergeCell ref="BA16:BB16"/>
    <mergeCell ref="AL17:AM17"/>
    <mergeCell ref="AN17:AO17"/>
    <mergeCell ref="AP17:AQ17"/>
    <mergeCell ref="AW17:AX17"/>
    <mergeCell ref="AY17:AZ17"/>
    <mergeCell ref="BA17:BB17"/>
    <mergeCell ref="AL16:AM16"/>
    <mergeCell ref="AN16:AO16"/>
    <mergeCell ref="AP16:AQ16"/>
    <mergeCell ref="AW16:AX16"/>
    <mergeCell ref="AY16:AZ16"/>
    <mergeCell ref="BA14:BB14"/>
    <mergeCell ref="AL15:AM15"/>
    <mergeCell ref="AN15:AO15"/>
    <mergeCell ref="AP15:AQ15"/>
    <mergeCell ref="AW15:AX15"/>
    <mergeCell ref="AY15:AZ15"/>
    <mergeCell ref="BA15:BB15"/>
    <mergeCell ref="AL14:AM14"/>
    <mergeCell ref="AN14:AO14"/>
    <mergeCell ref="AP14:AQ14"/>
    <mergeCell ref="AW14:AX14"/>
    <mergeCell ref="AY14:AZ14"/>
    <mergeCell ref="AW12:AX12"/>
    <mergeCell ref="AY12:AZ12"/>
    <mergeCell ref="BA12:BB12"/>
    <mergeCell ref="AL13:AM13"/>
    <mergeCell ref="AN13:AO13"/>
    <mergeCell ref="AP13:AQ13"/>
    <mergeCell ref="AW13:AX13"/>
    <mergeCell ref="AY13:AZ13"/>
    <mergeCell ref="BA13:BB13"/>
    <mergeCell ref="AL12:AM12"/>
    <mergeCell ref="AN12:AO12"/>
    <mergeCell ref="AP12:AQ12"/>
    <mergeCell ref="J1:K2"/>
    <mergeCell ref="L1:R2"/>
    <mergeCell ref="S1:T1"/>
    <mergeCell ref="P11:Q11"/>
    <mergeCell ref="U1:Y1"/>
    <mergeCell ref="S2:T2"/>
    <mergeCell ref="U2:Y2"/>
    <mergeCell ref="U3:Y3"/>
    <mergeCell ref="T8:T9"/>
    <mergeCell ref="AY11:AZ11"/>
    <mergeCell ref="BA11:BB11"/>
    <mergeCell ref="W11:X11"/>
    <mergeCell ref="BA9:BB10"/>
    <mergeCell ref="AL9:AM9"/>
    <mergeCell ref="AW11:AX11"/>
    <mergeCell ref="AI9:AI10"/>
    <mergeCell ref="BC8:BC9"/>
    <mergeCell ref="BD8:BD9"/>
    <mergeCell ref="AW10:AX10"/>
    <mergeCell ref="AL10:AM10"/>
    <mergeCell ref="W8:X10"/>
    <mergeCell ref="Z8:Z9"/>
    <mergeCell ref="AA8:AB10"/>
    <mergeCell ref="AR8:BB8"/>
    <mergeCell ref="AR9:AR10"/>
    <mergeCell ref="AS9:AS10"/>
    <mergeCell ref="AT9:AT10"/>
    <mergeCell ref="AU9:AU10"/>
    <mergeCell ref="AV9:AV10"/>
    <mergeCell ref="AY9:AZ10"/>
    <mergeCell ref="AP11:AQ11"/>
    <mergeCell ref="AA11:AB11"/>
    <mergeCell ref="AL11:AM11"/>
    <mergeCell ref="BN8:BN9"/>
    <mergeCell ref="BO8:BO9"/>
    <mergeCell ref="U8:U9"/>
    <mergeCell ref="Y8:Y9"/>
    <mergeCell ref="AP9:AQ10"/>
    <mergeCell ref="AG8:AQ8"/>
    <mergeCell ref="BI8:BI9"/>
    <mergeCell ref="BJ8:BJ9"/>
    <mergeCell ref="BK8:BK9"/>
    <mergeCell ref="BL8:BL9"/>
    <mergeCell ref="BM8:BM9"/>
    <mergeCell ref="AW9:AX9"/>
    <mergeCell ref="BF8:BF9"/>
    <mergeCell ref="BG8:BG9"/>
    <mergeCell ref="BH8:BH9"/>
    <mergeCell ref="V8:V9"/>
    <mergeCell ref="AJ9:AJ10"/>
    <mergeCell ref="AK9:AK10"/>
    <mergeCell ref="BE8:BE9"/>
    <mergeCell ref="AN11:AO11"/>
    <mergeCell ref="A11:B11"/>
    <mergeCell ref="D1:I3"/>
    <mergeCell ref="B5:AA6"/>
    <mergeCell ref="AG9:AG10"/>
    <mergeCell ref="AH9:AH10"/>
    <mergeCell ref="E8:E9"/>
    <mergeCell ref="D8:D9"/>
    <mergeCell ref="C8:C9"/>
    <mergeCell ref="A8:B10"/>
    <mergeCell ref="F8:F9"/>
    <mergeCell ref="L8:M9"/>
    <mergeCell ref="G8:K9"/>
    <mergeCell ref="L11:M11"/>
    <mergeCell ref="N8:O10"/>
    <mergeCell ref="N11:O11"/>
    <mergeCell ref="P8:Q10"/>
    <mergeCell ref="AN9:AO10"/>
    <mergeCell ref="R8:S10"/>
    <mergeCell ref="R11:S11"/>
    <mergeCell ref="L10:M10"/>
    <mergeCell ref="J3:K3"/>
    <mergeCell ref="L3:R3"/>
    <mergeCell ref="S3:T3"/>
    <mergeCell ref="A12:B12"/>
    <mergeCell ref="L12:M12"/>
    <mergeCell ref="N12:O12"/>
    <mergeCell ref="P12:Q12"/>
    <mergeCell ref="R12:S12"/>
    <mergeCell ref="W12:X12"/>
    <mergeCell ref="AA12:AB12"/>
    <mergeCell ref="A13:B13"/>
    <mergeCell ref="L13:M13"/>
    <mergeCell ref="N13:O13"/>
    <mergeCell ref="P13:Q13"/>
    <mergeCell ref="R13:S13"/>
    <mergeCell ref="W13:X13"/>
    <mergeCell ref="AA13:AB13"/>
  </mergeCells>
  <phoneticPr fontId="3" type="noConversion"/>
  <conditionalFormatting sqref="P11:Q13">
    <cfRule type="cellIs" dxfId="165" priority="1" operator="equal">
      <formula>"N/C"</formula>
    </cfRule>
    <cfRule type="cellIs" dxfId="164" priority="2" operator="equal">
      <formula>"OK"</formula>
    </cfRule>
  </conditionalFormatting>
  <conditionalFormatting sqref="AP11:AP24">
    <cfRule type="containsText" dxfId="163" priority="11" operator="containsText" text="N/C">
      <formula>NOT(ISERROR(SEARCH("N/C",AP11)))</formula>
    </cfRule>
    <cfRule type="containsText" dxfId="162" priority="12" operator="containsText" text="OK">
      <formula>NOT(ISERROR(SEARCH("OK",AP11)))</formula>
    </cfRule>
  </conditionalFormatting>
  <conditionalFormatting sqref="BA11:BA24">
    <cfRule type="containsText" dxfId="161" priority="9" operator="containsText" text="N/C">
      <formula>NOT(ISERROR(SEARCH("N/C",BA11)))</formula>
    </cfRule>
    <cfRule type="containsText" dxfId="160" priority="10" operator="containsText" text="OK">
      <formula>NOT(ISERROR(SEARCH("OK",BA11)))</formula>
    </cfRule>
  </conditionalFormatting>
  <dataValidations count="1">
    <dataValidation type="list" allowBlank="1" showInputMessage="1" showErrorMessage="1" sqref="H11:H13 AS11:AS24 AV11:AV24 AK11:AK24 AH11:AH24 K11:K13" xr:uid="{6882512E-9200-44EE-A3CE-C12A2566A9C1}">
      <formula1>$AD$4:$AD$12</formula1>
    </dataValidation>
  </dataValidations>
  <printOptions horizontalCentered="1" verticalCentered="1"/>
  <pageMargins left="0.23622047244094491" right="0.23622047244094491" top="0.74803149606299213" bottom="0.74803149606299213" header="0.31496062992125984" footer="0.31496062992125984"/>
  <pageSetup scale="74" orientation="landscape" r:id="rId1"/>
  <colBreaks count="2" manualBreakCount="2">
    <brk id="28" max="65" man="1"/>
    <brk id="40" max="65"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B4A63-6175-434D-BA8F-87E5616E4BD0}">
  <dimension ref="A1:U65"/>
  <sheetViews>
    <sheetView workbookViewId="0">
      <selection sqref="A1:E3"/>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1"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21" x14ac:dyDescent="0.25">
      <c r="A3" s="214"/>
      <c r="B3" s="215"/>
      <c r="C3" s="215"/>
      <c r="D3" s="215"/>
      <c r="E3" s="216"/>
      <c r="F3" s="217" t="s">
        <v>1</v>
      </c>
      <c r="G3" s="210"/>
      <c r="H3" s="217" t="s">
        <v>596</v>
      </c>
      <c r="I3" s="209"/>
      <c r="J3" s="209"/>
      <c r="K3" s="209"/>
      <c r="L3" s="209"/>
      <c r="M3" s="209"/>
      <c r="N3" s="210"/>
      <c r="O3" s="217" t="s">
        <v>4</v>
      </c>
      <c r="P3" s="209"/>
      <c r="Q3" s="209" t="str">
        <f>'0. CARTA RESPONSABILIDAD'!Q3</f>
        <v>R0</v>
      </c>
      <c r="R3" s="209"/>
      <c r="S3" s="209"/>
      <c r="T3" s="209"/>
      <c r="U3" s="210"/>
    </row>
    <row r="4" spans="1:21" ht="13.9" x14ac:dyDescent="0.25">
      <c r="A4" s="2"/>
      <c r="B4" s="3"/>
      <c r="C4" s="3"/>
      <c r="D4" s="3"/>
      <c r="E4" s="3"/>
      <c r="F4" s="3"/>
      <c r="G4" s="3"/>
      <c r="H4" s="3"/>
      <c r="I4" s="3"/>
      <c r="J4" s="3"/>
      <c r="K4" s="3"/>
      <c r="L4" s="3"/>
      <c r="M4" s="3"/>
      <c r="N4" s="3"/>
      <c r="O4" s="3"/>
      <c r="P4" s="3"/>
      <c r="Q4" s="3"/>
      <c r="R4" s="3"/>
      <c r="S4" s="3"/>
      <c r="T4" s="3"/>
      <c r="U4" s="4"/>
    </row>
    <row r="5" spans="1:21" ht="13.9" customHeight="1" x14ac:dyDescent="0.25">
      <c r="A5" s="5"/>
      <c r="U5" s="7"/>
    </row>
    <row r="6" spans="1:21" ht="13.9" customHeight="1" x14ac:dyDescent="0.25">
      <c r="A6" s="5"/>
      <c r="U6" s="7"/>
    </row>
    <row r="7" spans="1:21" ht="13.9" customHeight="1" x14ac:dyDescent="0.25">
      <c r="A7" s="5"/>
      <c r="B7" s="106"/>
      <c r="C7" s="106"/>
      <c r="D7" s="106"/>
      <c r="E7" s="106"/>
      <c r="F7" s="106"/>
      <c r="G7" s="106"/>
      <c r="H7" s="106"/>
      <c r="I7" s="106"/>
      <c r="J7" s="106"/>
      <c r="K7" s="106"/>
      <c r="L7" s="106"/>
      <c r="M7" s="106"/>
      <c r="N7" s="106"/>
      <c r="O7" s="106"/>
      <c r="P7" s="106"/>
      <c r="Q7" s="106"/>
      <c r="R7" s="106"/>
      <c r="S7" s="106"/>
      <c r="T7" s="106"/>
      <c r="U7" s="7"/>
    </row>
    <row r="8" spans="1:21" ht="13.9" customHeight="1" x14ac:dyDescent="0.25">
      <c r="A8" s="5"/>
      <c r="B8" s="6"/>
      <c r="C8" s="106"/>
      <c r="D8" s="106"/>
      <c r="E8" s="106"/>
      <c r="F8" s="106"/>
      <c r="G8" s="106"/>
      <c r="H8" s="106"/>
      <c r="I8" s="106"/>
      <c r="J8" s="106"/>
      <c r="K8" s="106"/>
      <c r="L8" s="106"/>
      <c r="M8" s="106"/>
      <c r="N8" s="106"/>
      <c r="O8" s="106"/>
      <c r="P8" s="106"/>
      <c r="Q8" s="106"/>
      <c r="R8" s="106"/>
      <c r="S8" s="106"/>
      <c r="T8" s="106"/>
      <c r="U8" s="7"/>
    </row>
    <row r="9" spans="1:21" ht="13.9" x14ac:dyDescent="0.25">
      <c r="A9" s="5"/>
      <c r="U9" s="7"/>
    </row>
    <row r="10" spans="1:21" ht="13.9" x14ac:dyDescent="0.25">
      <c r="A10" s="5"/>
      <c r="U10" s="7"/>
    </row>
    <row r="11" spans="1:21" ht="13.9" x14ac:dyDescent="0.25">
      <c r="A11" s="5"/>
      <c r="U11" s="7"/>
    </row>
    <row r="12" spans="1:21" ht="13.9" x14ac:dyDescent="0.25">
      <c r="A12" s="5"/>
      <c r="U12" s="7"/>
    </row>
    <row r="13" spans="1:21" ht="13.9" x14ac:dyDescent="0.25">
      <c r="A13" s="5"/>
      <c r="U13" s="7"/>
    </row>
    <row r="14" spans="1:21" ht="13.9" x14ac:dyDescent="0.25">
      <c r="A14" s="5"/>
      <c r="U14" s="7"/>
    </row>
    <row r="15" spans="1:21" ht="13.9" x14ac:dyDescent="0.25">
      <c r="A15" s="5"/>
      <c r="U15" s="7"/>
    </row>
    <row r="16" spans="1:21" ht="13.9" x14ac:dyDescent="0.25">
      <c r="A16" s="5"/>
      <c r="U16" s="7"/>
    </row>
    <row r="17" spans="1:21" ht="13.9" x14ac:dyDescent="0.25">
      <c r="A17" s="5"/>
      <c r="U17" s="7"/>
    </row>
    <row r="18" spans="1:21" ht="13.9" x14ac:dyDescent="0.25">
      <c r="A18" s="5"/>
      <c r="U18" s="7"/>
    </row>
    <row r="19" spans="1:21" ht="13.9" x14ac:dyDescent="0.25">
      <c r="A19" s="5"/>
      <c r="U19" s="7"/>
    </row>
    <row r="20" spans="1:21" ht="13.9" x14ac:dyDescent="0.25">
      <c r="A20" s="5"/>
      <c r="U20" s="7"/>
    </row>
    <row r="21" spans="1:21" ht="13.9" x14ac:dyDescent="0.25">
      <c r="A21" s="5"/>
      <c r="U21" s="7"/>
    </row>
    <row r="22" spans="1:21" ht="13.9" x14ac:dyDescent="0.25">
      <c r="A22" s="5"/>
      <c r="U22" s="7"/>
    </row>
    <row r="23" spans="1:21" ht="13.9" x14ac:dyDescent="0.25">
      <c r="A23" s="5"/>
      <c r="U23" s="7"/>
    </row>
    <row r="24" spans="1:21" ht="13.9" x14ac:dyDescent="0.25">
      <c r="A24" s="5"/>
      <c r="B24" s="6"/>
      <c r="C24" s="6"/>
      <c r="D24" s="6"/>
      <c r="E24" s="6"/>
      <c r="F24" s="6"/>
      <c r="G24" s="6"/>
      <c r="H24" s="6"/>
      <c r="I24" s="6"/>
      <c r="J24" s="6"/>
      <c r="U24" s="7"/>
    </row>
    <row r="25" spans="1:21" ht="13.9" x14ac:dyDescent="0.25">
      <c r="A25" s="5"/>
      <c r="U25" s="7"/>
    </row>
    <row r="26" spans="1:21" ht="13.9" x14ac:dyDescent="0.25">
      <c r="A26" s="5"/>
      <c r="U26" s="7"/>
    </row>
    <row r="27" spans="1:21" ht="13.9" customHeight="1" x14ac:dyDescent="0.25">
      <c r="A27" s="5"/>
      <c r="B27" s="94"/>
      <c r="C27" s="94"/>
      <c r="D27" s="94"/>
      <c r="E27" s="94"/>
      <c r="F27" s="94"/>
      <c r="G27" s="94"/>
      <c r="H27" s="94"/>
      <c r="I27" s="94"/>
      <c r="J27" s="94"/>
      <c r="K27" s="94"/>
      <c r="L27" s="94"/>
      <c r="M27" s="94"/>
      <c r="N27" s="94"/>
      <c r="O27" s="94"/>
      <c r="P27" s="94"/>
      <c r="Q27" s="94"/>
      <c r="R27" s="94"/>
      <c r="S27" s="94"/>
      <c r="T27" s="94"/>
      <c r="U27" s="7"/>
    </row>
    <row r="28" spans="1:21" ht="13.9" customHeight="1" x14ac:dyDescent="0.25">
      <c r="A28" s="5"/>
      <c r="B28" s="94"/>
      <c r="C28" s="94"/>
      <c r="D28" s="94"/>
      <c r="E28" s="94"/>
      <c r="F28" s="94"/>
      <c r="G28" s="94"/>
      <c r="H28" s="94"/>
      <c r="I28" s="94"/>
      <c r="J28" s="94"/>
      <c r="K28" s="94"/>
      <c r="L28" s="94"/>
      <c r="M28" s="94"/>
      <c r="N28" s="94"/>
      <c r="O28" s="94"/>
      <c r="P28" s="94"/>
      <c r="Q28" s="94"/>
      <c r="R28" s="94"/>
      <c r="S28" s="94"/>
      <c r="T28" s="94"/>
      <c r="U28" s="7"/>
    </row>
    <row r="29" spans="1:21" ht="13.9" customHeight="1" x14ac:dyDescent="0.25">
      <c r="A29" s="5"/>
      <c r="B29" s="94"/>
      <c r="C29" s="94"/>
      <c r="D29" s="94"/>
      <c r="E29" s="94"/>
      <c r="F29" s="94"/>
      <c r="G29" s="94"/>
      <c r="H29" s="94"/>
      <c r="I29" s="94"/>
      <c r="J29" s="94"/>
      <c r="K29" s="94"/>
      <c r="L29" s="94"/>
      <c r="M29" s="94"/>
      <c r="N29" s="94"/>
      <c r="O29" s="94"/>
      <c r="P29" s="94"/>
      <c r="Q29" s="94"/>
      <c r="R29" s="94"/>
      <c r="S29" s="94"/>
      <c r="T29" s="94"/>
      <c r="U29" s="7"/>
    </row>
    <row r="30" spans="1:21" ht="13.9" customHeight="1" x14ac:dyDescent="0.25">
      <c r="A30" s="5"/>
      <c r="B30" s="94"/>
      <c r="C30" s="94"/>
      <c r="D30" s="94"/>
      <c r="E30" s="94"/>
      <c r="F30" s="94"/>
      <c r="G30" s="94"/>
      <c r="H30" s="94"/>
      <c r="I30" s="94"/>
      <c r="J30" s="94"/>
      <c r="K30" s="94"/>
      <c r="L30" s="94"/>
      <c r="M30" s="94"/>
      <c r="N30" s="94"/>
      <c r="O30" s="94"/>
      <c r="P30" s="94"/>
      <c r="Q30" s="94"/>
      <c r="R30" s="94"/>
      <c r="S30" s="94"/>
      <c r="T30" s="94"/>
      <c r="U30" s="7"/>
    </row>
    <row r="31" spans="1:21" ht="13.9" customHeight="1" x14ac:dyDescent="0.25">
      <c r="A31" s="5"/>
      <c r="B31" s="94"/>
      <c r="C31" s="94"/>
      <c r="D31" s="94"/>
      <c r="E31" s="94"/>
      <c r="F31" s="94"/>
      <c r="G31" s="94"/>
      <c r="H31" s="94"/>
      <c r="I31" s="94"/>
      <c r="J31" s="94"/>
      <c r="K31" s="94"/>
      <c r="L31" s="94"/>
      <c r="M31" s="94"/>
      <c r="N31" s="94"/>
      <c r="O31" s="94"/>
      <c r="P31" s="94"/>
      <c r="Q31" s="94"/>
      <c r="R31" s="94"/>
      <c r="S31" s="94"/>
      <c r="T31" s="94"/>
      <c r="U31" s="7"/>
    </row>
    <row r="32" spans="1:21" ht="13.9" customHeight="1" x14ac:dyDescent="0.25">
      <c r="A32" s="5"/>
      <c r="B32" s="314" t="s">
        <v>756</v>
      </c>
      <c r="C32" s="314"/>
      <c r="D32" s="314"/>
      <c r="E32" s="314"/>
      <c r="F32" s="314"/>
      <c r="G32" s="314"/>
      <c r="H32" s="314"/>
      <c r="I32" s="314"/>
      <c r="J32" s="314"/>
      <c r="K32" s="314"/>
      <c r="L32" s="314"/>
      <c r="M32" s="314"/>
      <c r="N32" s="314"/>
      <c r="O32" s="314"/>
      <c r="P32" s="314"/>
      <c r="Q32" s="314"/>
      <c r="R32" s="314"/>
      <c r="S32" s="314"/>
      <c r="T32" s="314"/>
      <c r="U32" s="7"/>
    </row>
    <row r="33" spans="1:21" ht="13.9" customHeight="1" x14ac:dyDescent="0.25">
      <c r="A33" s="5"/>
      <c r="B33" s="314"/>
      <c r="C33" s="314"/>
      <c r="D33" s="314"/>
      <c r="E33" s="314"/>
      <c r="F33" s="314"/>
      <c r="G33" s="314"/>
      <c r="H33" s="314"/>
      <c r="I33" s="314"/>
      <c r="J33" s="314"/>
      <c r="K33" s="314"/>
      <c r="L33" s="314"/>
      <c r="M33" s="314"/>
      <c r="N33" s="314"/>
      <c r="O33" s="314"/>
      <c r="P33" s="314"/>
      <c r="Q33" s="314"/>
      <c r="R33" s="314"/>
      <c r="S33" s="314"/>
      <c r="T33" s="314"/>
      <c r="U33" s="7"/>
    </row>
    <row r="34" spans="1:21" ht="13.9" customHeight="1" x14ac:dyDescent="0.25">
      <c r="A34" s="5"/>
      <c r="B34" s="94"/>
      <c r="C34" s="94"/>
      <c r="D34" s="94"/>
      <c r="E34" s="94"/>
      <c r="F34" s="94"/>
      <c r="G34" s="94"/>
      <c r="H34" s="94"/>
      <c r="I34" s="94"/>
      <c r="J34" s="94"/>
      <c r="K34" s="94"/>
      <c r="L34" s="94"/>
      <c r="M34" s="94"/>
      <c r="N34" s="94"/>
      <c r="O34" s="94"/>
      <c r="P34" s="94"/>
      <c r="Q34" s="94"/>
      <c r="R34" s="94"/>
      <c r="S34" s="94"/>
      <c r="T34" s="94"/>
      <c r="U34" s="7"/>
    </row>
    <row r="35" spans="1:21" ht="13.9" customHeight="1" x14ac:dyDescent="0.25">
      <c r="A35" s="5"/>
      <c r="B35" s="94"/>
      <c r="C35" s="94"/>
      <c r="D35" s="94"/>
      <c r="E35" s="94"/>
      <c r="F35" s="94"/>
      <c r="G35" s="94"/>
      <c r="H35" s="94"/>
      <c r="I35" s="94"/>
      <c r="J35" s="94"/>
      <c r="K35" s="94"/>
      <c r="L35" s="94"/>
      <c r="M35" s="94"/>
      <c r="N35" s="94"/>
      <c r="O35" s="94"/>
      <c r="P35" s="94"/>
      <c r="Q35" s="94"/>
      <c r="R35" s="94"/>
      <c r="S35" s="94"/>
      <c r="T35" s="94"/>
      <c r="U35" s="7"/>
    </row>
    <row r="36" spans="1:21" ht="13.9" customHeight="1" x14ac:dyDescent="0.25">
      <c r="A36" s="5"/>
      <c r="B36" s="94"/>
      <c r="C36" s="94"/>
      <c r="D36" s="94"/>
      <c r="E36" s="94"/>
      <c r="F36" s="94"/>
      <c r="G36" s="94"/>
      <c r="H36" s="94"/>
      <c r="I36" s="94"/>
      <c r="J36" s="94"/>
      <c r="K36" s="94"/>
      <c r="L36" s="94"/>
      <c r="M36" s="94"/>
      <c r="N36" s="94"/>
      <c r="O36" s="94"/>
      <c r="P36" s="94"/>
      <c r="Q36" s="94"/>
      <c r="R36" s="94"/>
      <c r="S36" s="94"/>
      <c r="T36" s="94"/>
      <c r="U36" s="7"/>
    </row>
    <row r="37" spans="1:21" ht="13.9" customHeight="1" x14ac:dyDescent="0.25">
      <c r="A37" s="5"/>
      <c r="B37" s="94"/>
      <c r="C37" s="94"/>
      <c r="D37" s="94"/>
      <c r="E37" s="94"/>
      <c r="F37" s="94"/>
      <c r="G37" s="94"/>
      <c r="H37" s="94"/>
      <c r="I37" s="94"/>
      <c r="J37" s="94"/>
      <c r="K37" s="94"/>
      <c r="L37" s="94"/>
      <c r="M37" s="94"/>
      <c r="N37" s="94"/>
      <c r="O37" s="94"/>
      <c r="P37" s="94"/>
      <c r="Q37" s="94"/>
      <c r="R37" s="94"/>
      <c r="S37" s="94"/>
      <c r="T37" s="94"/>
      <c r="U37" s="7"/>
    </row>
    <row r="38" spans="1:21" ht="13.9" customHeight="1" x14ac:dyDescent="0.25">
      <c r="A38" s="5"/>
      <c r="B38" s="94"/>
      <c r="C38" s="94"/>
      <c r="D38" s="94"/>
      <c r="E38" s="94"/>
      <c r="F38" s="94"/>
      <c r="G38" s="94"/>
      <c r="H38" s="94"/>
      <c r="I38" s="94"/>
      <c r="J38" s="94"/>
      <c r="K38" s="94"/>
      <c r="L38" s="94"/>
      <c r="M38" s="94"/>
      <c r="N38" s="94"/>
      <c r="O38" s="94"/>
      <c r="P38" s="94"/>
      <c r="Q38" s="94"/>
      <c r="R38" s="94"/>
      <c r="S38" s="94"/>
      <c r="T38" s="94"/>
      <c r="U38" s="7"/>
    </row>
    <row r="39" spans="1:21" ht="13.9" x14ac:dyDescent="0.25">
      <c r="A39" s="5"/>
      <c r="U39" s="7"/>
    </row>
    <row r="40" spans="1:21" ht="13.9" x14ac:dyDescent="0.25">
      <c r="A40" s="5"/>
      <c r="U40" s="7"/>
    </row>
    <row r="41" spans="1:21" ht="13.9" x14ac:dyDescent="0.25">
      <c r="A41" s="5"/>
      <c r="B41" s="6"/>
      <c r="C41" s="6"/>
      <c r="D41" s="6"/>
      <c r="E41" s="6"/>
      <c r="F41" s="6"/>
      <c r="G41" s="6"/>
      <c r="H41" s="6"/>
      <c r="I41" s="6"/>
      <c r="J41" s="6"/>
      <c r="U41" s="7"/>
    </row>
    <row r="42" spans="1:21" ht="13.9" x14ac:dyDescent="0.25">
      <c r="A42" s="5"/>
      <c r="B42" s="6"/>
      <c r="C42" s="6"/>
      <c r="D42" s="6"/>
      <c r="E42" s="6"/>
      <c r="F42" s="6"/>
      <c r="G42" s="6"/>
      <c r="H42" s="6"/>
      <c r="I42" s="6"/>
      <c r="J42" s="6"/>
      <c r="U42" s="8"/>
    </row>
    <row r="43" spans="1:21" ht="13.9" x14ac:dyDescent="0.25">
      <c r="A43" s="5"/>
      <c r="B43" s="6"/>
      <c r="C43" s="6"/>
      <c r="D43" s="6"/>
      <c r="E43" s="6"/>
      <c r="F43" s="6"/>
      <c r="G43" s="6"/>
      <c r="H43" s="6"/>
      <c r="I43" s="6"/>
      <c r="J43" s="6"/>
      <c r="U43" s="7"/>
    </row>
    <row r="44" spans="1:21" ht="13.9" x14ac:dyDescent="0.25">
      <c r="A44" s="5"/>
      <c r="B44" s="6"/>
      <c r="C44" s="6"/>
      <c r="D44" s="6"/>
      <c r="E44" s="6"/>
      <c r="F44" s="6"/>
      <c r="G44" s="6"/>
      <c r="H44" s="6"/>
      <c r="I44" s="6"/>
      <c r="J44" s="6"/>
      <c r="U44" s="7"/>
    </row>
    <row r="45" spans="1:21" ht="13.9" x14ac:dyDescent="0.25">
      <c r="A45" s="5"/>
      <c r="B45" s="6"/>
      <c r="C45" s="6"/>
      <c r="D45" s="6"/>
      <c r="E45" s="6"/>
      <c r="F45" s="6"/>
      <c r="G45" s="6"/>
      <c r="H45" s="6"/>
      <c r="I45" s="6"/>
      <c r="J45" s="6"/>
      <c r="U45" s="7"/>
    </row>
    <row r="46" spans="1:21" ht="13.9" x14ac:dyDescent="0.25">
      <c r="A46" s="5"/>
      <c r="B46" s="6"/>
      <c r="C46" s="6"/>
      <c r="D46" s="6"/>
      <c r="E46" s="6"/>
      <c r="F46" s="6"/>
      <c r="G46" s="6"/>
      <c r="H46" s="6"/>
      <c r="I46" s="6"/>
      <c r="J46" s="6"/>
      <c r="U46" s="7"/>
    </row>
    <row r="47" spans="1:21" ht="13.9" x14ac:dyDescent="0.25">
      <c r="A47" s="5"/>
      <c r="B47" s="6"/>
      <c r="C47" s="6"/>
      <c r="D47" s="6"/>
      <c r="E47" s="6"/>
      <c r="F47" s="6"/>
      <c r="G47" s="6"/>
      <c r="H47" s="6"/>
      <c r="I47" s="6"/>
      <c r="J47" s="6"/>
      <c r="U47" s="7"/>
    </row>
    <row r="48" spans="1:21" ht="13.9" x14ac:dyDescent="0.25">
      <c r="A48" s="5"/>
      <c r="B48" s="6"/>
      <c r="C48" s="6"/>
      <c r="D48" s="6"/>
      <c r="E48" s="6"/>
      <c r="F48" s="6"/>
      <c r="G48" s="6"/>
      <c r="H48" s="6"/>
      <c r="I48" s="6"/>
      <c r="J48" s="6"/>
      <c r="U48" s="7"/>
    </row>
    <row r="49" spans="1:21" ht="13.9" x14ac:dyDescent="0.25">
      <c r="A49" s="5"/>
      <c r="B49" s="6"/>
      <c r="C49" s="6"/>
      <c r="D49" s="6"/>
      <c r="E49" s="6"/>
      <c r="F49" s="6"/>
      <c r="G49" s="6"/>
      <c r="H49" s="6"/>
      <c r="I49" s="6"/>
      <c r="J49" s="6"/>
      <c r="U49" s="7"/>
    </row>
    <row r="50" spans="1:21" ht="13.9" x14ac:dyDescent="0.25">
      <c r="A50" s="5"/>
      <c r="B50" s="6"/>
      <c r="C50" s="6"/>
      <c r="D50" s="6"/>
      <c r="E50" s="6"/>
      <c r="F50" s="6"/>
      <c r="G50" s="6"/>
      <c r="H50" s="6"/>
      <c r="I50" s="6"/>
      <c r="J50" s="6"/>
      <c r="U50" s="7"/>
    </row>
    <row r="51" spans="1:21" x14ac:dyDescent="0.25">
      <c r="A51" s="5"/>
      <c r="B51" s="6"/>
      <c r="C51" s="6"/>
      <c r="D51" s="6"/>
      <c r="E51" s="6"/>
      <c r="F51" s="6"/>
      <c r="G51" s="6"/>
      <c r="H51" s="6"/>
      <c r="I51" s="6"/>
      <c r="J51" s="6"/>
      <c r="U51" s="7"/>
    </row>
    <row r="52" spans="1:21" x14ac:dyDescent="0.25">
      <c r="A52" s="5"/>
      <c r="B52" s="6"/>
      <c r="C52" s="6"/>
      <c r="D52" s="6"/>
      <c r="E52" s="6"/>
      <c r="F52" s="6"/>
      <c r="G52" s="6"/>
      <c r="H52" s="6"/>
      <c r="I52" s="6"/>
      <c r="J52" s="6"/>
      <c r="U52" s="7"/>
    </row>
    <row r="53" spans="1:21" x14ac:dyDescent="0.25">
      <c r="A53" s="5"/>
      <c r="B53" s="6"/>
      <c r="C53" s="6"/>
      <c r="D53" s="6"/>
      <c r="E53" s="6"/>
      <c r="F53" s="6"/>
      <c r="G53" s="6"/>
      <c r="H53" s="6"/>
      <c r="I53" s="6"/>
      <c r="J53" s="6"/>
      <c r="U53" s="7"/>
    </row>
    <row r="54" spans="1:21" x14ac:dyDescent="0.25">
      <c r="A54" s="5"/>
      <c r="B54" s="6"/>
      <c r="C54" s="6"/>
      <c r="D54" s="6"/>
      <c r="E54" s="6"/>
      <c r="F54" s="6"/>
      <c r="G54" s="6"/>
      <c r="H54" s="6"/>
      <c r="I54" s="6"/>
      <c r="J54" s="6"/>
      <c r="U54" s="7"/>
    </row>
    <row r="55" spans="1:21" x14ac:dyDescent="0.25">
      <c r="A55" s="5"/>
      <c r="B55" s="6"/>
      <c r="C55" s="6"/>
      <c r="D55" s="6"/>
      <c r="E55" s="6"/>
      <c r="F55" s="6"/>
      <c r="G55" s="6"/>
      <c r="H55" s="6"/>
      <c r="I55" s="6"/>
      <c r="J55" s="6"/>
      <c r="U55" s="7"/>
    </row>
    <row r="56" spans="1:21" x14ac:dyDescent="0.25">
      <c r="A56" s="5"/>
      <c r="B56" s="6"/>
      <c r="C56" s="6"/>
      <c r="D56" s="6"/>
      <c r="E56" s="6"/>
      <c r="F56" s="6"/>
      <c r="G56" s="6"/>
      <c r="H56" s="6"/>
      <c r="I56" s="6"/>
      <c r="J56" s="6"/>
      <c r="U56" s="7"/>
    </row>
    <row r="57" spans="1:21" x14ac:dyDescent="0.25">
      <c r="A57" s="5"/>
      <c r="B57" s="6"/>
      <c r="C57" s="6"/>
      <c r="D57" s="6"/>
      <c r="E57" s="6"/>
      <c r="F57" s="6"/>
      <c r="G57" s="6"/>
      <c r="H57" s="6"/>
      <c r="I57" s="6"/>
      <c r="J57" s="6"/>
      <c r="U57" s="7"/>
    </row>
    <row r="58" spans="1:21" x14ac:dyDescent="0.25">
      <c r="A58" s="5"/>
      <c r="B58" s="6"/>
      <c r="C58" s="6"/>
      <c r="D58" s="6"/>
      <c r="E58" s="6"/>
      <c r="F58" s="6"/>
      <c r="G58" s="6"/>
      <c r="H58" s="6"/>
      <c r="I58" s="6"/>
      <c r="J58" s="6"/>
      <c r="U58" s="7"/>
    </row>
    <row r="59" spans="1:21" x14ac:dyDescent="0.25">
      <c r="A59" s="5"/>
      <c r="U59" s="7"/>
    </row>
    <row r="60" spans="1:21" x14ac:dyDescent="0.25">
      <c r="A60" s="5"/>
      <c r="U60" s="7"/>
    </row>
    <row r="61" spans="1:21" x14ac:dyDescent="0.25">
      <c r="A61" s="5"/>
      <c r="U61" s="7"/>
    </row>
    <row r="62" spans="1:21" x14ac:dyDescent="0.25">
      <c r="A62" s="5"/>
      <c r="B62" s="6"/>
      <c r="C62" s="6"/>
      <c r="D62" s="6"/>
      <c r="E62" s="6"/>
      <c r="F62" s="6"/>
      <c r="G62" s="6"/>
      <c r="H62" s="6"/>
      <c r="I62" s="6"/>
      <c r="J62" s="6"/>
      <c r="U62" s="7"/>
    </row>
    <row r="63" spans="1:21" x14ac:dyDescent="0.25">
      <c r="A63" s="5"/>
      <c r="B63" s="6"/>
      <c r="C63" s="6"/>
      <c r="D63" s="6"/>
      <c r="E63" s="6"/>
      <c r="F63" s="6"/>
      <c r="G63" s="6"/>
      <c r="H63" s="6"/>
      <c r="I63" s="6"/>
      <c r="J63" s="6"/>
      <c r="U63" s="7"/>
    </row>
    <row r="64" spans="1:21" x14ac:dyDescent="0.25">
      <c r="A64" s="5"/>
      <c r="B64" s="6"/>
      <c r="C64" s="6"/>
      <c r="D64" s="6"/>
      <c r="E64" s="6"/>
      <c r="F64" s="6"/>
      <c r="G64" s="6"/>
      <c r="H64" s="6"/>
      <c r="I64" s="6"/>
      <c r="J64" s="6"/>
      <c r="U64" s="7"/>
    </row>
    <row r="65" spans="1:21" x14ac:dyDescent="0.25">
      <c r="A65" s="9"/>
      <c r="B65" s="10"/>
      <c r="C65" s="10"/>
      <c r="D65" s="10"/>
      <c r="E65" s="10"/>
      <c r="F65" s="10"/>
      <c r="G65" s="10"/>
      <c r="H65" s="10"/>
      <c r="I65" s="10"/>
      <c r="J65" s="10"/>
      <c r="K65" s="10"/>
      <c r="L65" s="10"/>
      <c r="M65" s="10"/>
      <c r="N65" s="10"/>
      <c r="O65" s="10"/>
      <c r="P65" s="10"/>
      <c r="Q65" s="10"/>
      <c r="R65" s="10"/>
      <c r="S65" s="10"/>
      <c r="T65" s="10"/>
      <c r="U65" s="11"/>
    </row>
  </sheetData>
  <mergeCells count="12">
    <mergeCell ref="Q3:U3"/>
    <mergeCell ref="B32:T33"/>
    <mergeCell ref="A1:E3"/>
    <mergeCell ref="F1:G2"/>
    <mergeCell ref="H1:N2"/>
    <mergeCell ref="O1:P1"/>
    <mergeCell ref="Q1:U1"/>
    <mergeCell ref="O2:P2"/>
    <mergeCell ref="Q2:U2"/>
    <mergeCell ref="F3:G3"/>
    <mergeCell ref="H3:N3"/>
    <mergeCell ref="O3:P3"/>
  </mergeCells>
  <printOptions horizontalCentered="1" verticalCentered="1"/>
  <pageMargins left="0.70866141732283472" right="0.70866141732283472" top="0.74803149606299213" bottom="0.74803149606299213" header="0.31496062992125984" footer="0.31496062992125984"/>
  <pageSetup scale="75" fitToWidth="0"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C1D47-E998-48E6-834E-D144D00737A0}">
  <dimension ref="A1:U65"/>
  <sheetViews>
    <sheetView workbookViewId="0">
      <selection sqref="A1:E3"/>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1"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21" x14ac:dyDescent="0.25">
      <c r="A3" s="214"/>
      <c r="B3" s="215"/>
      <c r="C3" s="215"/>
      <c r="D3" s="215"/>
      <c r="E3" s="216"/>
      <c r="F3" s="217" t="s">
        <v>1</v>
      </c>
      <c r="G3" s="210"/>
      <c r="H3" s="217" t="s">
        <v>596</v>
      </c>
      <c r="I3" s="209"/>
      <c r="J3" s="209"/>
      <c r="K3" s="209"/>
      <c r="L3" s="209"/>
      <c r="M3" s="209"/>
      <c r="N3" s="210"/>
      <c r="O3" s="217" t="s">
        <v>4</v>
      </c>
      <c r="P3" s="209"/>
      <c r="Q3" s="209" t="str">
        <f>'0. CARTA RESPONSABILIDAD'!Q3</f>
        <v>R0</v>
      </c>
      <c r="R3" s="209"/>
      <c r="S3" s="209"/>
      <c r="T3" s="209"/>
      <c r="U3" s="210"/>
    </row>
    <row r="4" spans="1:21" ht="13.9" x14ac:dyDescent="0.25">
      <c r="A4" s="2"/>
      <c r="B4" s="3"/>
      <c r="C4" s="3"/>
      <c r="D4" s="3"/>
      <c r="E4" s="3"/>
      <c r="F4" s="3"/>
      <c r="G4" s="3"/>
      <c r="H4" s="3"/>
      <c r="I4" s="3"/>
      <c r="J4" s="3"/>
      <c r="K4" s="3"/>
      <c r="L4" s="3"/>
      <c r="M4" s="3"/>
      <c r="N4" s="3"/>
      <c r="O4" s="3"/>
      <c r="P4" s="3"/>
      <c r="Q4" s="3"/>
      <c r="R4" s="3"/>
      <c r="S4" s="3"/>
      <c r="T4" s="3"/>
      <c r="U4" s="4"/>
    </row>
    <row r="5" spans="1:21" ht="13.9" customHeight="1" x14ac:dyDescent="0.25">
      <c r="A5" s="5"/>
      <c r="U5" s="7"/>
    </row>
    <row r="6" spans="1:21" ht="13.9" customHeight="1" x14ac:dyDescent="0.25">
      <c r="A6" s="5"/>
      <c r="U6" s="7"/>
    </row>
    <row r="7" spans="1:21" ht="13.9" customHeight="1" x14ac:dyDescent="0.25">
      <c r="A7" s="5"/>
      <c r="B7" s="106"/>
      <c r="C7" s="106"/>
      <c r="D7" s="106"/>
      <c r="E7" s="106"/>
      <c r="F7" s="106"/>
      <c r="G7" s="106"/>
      <c r="H7" s="106"/>
      <c r="I7" s="106"/>
      <c r="J7" s="106"/>
      <c r="K7" s="106"/>
      <c r="L7" s="106"/>
      <c r="M7" s="106"/>
      <c r="N7" s="106"/>
      <c r="O7" s="106"/>
      <c r="P7" s="106"/>
      <c r="Q7" s="106"/>
      <c r="R7" s="106"/>
      <c r="S7" s="106"/>
      <c r="T7" s="106"/>
      <c r="U7" s="7"/>
    </row>
    <row r="8" spans="1:21" ht="13.9" customHeight="1" x14ac:dyDescent="0.25">
      <c r="A8" s="5"/>
      <c r="B8" s="6"/>
      <c r="C8" s="106"/>
      <c r="D8" s="106"/>
      <c r="E8" s="106"/>
      <c r="F8" s="106"/>
      <c r="G8" s="106"/>
      <c r="H8" s="106"/>
      <c r="I8" s="106"/>
      <c r="J8" s="106"/>
      <c r="K8" s="106"/>
      <c r="L8" s="106"/>
      <c r="M8" s="106"/>
      <c r="N8" s="106"/>
      <c r="O8" s="106"/>
      <c r="P8" s="106"/>
      <c r="Q8" s="106"/>
      <c r="R8" s="106"/>
      <c r="S8" s="106"/>
      <c r="T8" s="106"/>
      <c r="U8" s="7"/>
    </row>
    <row r="9" spans="1:21" ht="13.9" x14ac:dyDescent="0.25">
      <c r="A9" s="5"/>
      <c r="U9" s="7"/>
    </row>
    <row r="10" spans="1:21" ht="13.9" x14ac:dyDescent="0.25">
      <c r="A10" s="5"/>
      <c r="U10" s="7"/>
    </row>
    <row r="11" spans="1:21" ht="13.9" x14ac:dyDescent="0.25">
      <c r="A11" s="5"/>
      <c r="U11" s="7"/>
    </row>
    <row r="12" spans="1:21" ht="13.9" x14ac:dyDescent="0.25">
      <c r="A12" s="5"/>
      <c r="U12" s="7"/>
    </row>
    <row r="13" spans="1:21" ht="13.9" x14ac:dyDescent="0.25">
      <c r="A13" s="5"/>
      <c r="U13" s="7"/>
    </row>
    <row r="14" spans="1:21" ht="13.9" x14ac:dyDescent="0.25">
      <c r="A14" s="5"/>
      <c r="U14" s="7"/>
    </row>
    <row r="15" spans="1:21" ht="13.9" x14ac:dyDescent="0.25">
      <c r="A15" s="5"/>
      <c r="U15" s="7"/>
    </row>
    <row r="16" spans="1:21" ht="13.9" x14ac:dyDescent="0.25">
      <c r="A16" s="5"/>
      <c r="U16" s="7"/>
    </row>
    <row r="17" spans="1:21" ht="13.9" x14ac:dyDescent="0.25">
      <c r="A17" s="5"/>
      <c r="U17" s="7"/>
    </row>
    <row r="18" spans="1:21" ht="13.9" x14ac:dyDescent="0.25">
      <c r="A18" s="5"/>
      <c r="U18" s="7"/>
    </row>
    <row r="19" spans="1:21" ht="13.9" x14ac:dyDescent="0.25">
      <c r="A19" s="5"/>
      <c r="U19" s="7"/>
    </row>
    <row r="20" spans="1:21" ht="13.9" x14ac:dyDescent="0.25">
      <c r="A20" s="5"/>
      <c r="U20" s="7"/>
    </row>
    <row r="21" spans="1:21" ht="13.9" x14ac:dyDescent="0.25">
      <c r="A21" s="5"/>
      <c r="U21" s="7"/>
    </row>
    <row r="22" spans="1:21" ht="13.9" x14ac:dyDescent="0.25">
      <c r="A22" s="5"/>
      <c r="U22" s="7"/>
    </row>
    <row r="23" spans="1:21" ht="13.9" x14ac:dyDescent="0.25">
      <c r="A23" s="5"/>
      <c r="U23" s="7"/>
    </row>
    <row r="24" spans="1:21" ht="13.9" x14ac:dyDescent="0.25">
      <c r="A24" s="5"/>
      <c r="B24" s="6"/>
      <c r="C24" s="6"/>
      <c r="D24" s="6"/>
      <c r="E24" s="6"/>
      <c r="F24" s="6"/>
      <c r="G24" s="6"/>
      <c r="H24" s="6"/>
      <c r="I24" s="6"/>
      <c r="J24" s="6"/>
      <c r="U24" s="7"/>
    </row>
    <row r="25" spans="1:21" ht="13.9" x14ac:dyDescent="0.25">
      <c r="A25" s="5"/>
      <c r="U25" s="7"/>
    </row>
    <row r="26" spans="1:21" ht="13.9" x14ac:dyDescent="0.25">
      <c r="A26" s="5"/>
      <c r="U26" s="7"/>
    </row>
    <row r="27" spans="1:21" ht="13.9" customHeight="1" x14ac:dyDescent="0.25">
      <c r="A27" s="5"/>
      <c r="B27" s="94"/>
      <c r="C27" s="94"/>
      <c r="D27" s="94"/>
      <c r="E27" s="94"/>
      <c r="F27" s="94"/>
      <c r="G27" s="94"/>
      <c r="H27" s="94"/>
      <c r="I27" s="94"/>
      <c r="J27" s="94"/>
      <c r="K27" s="94"/>
      <c r="L27" s="94"/>
      <c r="M27" s="94"/>
      <c r="N27" s="94"/>
      <c r="O27" s="94"/>
      <c r="P27" s="94"/>
      <c r="Q27" s="94"/>
      <c r="R27" s="94"/>
      <c r="S27" s="94"/>
      <c r="T27" s="94"/>
      <c r="U27" s="7"/>
    </row>
    <row r="28" spans="1:21" ht="13.9" customHeight="1" x14ac:dyDescent="0.25">
      <c r="A28" s="5"/>
      <c r="B28" s="94"/>
      <c r="C28" s="94"/>
      <c r="D28" s="94"/>
      <c r="E28" s="94"/>
      <c r="F28" s="94"/>
      <c r="G28" s="94"/>
      <c r="H28" s="94"/>
      <c r="I28" s="94"/>
      <c r="J28" s="94"/>
      <c r="K28" s="94"/>
      <c r="L28" s="94"/>
      <c r="M28" s="94"/>
      <c r="N28" s="94"/>
      <c r="O28" s="94"/>
      <c r="P28" s="94"/>
      <c r="Q28" s="94"/>
      <c r="R28" s="94"/>
      <c r="S28" s="94"/>
      <c r="T28" s="94"/>
      <c r="U28" s="7"/>
    </row>
    <row r="29" spans="1:21" ht="13.9" customHeight="1" x14ac:dyDescent="0.25">
      <c r="A29" s="5"/>
      <c r="B29" s="94"/>
      <c r="C29" s="94"/>
      <c r="D29" s="94"/>
      <c r="E29" s="94"/>
      <c r="F29" s="94"/>
      <c r="G29" s="94"/>
      <c r="H29" s="94"/>
      <c r="I29" s="94"/>
      <c r="J29" s="94"/>
      <c r="K29" s="94"/>
      <c r="L29" s="94"/>
      <c r="M29" s="94"/>
      <c r="N29" s="94"/>
      <c r="O29" s="94"/>
      <c r="P29" s="94"/>
      <c r="Q29" s="94"/>
      <c r="R29" s="94"/>
      <c r="S29" s="94"/>
      <c r="T29" s="94"/>
      <c r="U29" s="7"/>
    </row>
    <row r="30" spans="1:21" ht="13.9" customHeight="1" x14ac:dyDescent="0.25">
      <c r="A30" s="5"/>
      <c r="B30" s="94"/>
      <c r="C30" s="94"/>
      <c r="D30" s="94"/>
      <c r="E30" s="94"/>
      <c r="F30" s="94"/>
      <c r="G30" s="94"/>
      <c r="H30" s="94"/>
      <c r="I30" s="94"/>
      <c r="J30" s="94"/>
      <c r="K30" s="94"/>
      <c r="L30" s="94"/>
      <c r="M30" s="94"/>
      <c r="N30" s="94"/>
      <c r="O30" s="94"/>
      <c r="P30" s="94"/>
      <c r="Q30" s="94"/>
      <c r="R30" s="94"/>
      <c r="S30" s="94"/>
      <c r="T30" s="94"/>
      <c r="U30" s="7"/>
    </row>
    <row r="31" spans="1:21" ht="13.9" customHeight="1" x14ac:dyDescent="0.25">
      <c r="A31" s="5"/>
      <c r="B31" s="94"/>
      <c r="C31" s="94"/>
      <c r="D31" s="94"/>
      <c r="E31" s="94"/>
      <c r="F31" s="94"/>
      <c r="G31" s="94"/>
      <c r="H31" s="94"/>
      <c r="I31" s="94"/>
      <c r="J31" s="94"/>
      <c r="K31" s="94"/>
      <c r="L31" s="94"/>
      <c r="M31" s="94"/>
      <c r="N31" s="94"/>
      <c r="O31" s="94"/>
      <c r="P31" s="94"/>
      <c r="Q31" s="94"/>
      <c r="R31" s="94"/>
      <c r="S31" s="94"/>
      <c r="T31" s="94"/>
      <c r="U31" s="7"/>
    </row>
    <row r="32" spans="1:21" ht="13.9" customHeight="1" x14ac:dyDescent="0.25">
      <c r="A32" s="5"/>
      <c r="B32" s="314" t="s">
        <v>757</v>
      </c>
      <c r="C32" s="314"/>
      <c r="D32" s="314"/>
      <c r="E32" s="314"/>
      <c r="F32" s="314"/>
      <c r="G32" s="314"/>
      <c r="H32" s="314"/>
      <c r="I32" s="314"/>
      <c r="J32" s="314"/>
      <c r="K32" s="314"/>
      <c r="L32" s="314"/>
      <c r="M32" s="314"/>
      <c r="N32" s="314"/>
      <c r="O32" s="314"/>
      <c r="P32" s="314"/>
      <c r="Q32" s="314"/>
      <c r="R32" s="314"/>
      <c r="S32" s="314"/>
      <c r="T32" s="314"/>
      <c r="U32" s="7"/>
    </row>
    <row r="33" spans="1:21" ht="13.9" customHeight="1" x14ac:dyDescent="0.25">
      <c r="A33" s="5"/>
      <c r="B33" s="314"/>
      <c r="C33" s="314"/>
      <c r="D33" s="314"/>
      <c r="E33" s="314"/>
      <c r="F33" s="314"/>
      <c r="G33" s="314"/>
      <c r="H33" s="314"/>
      <c r="I33" s="314"/>
      <c r="J33" s="314"/>
      <c r="K33" s="314"/>
      <c r="L33" s="314"/>
      <c r="M33" s="314"/>
      <c r="N33" s="314"/>
      <c r="O33" s="314"/>
      <c r="P33" s="314"/>
      <c r="Q33" s="314"/>
      <c r="R33" s="314"/>
      <c r="S33" s="314"/>
      <c r="T33" s="314"/>
      <c r="U33" s="7"/>
    </row>
    <row r="34" spans="1:21" ht="13.9" customHeight="1" x14ac:dyDescent="0.25">
      <c r="A34" s="5"/>
      <c r="B34" s="94"/>
      <c r="C34" s="94"/>
      <c r="D34" s="94"/>
      <c r="E34" s="94"/>
      <c r="F34" s="94"/>
      <c r="G34" s="94"/>
      <c r="H34" s="94"/>
      <c r="I34" s="94"/>
      <c r="J34" s="94"/>
      <c r="K34" s="94"/>
      <c r="L34" s="94"/>
      <c r="M34" s="94"/>
      <c r="N34" s="94"/>
      <c r="O34" s="94"/>
      <c r="P34" s="94"/>
      <c r="Q34" s="94"/>
      <c r="R34" s="94"/>
      <c r="S34" s="94"/>
      <c r="T34" s="94"/>
      <c r="U34" s="7"/>
    </row>
    <row r="35" spans="1:21" ht="13.9" customHeight="1" x14ac:dyDescent="0.25">
      <c r="A35" s="5"/>
      <c r="B35" s="94"/>
      <c r="C35" s="94"/>
      <c r="D35" s="94"/>
      <c r="E35" s="94"/>
      <c r="F35" s="94"/>
      <c r="G35" s="94"/>
      <c r="H35" s="94"/>
      <c r="I35" s="94"/>
      <c r="J35" s="94"/>
      <c r="K35" s="94"/>
      <c r="L35" s="94"/>
      <c r="M35" s="94"/>
      <c r="N35" s="94"/>
      <c r="O35" s="94"/>
      <c r="P35" s="94"/>
      <c r="Q35" s="94"/>
      <c r="R35" s="94"/>
      <c r="S35" s="94"/>
      <c r="T35" s="94"/>
      <c r="U35" s="7"/>
    </row>
    <row r="36" spans="1:21" ht="13.9" customHeight="1" x14ac:dyDescent="0.25">
      <c r="A36" s="5"/>
      <c r="B36" s="94"/>
      <c r="C36" s="94"/>
      <c r="D36" s="94"/>
      <c r="E36" s="94"/>
      <c r="F36" s="94"/>
      <c r="G36" s="94"/>
      <c r="H36" s="94"/>
      <c r="I36" s="94"/>
      <c r="J36" s="94"/>
      <c r="K36" s="94"/>
      <c r="L36" s="94"/>
      <c r="M36" s="94"/>
      <c r="N36" s="94"/>
      <c r="O36" s="94"/>
      <c r="P36" s="94"/>
      <c r="Q36" s="94"/>
      <c r="R36" s="94"/>
      <c r="S36" s="94"/>
      <c r="T36" s="94"/>
      <c r="U36" s="7"/>
    </row>
    <row r="37" spans="1:21" ht="13.9" customHeight="1" x14ac:dyDescent="0.25">
      <c r="A37" s="5"/>
      <c r="B37" s="94"/>
      <c r="C37" s="94"/>
      <c r="D37" s="94"/>
      <c r="E37" s="94"/>
      <c r="F37" s="94"/>
      <c r="G37" s="94"/>
      <c r="H37" s="94"/>
      <c r="I37" s="94"/>
      <c r="J37" s="94"/>
      <c r="K37" s="94"/>
      <c r="L37" s="94"/>
      <c r="M37" s="94"/>
      <c r="N37" s="94"/>
      <c r="O37" s="94"/>
      <c r="P37" s="94"/>
      <c r="Q37" s="94"/>
      <c r="R37" s="94"/>
      <c r="S37" s="94"/>
      <c r="T37" s="94"/>
      <c r="U37" s="7"/>
    </row>
    <row r="38" spans="1:21" ht="13.9" customHeight="1" x14ac:dyDescent="0.25">
      <c r="A38" s="5"/>
      <c r="B38" s="94"/>
      <c r="C38" s="94"/>
      <c r="D38" s="94"/>
      <c r="E38" s="94"/>
      <c r="F38" s="94"/>
      <c r="G38" s="94"/>
      <c r="H38" s="94"/>
      <c r="I38" s="94"/>
      <c r="J38" s="94"/>
      <c r="K38" s="94"/>
      <c r="L38" s="94"/>
      <c r="M38" s="94"/>
      <c r="N38" s="94"/>
      <c r="O38" s="94"/>
      <c r="P38" s="94"/>
      <c r="Q38" s="94"/>
      <c r="R38" s="94"/>
      <c r="S38" s="94"/>
      <c r="T38" s="94"/>
      <c r="U38" s="7"/>
    </row>
    <row r="39" spans="1:21" ht="13.9" x14ac:dyDescent="0.25">
      <c r="A39" s="5"/>
      <c r="U39" s="7"/>
    </row>
    <row r="40" spans="1:21" ht="13.9" x14ac:dyDescent="0.25">
      <c r="A40" s="5"/>
      <c r="U40" s="7"/>
    </row>
    <row r="41" spans="1:21" ht="13.9" x14ac:dyDescent="0.25">
      <c r="A41" s="5"/>
      <c r="B41" s="6"/>
      <c r="C41" s="6"/>
      <c r="D41" s="6"/>
      <c r="E41" s="6"/>
      <c r="F41" s="6"/>
      <c r="G41" s="6"/>
      <c r="H41" s="6"/>
      <c r="I41" s="6"/>
      <c r="J41" s="6"/>
      <c r="U41" s="7"/>
    </row>
    <row r="42" spans="1:21" ht="13.9" x14ac:dyDescent="0.25">
      <c r="A42" s="5"/>
      <c r="B42" s="6"/>
      <c r="C42" s="6"/>
      <c r="D42" s="6"/>
      <c r="E42" s="6"/>
      <c r="F42" s="6"/>
      <c r="G42" s="6"/>
      <c r="H42" s="6"/>
      <c r="I42" s="6"/>
      <c r="J42" s="6"/>
      <c r="U42" s="8"/>
    </row>
    <row r="43" spans="1:21" ht="13.9" x14ac:dyDescent="0.25">
      <c r="A43" s="5"/>
      <c r="B43" s="6"/>
      <c r="C43" s="6"/>
      <c r="D43" s="6"/>
      <c r="E43" s="6"/>
      <c r="F43" s="6"/>
      <c r="G43" s="6"/>
      <c r="H43" s="6"/>
      <c r="I43" s="6"/>
      <c r="J43" s="6"/>
      <c r="U43" s="7"/>
    </row>
    <row r="44" spans="1:21" ht="13.9" x14ac:dyDescent="0.25">
      <c r="A44" s="5"/>
      <c r="B44" s="6"/>
      <c r="C44" s="6"/>
      <c r="D44" s="6"/>
      <c r="E44" s="6"/>
      <c r="F44" s="6"/>
      <c r="G44" s="6"/>
      <c r="H44" s="6"/>
      <c r="I44" s="6"/>
      <c r="J44" s="6"/>
      <c r="U44" s="7"/>
    </row>
    <row r="45" spans="1:21" ht="13.9" x14ac:dyDescent="0.25">
      <c r="A45" s="5"/>
      <c r="B45" s="6"/>
      <c r="C45" s="6"/>
      <c r="D45" s="6"/>
      <c r="E45" s="6"/>
      <c r="F45" s="6"/>
      <c r="G45" s="6"/>
      <c r="H45" s="6"/>
      <c r="I45" s="6"/>
      <c r="J45" s="6"/>
      <c r="U45" s="7"/>
    </row>
    <row r="46" spans="1:21" ht="13.9" x14ac:dyDescent="0.25">
      <c r="A46" s="5"/>
      <c r="B46" s="6"/>
      <c r="C46" s="6"/>
      <c r="D46" s="6"/>
      <c r="E46" s="6"/>
      <c r="F46" s="6"/>
      <c r="G46" s="6"/>
      <c r="H46" s="6"/>
      <c r="I46" s="6"/>
      <c r="J46" s="6"/>
      <c r="U46" s="7"/>
    </row>
    <row r="47" spans="1:21" ht="13.9" x14ac:dyDescent="0.25">
      <c r="A47" s="5"/>
      <c r="B47" s="6"/>
      <c r="C47" s="6"/>
      <c r="D47" s="6"/>
      <c r="E47" s="6"/>
      <c r="F47" s="6"/>
      <c r="G47" s="6"/>
      <c r="H47" s="6"/>
      <c r="I47" s="6"/>
      <c r="J47" s="6"/>
      <c r="U47" s="7"/>
    </row>
    <row r="48" spans="1:21" ht="13.9" x14ac:dyDescent="0.25">
      <c r="A48" s="5"/>
      <c r="B48" s="6"/>
      <c r="C48" s="6"/>
      <c r="D48" s="6"/>
      <c r="E48" s="6"/>
      <c r="F48" s="6"/>
      <c r="G48" s="6"/>
      <c r="H48" s="6"/>
      <c r="I48" s="6"/>
      <c r="J48" s="6"/>
      <c r="U48" s="7"/>
    </row>
    <row r="49" spans="1:21" ht="13.9" x14ac:dyDescent="0.25">
      <c r="A49" s="5"/>
      <c r="B49" s="6"/>
      <c r="C49" s="6"/>
      <c r="D49" s="6"/>
      <c r="E49" s="6"/>
      <c r="F49" s="6"/>
      <c r="G49" s="6"/>
      <c r="H49" s="6"/>
      <c r="I49" s="6"/>
      <c r="J49" s="6"/>
      <c r="U49" s="7"/>
    </row>
    <row r="50" spans="1:21" ht="13.9" x14ac:dyDescent="0.25">
      <c r="A50" s="5"/>
      <c r="B50" s="6"/>
      <c r="C50" s="6"/>
      <c r="D50" s="6"/>
      <c r="E50" s="6"/>
      <c r="F50" s="6"/>
      <c r="G50" s="6"/>
      <c r="H50" s="6"/>
      <c r="I50" s="6"/>
      <c r="J50" s="6"/>
      <c r="U50" s="7"/>
    </row>
    <row r="51" spans="1:21" x14ac:dyDescent="0.25">
      <c r="A51" s="5"/>
      <c r="B51" s="6"/>
      <c r="C51" s="6"/>
      <c r="D51" s="6"/>
      <c r="E51" s="6"/>
      <c r="F51" s="6"/>
      <c r="G51" s="6"/>
      <c r="H51" s="6"/>
      <c r="I51" s="6"/>
      <c r="J51" s="6"/>
      <c r="U51" s="7"/>
    </row>
    <row r="52" spans="1:21" x14ac:dyDescent="0.25">
      <c r="A52" s="5"/>
      <c r="B52" s="6"/>
      <c r="C52" s="6"/>
      <c r="D52" s="6"/>
      <c r="E52" s="6"/>
      <c r="F52" s="6"/>
      <c r="G52" s="6"/>
      <c r="H52" s="6"/>
      <c r="I52" s="6"/>
      <c r="J52" s="6"/>
      <c r="U52" s="7"/>
    </row>
    <row r="53" spans="1:21" x14ac:dyDescent="0.25">
      <c r="A53" s="5"/>
      <c r="B53" s="6"/>
      <c r="C53" s="6"/>
      <c r="D53" s="6"/>
      <c r="E53" s="6"/>
      <c r="F53" s="6"/>
      <c r="G53" s="6"/>
      <c r="H53" s="6"/>
      <c r="I53" s="6"/>
      <c r="J53" s="6"/>
      <c r="U53" s="7"/>
    </row>
    <row r="54" spans="1:21" x14ac:dyDescent="0.25">
      <c r="A54" s="5"/>
      <c r="B54" s="6"/>
      <c r="C54" s="6"/>
      <c r="D54" s="6"/>
      <c r="E54" s="6"/>
      <c r="F54" s="6"/>
      <c r="G54" s="6"/>
      <c r="H54" s="6"/>
      <c r="I54" s="6"/>
      <c r="J54" s="6"/>
      <c r="U54" s="7"/>
    </row>
    <row r="55" spans="1:21" x14ac:dyDescent="0.25">
      <c r="A55" s="5"/>
      <c r="B55" s="6"/>
      <c r="C55" s="6"/>
      <c r="D55" s="6"/>
      <c r="E55" s="6"/>
      <c r="F55" s="6"/>
      <c r="G55" s="6"/>
      <c r="H55" s="6"/>
      <c r="I55" s="6"/>
      <c r="J55" s="6"/>
      <c r="U55" s="7"/>
    </row>
    <row r="56" spans="1:21" x14ac:dyDescent="0.25">
      <c r="A56" s="5"/>
      <c r="B56" s="6"/>
      <c r="C56" s="6"/>
      <c r="D56" s="6"/>
      <c r="E56" s="6"/>
      <c r="F56" s="6"/>
      <c r="G56" s="6"/>
      <c r="H56" s="6"/>
      <c r="I56" s="6"/>
      <c r="J56" s="6"/>
      <c r="U56" s="7"/>
    </row>
    <row r="57" spans="1:21" x14ac:dyDescent="0.25">
      <c r="A57" s="5"/>
      <c r="B57" s="6"/>
      <c r="C57" s="6"/>
      <c r="D57" s="6"/>
      <c r="E57" s="6"/>
      <c r="F57" s="6"/>
      <c r="G57" s="6"/>
      <c r="H57" s="6"/>
      <c r="I57" s="6"/>
      <c r="J57" s="6"/>
      <c r="U57" s="7"/>
    </row>
    <row r="58" spans="1:21" x14ac:dyDescent="0.25">
      <c r="A58" s="5"/>
      <c r="B58" s="6"/>
      <c r="C58" s="6"/>
      <c r="D58" s="6"/>
      <c r="E58" s="6"/>
      <c r="F58" s="6"/>
      <c r="G58" s="6"/>
      <c r="H58" s="6"/>
      <c r="I58" s="6"/>
      <c r="J58" s="6"/>
      <c r="U58" s="7"/>
    </row>
    <row r="59" spans="1:21" x14ac:dyDescent="0.25">
      <c r="A59" s="5"/>
      <c r="U59" s="7"/>
    </row>
    <row r="60" spans="1:21" x14ac:dyDescent="0.25">
      <c r="A60" s="5"/>
      <c r="U60" s="7"/>
    </row>
    <row r="61" spans="1:21" x14ac:dyDescent="0.25">
      <c r="A61" s="5"/>
      <c r="U61" s="7"/>
    </row>
    <row r="62" spans="1:21" x14ac:dyDescent="0.25">
      <c r="A62" s="5"/>
      <c r="B62" s="6"/>
      <c r="C62" s="6"/>
      <c r="D62" s="6"/>
      <c r="E62" s="6"/>
      <c r="F62" s="6"/>
      <c r="G62" s="6"/>
      <c r="H62" s="6"/>
      <c r="I62" s="6"/>
      <c r="J62" s="6"/>
      <c r="U62" s="7"/>
    </row>
    <row r="63" spans="1:21" x14ac:dyDescent="0.25">
      <c r="A63" s="5"/>
      <c r="B63" s="6"/>
      <c r="C63" s="6"/>
      <c r="D63" s="6"/>
      <c r="E63" s="6"/>
      <c r="F63" s="6"/>
      <c r="G63" s="6"/>
      <c r="H63" s="6"/>
      <c r="I63" s="6"/>
      <c r="J63" s="6"/>
      <c r="U63" s="7"/>
    </row>
    <row r="64" spans="1:21" x14ac:dyDescent="0.25">
      <c r="A64" s="5"/>
      <c r="B64" s="6"/>
      <c r="C64" s="6"/>
      <c r="D64" s="6"/>
      <c r="E64" s="6"/>
      <c r="F64" s="6"/>
      <c r="G64" s="6"/>
      <c r="H64" s="6"/>
      <c r="I64" s="6"/>
      <c r="J64" s="6"/>
      <c r="U64" s="7"/>
    </row>
    <row r="65" spans="1:21" x14ac:dyDescent="0.25">
      <c r="A65" s="9"/>
      <c r="B65" s="10"/>
      <c r="C65" s="10"/>
      <c r="D65" s="10"/>
      <c r="E65" s="10"/>
      <c r="F65" s="10"/>
      <c r="G65" s="10"/>
      <c r="H65" s="10"/>
      <c r="I65" s="10"/>
      <c r="J65" s="10"/>
      <c r="K65" s="10"/>
      <c r="L65" s="10"/>
      <c r="M65" s="10"/>
      <c r="N65" s="10"/>
      <c r="O65" s="10"/>
      <c r="P65" s="10"/>
      <c r="Q65" s="10"/>
      <c r="R65" s="10"/>
      <c r="S65" s="10"/>
      <c r="T65" s="10"/>
      <c r="U65" s="11"/>
    </row>
  </sheetData>
  <mergeCells count="12">
    <mergeCell ref="Q3:U3"/>
    <mergeCell ref="B32:T33"/>
    <mergeCell ref="A1:E3"/>
    <mergeCell ref="F1:G2"/>
    <mergeCell ref="H1:N2"/>
    <mergeCell ref="O1:P1"/>
    <mergeCell ref="Q1:U1"/>
    <mergeCell ref="O2:P2"/>
    <mergeCell ref="Q2:U2"/>
    <mergeCell ref="F3:G3"/>
    <mergeCell ref="H3:N3"/>
    <mergeCell ref="O3:P3"/>
  </mergeCells>
  <printOptions horizontalCentered="1" verticalCentered="1"/>
  <pageMargins left="0.70866141732283472" right="0.70866141732283472" top="0.74803149606299213" bottom="0.74803149606299213" header="0.31496062992125984" footer="0.31496062992125984"/>
  <pageSetup scale="75" fitToWidth="0"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D841C-7447-48B8-BD38-D43DF327F81C}">
  <sheetPr>
    <pageSetUpPr fitToPage="1"/>
  </sheetPr>
  <dimension ref="A1:DB126"/>
  <sheetViews>
    <sheetView view="pageBreakPreview" topLeftCell="M10" zoomScale="85" zoomScaleNormal="85" zoomScaleSheetLayoutView="85" workbookViewId="0">
      <selection activeCell="AF23" sqref="AF23"/>
    </sheetView>
  </sheetViews>
  <sheetFormatPr baseColWidth="10" defaultColWidth="11.140625" defaultRowHeight="15" x14ac:dyDescent="0.25"/>
  <cols>
    <col min="1" max="14" width="11.140625" style="111"/>
    <col min="15" max="87" width="11.140625" style="111" customWidth="1"/>
    <col min="88" max="104" width="11.140625" style="114"/>
    <col min="105" max="106" width="19.5703125" style="114" customWidth="1"/>
    <col min="107" max="16384" width="11.140625" style="114"/>
  </cols>
  <sheetData>
    <row r="1" spans="1:106" s="113" customFormat="1" ht="15" customHeight="1" x14ac:dyDescent="0.25">
      <c r="A1" s="320" t="s">
        <v>549</v>
      </c>
      <c r="B1" s="320"/>
      <c r="C1" s="320"/>
      <c r="D1" s="322" t="s">
        <v>0</v>
      </c>
      <c r="E1" s="322" t="str">
        <f>'9. REPORTE ETABS'!H1</f>
        <v>EDIFICACIÓN LOCALES COMERCIALES</v>
      </c>
      <c r="F1" s="322"/>
      <c r="G1" s="322"/>
      <c r="H1" s="322"/>
      <c r="I1" s="110" t="s">
        <v>2</v>
      </c>
      <c r="J1" s="323" t="str">
        <f>'9. REPORTE ETABS'!Q1</f>
        <v>Mayo de 2025</v>
      </c>
      <c r="K1" s="324"/>
      <c r="L1" s="324"/>
      <c r="M1" s="320" t="s">
        <v>549</v>
      </c>
      <c r="N1" s="320"/>
      <c r="O1" s="320"/>
      <c r="P1" s="322" t="s">
        <v>0</v>
      </c>
      <c r="Q1" s="322" t="str">
        <f>E1</f>
        <v>EDIFICACIÓN LOCALES COMERCIALES</v>
      </c>
      <c r="R1" s="322"/>
      <c r="S1" s="322"/>
      <c r="T1" s="322"/>
      <c r="U1" s="110" t="s">
        <v>2</v>
      </c>
      <c r="V1" s="323" t="str">
        <f>J1</f>
        <v>Mayo de 2025</v>
      </c>
      <c r="W1" s="324"/>
      <c r="X1" s="324"/>
      <c r="Y1" s="320" t="s">
        <v>549</v>
      </c>
      <c r="Z1" s="320"/>
      <c r="AA1" s="320"/>
      <c r="AB1" s="322" t="s">
        <v>0</v>
      </c>
      <c r="AC1" s="322" t="str">
        <f>Q1</f>
        <v>EDIFICACIÓN LOCALES COMERCIALES</v>
      </c>
      <c r="AD1" s="322"/>
      <c r="AE1" s="322"/>
      <c r="AF1" s="322"/>
      <c r="AG1" s="110" t="s">
        <v>2</v>
      </c>
      <c r="AH1" s="323" t="str">
        <f>V1</f>
        <v>Mayo de 2025</v>
      </c>
      <c r="AI1" s="324"/>
      <c r="AJ1" s="324"/>
      <c r="AK1" s="110"/>
      <c r="AL1" s="110"/>
      <c r="AM1" s="110"/>
      <c r="AN1" s="320" t="s">
        <v>549</v>
      </c>
      <c r="AO1" s="320"/>
      <c r="AP1" s="320"/>
      <c r="AQ1" s="322" t="s">
        <v>0</v>
      </c>
      <c r="AR1" s="322" t="str">
        <f>Q1</f>
        <v>EDIFICACIÓN LOCALES COMERCIALES</v>
      </c>
      <c r="AS1" s="322"/>
      <c r="AT1" s="322"/>
      <c r="AU1" s="322"/>
      <c r="AV1" s="110" t="s">
        <v>2</v>
      </c>
      <c r="AW1" s="323" t="str">
        <f>V1</f>
        <v>Mayo de 2025</v>
      </c>
      <c r="AX1" s="324"/>
      <c r="AY1" s="324"/>
      <c r="AZ1" s="320" t="s">
        <v>549</v>
      </c>
      <c r="BA1" s="320"/>
      <c r="BB1" s="320"/>
      <c r="BC1" s="322" t="s">
        <v>0</v>
      </c>
      <c r="BD1" s="322" t="str">
        <f>AC1</f>
        <v>EDIFICACIÓN LOCALES COMERCIALES</v>
      </c>
      <c r="BE1" s="322"/>
      <c r="BF1" s="322"/>
      <c r="BG1" s="322"/>
      <c r="BH1" s="110" t="s">
        <v>2</v>
      </c>
      <c r="BI1" s="323" t="str">
        <f>AH1</f>
        <v>Mayo de 2025</v>
      </c>
      <c r="BJ1" s="324"/>
      <c r="BK1" s="324"/>
      <c r="BL1" s="320" t="s">
        <v>632</v>
      </c>
      <c r="BM1" s="320"/>
      <c r="BN1" s="320"/>
      <c r="BO1" s="322" t="s">
        <v>0</v>
      </c>
      <c r="BP1" s="324" t="str">
        <f>BD1</f>
        <v>EDIFICACIÓN LOCALES COMERCIALES</v>
      </c>
      <c r="BQ1" s="324"/>
      <c r="BR1" s="324"/>
      <c r="BS1" s="324"/>
      <c r="BT1" s="110" t="s">
        <v>2</v>
      </c>
      <c r="BU1" s="323" t="str">
        <f>BI1</f>
        <v>Mayo de 2025</v>
      </c>
      <c r="BV1" s="324"/>
      <c r="BW1" s="324"/>
      <c r="BX1" s="320" t="s">
        <v>632</v>
      </c>
      <c r="BY1" s="320"/>
      <c r="BZ1" s="320"/>
      <c r="CA1" s="322" t="s">
        <v>0</v>
      </c>
      <c r="CB1" s="324" t="str">
        <f>BP1</f>
        <v>EDIFICACIÓN LOCALES COMERCIALES</v>
      </c>
      <c r="CC1" s="324"/>
      <c r="CD1" s="324"/>
      <c r="CE1" s="324"/>
      <c r="CF1" s="110" t="s">
        <v>2</v>
      </c>
      <c r="CG1" s="323" t="str">
        <f>BU1</f>
        <v>Mayo de 2025</v>
      </c>
      <c r="CH1" s="324"/>
      <c r="CI1" s="324"/>
      <c r="CJ1" s="327" t="s">
        <v>632</v>
      </c>
      <c r="CK1" s="320"/>
      <c r="CL1" s="320"/>
      <c r="CM1" s="322" t="s">
        <v>0</v>
      </c>
      <c r="CN1" s="324" t="str">
        <f>CB1</f>
        <v>EDIFICACIÓN LOCALES COMERCIALES</v>
      </c>
      <c r="CO1" s="324"/>
      <c r="CP1" s="324"/>
      <c r="CQ1" s="324"/>
      <c r="CR1" s="110" t="s">
        <v>2</v>
      </c>
      <c r="CS1" s="323" t="str">
        <f>CG1</f>
        <v>Mayo de 2025</v>
      </c>
      <c r="CT1" s="324"/>
      <c r="CU1" s="324"/>
    </row>
    <row r="2" spans="1:106" s="113" customFormat="1" ht="15" customHeight="1" x14ac:dyDescent="0.25">
      <c r="A2" s="320"/>
      <c r="B2" s="320"/>
      <c r="C2" s="320"/>
      <c r="D2" s="322"/>
      <c r="E2" s="322"/>
      <c r="F2" s="322"/>
      <c r="G2" s="322"/>
      <c r="H2" s="322"/>
      <c r="I2" s="109" t="s">
        <v>3</v>
      </c>
      <c r="J2" s="324" t="str">
        <f>'9. REPORTE ETABS'!Q2</f>
        <v xml:space="preserve"> </v>
      </c>
      <c r="K2" s="324"/>
      <c r="L2" s="324"/>
      <c r="M2" s="320"/>
      <c r="N2" s="320"/>
      <c r="O2" s="320"/>
      <c r="P2" s="322"/>
      <c r="Q2" s="322"/>
      <c r="R2" s="322"/>
      <c r="S2" s="322"/>
      <c r="T2" s="322"/>
      <c r="U2" s="109" t="s">
        <v>3</v>
      </c>
      <c r="V2" s="324" t="str">
        <f>J2</f>
        <v xml:space="preserve"> </v>
      </c>
      <c r="W2" s="324"/>
      <c r="X2" s="324"/>
      <c r="Y2" s="320"/>
      <c r="Z2" s="320"/>
      <c r="AA2" s="320"/>
      <c r="AB2" s="322"/>
      <c r="AC2" s="322"/>
      <c r="AD2" s="322"/>
      <c r="AE2" s="322"/>
      <c r="AF2" s="322"/>
      <c r="AG2" s="109" t="s">
        <v>3</v>
      </c>
      <c r="AH2" s="324" t="str">
        <f>V2</f>
        <v xml:space="preserve"> </v>
      </c>
      <c r="AI2" s="324"/>
      <c r="AJ2" s="324"/>
      <c r="AK2" s="110"/>
      <c r="AL2" s="110"/>
      <c r="AM2" s="110"/>
      <c r="AN2" s="320"/>
      <c r="AO2" s="320"/>
      <c r="AP2" s="320"/>
      <c r="AQ2" s="322"/>
      <c r="AR2" s="322"/>
      <c r="AS2" s="322"/>
      <c r="AT2" s="322"/>
      <c r="AU2" s="322"/>
      <c r="AV2" s="109" t="s">
        <v>3</v>
      </c>
      <c r="AW2" s="324" t="str">
        <f>V2</f>
        <v xml:space="preserve"> </v>
      </c>
      <c r="AX2" s="324"/>
      <c r="AY2" s="324"/>
      <c r="AZ2" s="320"/>
      <c r="BA2" s="320"/>
      <c r="BB2" s="320"/>
      <c r="BC2" s="322"/>
      <c r="BD2" s="322"/>
      <c r="BE2" s="322"/>
      <c r="BF2" s="322"/>
      <c r="BG2" s="322"/>
      <c r="BH2" s="109" t="s">
        <v>3</v>
      </c>
      <c r="BI2" s="324" t="str">
        <f>AH2</f>
        <v xml:space="preserve"> </v>
      </c>
      <c r="BJ2" s="324"/>
      <c r="BK2" s="324"/>
      <c r="BL2" s="320"/>
      <c r="BM2" s="320"/>
      <c r="BN2" s="320"/>
      <c r="BO2" s="322"/>
      <c r="BP2" s="324"/>
      <c r="BQ2" s="324"/>
      <c r="BR2" s="324"/>
      <c r="BS2" s="324"/>
      <c r="BT2" s="109" t="s">
        <v>3</v>
      </c>
      <c r="BU2" s="324" t="str">
        <f>BI2</f>
        <v xml:space="preserve"> </v>
      </c>
      <c r="BV2" s="324"/>
      <c r="BW2" s="324"/>
      <c r="BX2" s="320"/>
      <c r="BY2" s="320"/>
      <c r="BZ2" s="320"/>
      <c r="CA2" s="322"/>
      <c r="CB2" s="324"/>
      <c r="CC2" s="324"/>
      <c r="CD2" s="324"/>
      <c r="CE2" s="324"/>
      <c r="CF2" s="109" t="s">
        <v>3</v>
      </c>
      <c r="CG2" s="324" t="str">
        <f>BU2</f>
        <v xml:space="preserve"> </v>
      </c>
      <c r="CH2" s="324"/>
      <c r="CI2" s="324"/>
      <c r="CJ2" s="327"/>
      <c r="CK2" s="320"/>
      <c r="CL2" s="320"/>
      <c r="CM2" s="322"/>
      <c r="CN2" s="324"/>
      <c r="CO2" s="324"/>
      <c r="CP2" s="324"/>
      <c r="CQ2" s="324"/>
      <c r="CR2" s="109" t="s">
        <v>3</v>
      </c>
      <c r="CS2" s="324" t="str">
        <f>CG2</f>
        <v xml:space="preserve"> </v>
      </c>
      <c r="CT2" s="324"/>
      <c r="CU2" s="324"/>
    </row>
    <row r="3" spans="1:106" s="113" customFormat="1" ht="15" customHeight="1" x14ac:dyDescent="0.25">
      <c r="A3" s="321"/>
      <c r="B3" s="321"/>
      <c r="C3" s="321"/>
      <c r="D3" s="325" t="s">
        <v>1</v>
      </c>
      <c r="E3" s="326" t="str">
        <f>'9. REPORTE ETABS'!H3</f>
        <v>REPORTES DE DISEÑO</v>
      </c>
      <c r="F3" s="326"/>
      <c r="G3" s="326"/>
      <c r="H3" s="326"/>
      <c r="I3" s="115" t="s">
        <v>633</v>
      </c>
      <c r="J3" s="326">
        <v>1</v>
      </c>
      <c r="K3" s="326"/>
      <c r="L3" s="326"/>
      <c r="M3" s="321"/>
      <c r="N3" s="321"/>
      <c r="O3" s="321"/>
      <c r="P3" s="325" t="s">
        <v>1</v>
      </c>
      <c r="Q3" s="326" t="str">
        <f>E3</f>
        <v>REPORTES DE DISEÑO</v>
      </c>
      <c r="R3" s="326"/>
      <c r="S3" s="326"/>
      <c r="T3" s="326"/>
      <c r="U3" s="115" t="s">
        <v>633</v>
      </c>
      <c r="V3" s="326">
        <f>J3</f>
        <v>1</v>
      </c>
      <c r="W3" s="326"/>
      <c r="X3" s="326"/>
      <c r="Y3" s="321"/>
      <c r="Z3" s="321"/>
      <c r="AA3" s="321"/>
      <c r="AB3" s="325" t="s">
        <v>1</v>
      </c>
      <c r="AC3" s="326" t="str">
        <f>Q3</f>
        <v>REPORTES DE DISEÑO</v>
      </c>
      <c r="AD3" s="326"/>
      <c r="AE3" s="326"/>
      <c r="AF3" s="326"/>
      <c r="AG3" s="115" t="s">
        <v>633</v>
      </c>
      <c r="AH3" s="326">
        <f>V3</f>
        <v>1</v>
      </c>
      <c r="AI3" s="326"/>
      <c r="AJ3" s="326"/>
      <c r="AK3" s="115"/>
      <c r="AL3" s="115"/>
      <c r="AM3" s="115"/>
      <c r="AN3" s="321"/>
      <c r="AO3" s="321"/>
      <c r="AP3" s="321"/>
      <c r="AQ3" s="325" t="s">
        <v>1</v>
      </c>
      <c r="AR3" s="326" t="str">
        <f>Q3</f>
        <v>REPORTES DE DISEÑO</v>
      </c>
      <c r="AS3" s="326"/>
      <c r="AT3" s="326"/>
      <c r="AU3" s="326"/>
      <c r="AV3" s="115" t="s">
        <v>633</v>
      </c>
      <c r="AW3" s="326">
        <f>V3</f>
        <v>1</v>
      </c>
      <c r="AX3" s="326"/>
      <c r="AY3" s="326"/>
      <c r="AZ3" s="321"/>
      <c r="BA3" s="321"/>
      <c r="BB3" s="321"/>
      <c r="BC3" s="325" t="s">
        <v>1</v>
      </c>
      <c r="BD3" s="326" t="str">
        <f>AC3</f>
        <v>REPORTES DE DISEÑO</v>
      </c>
      <c r="BE3" s="326"/>
      <c r="BF3" s="326"/>
      <c r="BG3" s="326"/>
      <c r="BH3" s="115" t="s">
        <v>633</v>
      </c>
      <c r="BI3" s="326">
        <f>AH3</f>
        <v>1</v>
      </c>
      <c r="BJ3" s="326"/>
      <c r="BK3" s="326"/>
      <c r="BL3" s="321"/>
      <c r="BM3" s="321"/>
      <c r="BN3" s="321"/>
      <c r="BO3" s="325" t="s">
        <v>1</v>
      </c>
      <c r="BP3" s="326" t="str">
        <f>BD3</f>
        <v>REPORTES DE DISEÑO</v>
      </c>
      <c r="BQ3" s="326"/>
      <c r="BR3" s="326"/>
      <c r="BS3" s="326"/>
      <c r="BT3" s="115" t="s">
        <v>633</v>
      </c>
      <c r="BU3" s="326">
        <f>BI3</f>
        <v>1</v>
      </c>
      <c r="BV3" s="326"/>
      <c r="BW3" s="326"/>
      <c r="BX3" s="321"/>
      <c r="BY3" s="321"/>
      <c r="BZ3" s="321"/>
      <c r="CA3" s="325" t="s">
        <v>1</v>
      </c>
      <c r="CB3" s="326" t="str">
        <f>BP3</f>
        <v>REPORTES DE DISEÑO</v>
      </c>
      <c r="CC3" s="326"/>
      <c r="CD3" s="326"/>
      <c r="CE3" s="326"/>
      <c r="CF3" s="115" t="s">
        <v>633</v>
      </c>
      <c r="CG3" s="326">
        <f>BU3</f>
        <v>1</v>
      </c>
      <c r="CH3" s="326"/>
      <c r="CI3" s="326"/>
      <c r="CJ3" s="328"/>
      <c r="CK3" s="321"/>
      <c r="CL3" s="321"/>
      <c r="CM3" s="325" t="s">
        <v>1</v>
      </c>
      <c r="CN3" s="326" t="str">
        <f>CB3</f>
        <v>REPORTES DE DISEÑO</v>
      </c>
      <c r="CO3" s="326"/>
      <c r="CP3" s="326"/>
      <c r="CQ3" s="326"/>
      <c r="CR3" s="115" t="s">
        <v>633</v>
      </c>
      <c r="CS3" s="326">
        <f>CG3</f>
        <v>1</v>
      </c>
      <c r="CT3" s="326"/>
      <c r="CU3" s="326"/>
    </row>
    <row r="4" spans="1:106" s="113" customFormat="1" ht="15" customHeight="1" x14ac:dyDescent="0.25">
      <c r="A4" s="320"/>
      <c r="B4" s="320"/>
      <c r="C4" s="320"/>
      <c r="D4" s="322"/>
      <c r="E4" s="324"/>
      <c r="F4" s="324"/>
      <c r="G4" s="324"/>
      <c r="H4" s="324"/>
      <c r="I4" s="110" t="s">
        <v>4</v>
      </c>
      <c r="J4" s="324" t="str">
        <f>'9. REPORTE ETABS'!Q3</f>
        <v>R0</v>
      </c>
      <c r="K4" s="324"/>
      <c r="L4" s="324"/>
      <c r="M4" s="320"/>
      <c r="N4" s="320"/>
      <c r="O4" s="320"/>
      <c r="P4" s="322"/>
      <c r="Q4" s="324"/>
      <c r="R4" s="324"/>
      <c r="S4" s="324"/>
      <c r="T4" s="324"/>
      <c r="U4" s="110" t="s">
        <v>4</v>
      </c>
      <c r="V4" s="324" t="str">
        <f>J4</f>
        <v>R0</v>
      </c>
      <c r="W4" s="324"/>
      <c r="X4" s="324"/>
      <c r="Y4" s="320"/>
      <c r="Z4" s="320"/>
      <c r="AA4" s="320"/>
      <c r="AB4" s="322"/>
      <c r="AC4" s="324"/>
      <c r="AD4" s="324"/>
      <c r="AE4" s="324"/>
      <c r="AF4" s="324"/>
      <c r="AG4" s="110" t="s">
        <v>4</v>
      </c>
      <c r="AH4" s="324" t="str">
        <f>V4</f>
        <v>R0</v>
      </c>
      <c r="AI4" s="324"/>
      <c r="AJ4" s="324"/>
      <c r="AK4" s="110"/>
      <c r="AL4" s="110"/>
      <c r="AM4" s="110"/>
      <c r="AN4" s="320"/>
      <c r="AO4" s="320"/>
      <c r="AP4" s="320"/>
      <c r="AQ4" s="322"/>
      <c r="AR4" s="324"/>
      <c r="AS4" s="324"/>
      <c r="AT4" s="324"/>
      <c r="AU4" s="324"/>
      <c r="AV4" s="110" t="s">
        <v>4</v>
      </c>
      <c r="AW4" s="324" t="str">
        <f>V4</f>
        <v>R0</v>
      </c>
      <c r="AX4" s="324"/>
      <c r="AY4" s="324"/>
      <c r="AZ4" s="320"/>
      <c r="BA4" s="320"/>
      <c r="BB4" s="320"/>
      <c r="BC4" s="322"/>
      <c r="BD4" s="324"/>
      <c r="BE4" s="324"/>
      <c r="BF4" s="324"/>
      <c r="BG4" s="324"/>
      <c r="BH4" s="110" t="s">
        <v>4</v>
      </c>
      <c r="BI4" s="324" t="str">
        <f>AH4</f>
        <v>R0</v>
      </c>
      <c r="BJ4" s="324"/>
      <c r="BK4" s="324"/>
      <c r="BL4" s="320"/>
      <c r="BM4" s="320"/>
      <c r="BN4" s="320"/>
      <c r="BO4" s="322"/>
      <c r="BP4" s="324"/>
      <c r="BQ4" s="324"/>
      <c r="BR4" s="324"/>
      <c r="BS4" s="324"/>
      <c r="BT4" s="110" t="s">
        <v>4</v>
      </c>
      <c r="BU4" s="324" t="str">
        <f>BI4</f>
        <v>R0</v>
      </c>
      <c r="BV4" s="324"/>
      <c r="BW4" s="324"/>
      <c r="BX4" s="320"/>
      <c r="BY4" s="320"/>
      <c r="BZ4" s="320"/>
      <c r="CA4" s="322"/>
      <c r="CB4" s="324"/>
      <c r="CC4" s="324"/>
      <c r="CD4" s="324"/>
      <c r="CE4" s="324"/>
      <c r="CF4" s="110" t="s">
        <v>4</v>
      </c>
      <c r="CG4" s="324" t="str">
        <f>BU4</f>
        <v>R0</v>
      </c>
      <c r="CH4" s="324"/>
      <c r="CI4" s="324"/>
      <c r="CJ4" s="327"/>
      <c r="CK4" s="320"/>
      <c r="CL4" s="320"/>
      <c r="CM4" s="322"/>
      <c r="CN4" s="324"/>
      <c r="CO4" s="324"/>
      <c r="CP4" s="324"/>
      <c r="CQ4" s="324"/>
      <c r="CR4" s="110" t="s">
        <v>4</v>
      </c>
      <c r="CS4" s="324" t="str">
        <f>CG4</f>
        <v>R0</v>
      </c>
      <c r="CT4" s="324"/>
      <c r="CU4" s="324"/>
    </row>
    <row r="5" spans="1:106" ht="15" customHeight="1" x14ac:dyDescent="0.25">
      <c r="A5" s="116"/>
      <c r="B5" s="114"/>
      <c r="C5" s="114"/>
      <c r="D5" s="114"/>
      <c r="E5" s="114"/>
      <c r="F5" s="114"/>
      <c r="G5" s="114"/>
      <c r="H5" s="114"/>
      <c r="I5" s="114"/>
      <c r="J5" s="114"/>
      <c r="K5" s="114"/>
      <c r="L5" s="117"/>
      <c r="M5" s="118"/>
      <c r="N5" s="119"/>
      <c r="O5" s="119"/>
      <c r="P5" s="119"/>
      <c r="Q5" s="119"/>
      <c r="R5" s="119"/>
      <c r="S5" s="119"/>
      <c r="T5" s="119"/>
      <c r="U5" s="119"/>
      <c r="V5" s="119"/>
      <c r="W5" s="119"/>
      <c r="X5" s="120"/>
      <c r="Y5" s="121"/>
      <c r="AJ5" s="122"/>
      <c r="AN5" s="121"/>
      <c r="AY5" s="122"/>
      <c r="AZ5" s="121"/>
      <c r="BK5" s="122"/>
      <c r="BL5" s="121"/>
      <c r="BW5" s="122"/>
      <c r="BX5" s="116"/>
      <c r="BY5" s="114"/>
      <c r="BZ5" s="114"/>
      <c r="CA5" s="114"/>
      <c r="CB5" s="114"/>
      <c r="CC5" s="114"/>
      <c r="CD5" s="114"/>
      <c r="CE5" s="114"/>
      <c r="CF5" s="114"/>
      <c r="CG5" s="114"/>
      <c r="CH5" s="114"/>
      <c r="CI5" s="117"/>
      <c r="CU5" s="117"/>
    </row>
    <row r="6" spans="1:106" ht="15" customHeight="1" x14ac:dyDescent="0.25">
      <c r="A6" s="123"/>
      <c r="B6" s="124"/>
      <c r="C6" s="188"/>
      <c r="D6" s="124"/>
      <c r="E6" s="124"/>
      <c r="F6" s="124"/>
      <c r="G6" s="124"/>
      <c r="H6" s="125"/>
      <c r="I6" s="124"/>
      <c r="J6" s="124"/>
      <c r="K6" s="124"/>
      <c r="L6" s="126"/>
      <c r="M6" s="116"/>
      <c r="N6" s="114" t="s">
        <v>9</v>
      </c>
      <c r="O6" s="189">
        <v>28</v>
      </c>
      <c r="P6" s="114" t="s">
        <v>10</v>
      </c>
      <c r="Q6" s="114"/>
      <c r="R6" s="114"/>
      <c r="S6" s="190" t="s">
        <v>766</v>
      </c>
      <c r="T6" s="191">
        <f>10.61*10*1.33</f>
        <v>141.113</v>
      </c>
      <c r="U6" s="114" t="s">
        <v>634</v>
      </c>
      <c r="V6" s="329" t="s">
        <v>765</v>
      </c>
      <c r="W6" s="329"/>
      <c r="X6" s="330"/>
      <c r="Y6" s="121"/>
      <c r="AJ6" s="122"/>
      <c r="AN6" s="121"/>
      <c r="AY6" s="122"/>
      <c r="AZ6" s="121"/>
      <c r="BK6" s="122"/>
      <c r="BL6" s="121"/>
      <c r="BW6" s="122"/>
      <c r="BX6" s="116"/>
      <c r="BY6" s="114"/>
      <c r="BZ6" s="114"/>
      <c r="CA6" s="114"/>
      <c r="CB6" s="114"/>
      <c r="CC6" s="114"/>
      <c r="CD6" s="114"/>
      <c r="CE6" s="114"/>
      <c r="CF6" s="114"/>
      <c r="CG6" s="114"/>
      <c r="CH6" s="114"/>
      <c r="CI6" s="117"/>
      <c r="CU6" s="117"/>
    </row>
    <row r="7" spans="1:106" ht="15" customHeight="1" x14ac:dyDescent="0.25">
      <c r="A7" s="123"/>
      <c r="B7" s="124"/>
      <c r="C7" s="188"/>
      <c r="D7" s="124"/>
      <c r="E7" s="124"/>
      <c r="F7" s="124"/>
      <c r="G7" s="124"/>
      <c r="H7" s="125"/>
      <c r="I7" s="124"/>
      <c r="J7" s="124"/>
      <c r="K7" s="124"/>
      <c r="L7" s="126"/>
      <c r="M7" s="116"/>
      <c r="N7" s="114" t="s">
        <v>26</v>
      </c>
      <c r="O7" s="189">
        <v>420</v>
      </c>
      <c r="P7" s="114" t="s">
        <v>10</v>
      </c>
      <c r="Q7" s="114"/>
      <c r="R7" s="114"/>
      <c r="S7" s="190" t="s">
        <v>635</v>
      </c>
      <c r="T7" s="191">
        <v>17.2</v>
      </c>
      <c r="U7" s="114" t="s">
        <v>636</v>
      </c>
      <c r="V7" s="329"/>
      <c r="W7" s="329"/>
      <c r="X7" s="330"/>
      <c r="Y7" s="121"/>
      <c r="AB7" s="148">
        <f>1.1/0.35</f>
        <v>3.1428571428571432</v>
      </c>
      <c r="AJ7" s="122"/>
      <c r="AN7" s="121"/>
      <c r="AY7" s="122"/>
      <c r="AZ7" s="121"/>
      <c r="BK7" s="122"/>
      <c r="BL7" s="121"/>
      <c r="BW7" s="122"/>
      <c r="BX7" s="116"/>
      <c r="BY7" s="114"/>
      <c r="BZ7" s="114"/>
      <c r="CA7" s="114"/>
      <c r="CB7" s="114"/>
      <c r="CC7" s="114"/>
      <c r="CD7" s="114"/>
      <c r="CE7" s="114"/>
      <c r="CF7" s="114"/>
      <c r="CG7" s="114"/>
      <c r="CH7" s="114"/>
      <c r="CI7" s="117"/>
      <c r="CU7" s="117"/>
    </row>
    <row r="8" spans="1:106" ht="15" customHeight="1" x14ac:dyDescent="0.25">
      <c r="A8" s="123"/>
      <c r="B8" s="124"/>
      <c r="C8" s="188"/>
      <c r="D8" s="124"/>
      <c r="E8" s="124"/>
      <c r="F8" s="124"/>
      <c r="G8" s="124"/>
      <c r="H8" s="125"/>
      <c r="I8" s="124"/>
      <c r="J8" s="124"/>
      <c r="K8" s="124"/>
      <c r="L8" s="126"/>
      <c r="M8" s="116"/>
      <c r="N8" s="114" t="s">
        <v>11</v>
      </c>
      <c r="O8" s="192">
        <f>4700*SQRT(O6)</f>
        <v>24870.062324007155</v>
      </c>
      <c r="P8" s="193" t="s">
        <v>180</v>
      </c>
      <c r="Q8" s="114"/>
      <c r="R8" s="114"/>
      <c r="S8" s="190" t="s">
        <v>637</v>
      </c>
      <c r="T8" s="191">
        <v>24</v>
      </c>
      <c r="U8" s="114" t="s">
        <v>636</v>
      </c>
      <c r="V8" s="329"/>
      <c r="W8" s="329"/>
      <c r="X8" s="330"/>
      <c r="Y8" s="121"/>
      <c r="AJ8" s="122"/>
      <c r="AN8" s="121"/>
      <c r="AY8" s="122"/>
      <c r="AZ8" s="121"/>
      <c r="BK8" s="122"/>
      <c r="BL8" s="121"/>
      <c r="BW8" s="122"/>
      <c r="BX8" s="116"/>
      <c r="BY8" s="114"/>
      <c r="BZ8" s="114"/>
      <c r="CA8" s="114"/>
      <c r="CB8" s="114"/>
      <c r="CC8" s="114"/>
      <c r="CD8" s="114"/>
      <c r="CE8" s="114"/>
      <c r="CF8" s="114"/>
      <c r="CG8" s="114"/>
      <c r="CH8" s="114"/>
      <c r="CI8" s="117"/>
      <c r="CU8" s="117"/>
    </row>
    <row r="9" spans="1:106" ht="15" customHeight="1" x14ac:dyDescent="0.25">
      <c r="A9" s="123"/>
      <c r="B9" s="124"/>
      <c r="C9" s="188"/>
      <c r="D9" s="124"/>
      <c r="E9" s="124"/>
      <c r="F9" s="124"/>
      <c r="G9" s="124"/>
      <c r="H9" s="125"/>
      <c r="I9" s="124"/>
      <c r="J9" s="124"/>
      <c r="K9" s="124"/>
      <c r="L9" s="126"/>
      <c r="M9" s="127"/>
      <c r="N9" s="128"/>
      <c r="O9" s="129"/>
      <c r="P9" s="128"/>
      <c r="Q9" s="128"/>
      <c r="R9" s="128"/>
      <c r="S9" s="128"/>
      <c r="T9" s="130"/>
      <c r="U9" s="128"/>
      <c r="V9" s="128"/>
      <c r="W9" s="128"/>
      <c r="X9" s="131"/>
      <c r="Y9" s="121"/>
      <c r="AF9" s="124"/>
      <c r="AG9" s="124"/>
      <c r="AH9" s="124"/>
      <c r="AI9" s="124"/>
      <c r="AJ9" s="126"/>
      <c r="AK9" s="126"/>
      <c r="AL9" s="126"/>
      <c r="AM9" s="126"/>
      <c r="AN9" s="331" t="s">
        <v>638</v>
      </c>
      <c r="AO9" s="332" t="s">
        <v>639</v>
      </c>
      <c r="AP9" s="333"/>
      <c r="AQ9" s="333"/>
      <c r="AR9" s="333"/>
      <c r="AS9" s="333"/>
      <c r="AT9" s="333"/>
      <c r="AU9" s="333" t="s">
        <v>640</v>
      </c>
      <c r="AV9" s="336"/>
      <c r="AW9" s="333"/>
      <c r="AX9" s="333"/>
      <c r="AY9" s="336"/>
      <c r="AZ9" s="331" t="s">
        <v>638</v>
      </c>
      <c r="BA9" s="338" t="s">
        <v>641</v>
      </c>
      <c r="BB9" s="338"/>
      <c r="BC9" s="338"/>
      <c r="BD9" s="338"/>
      <c r="BE9" s="338"/>
      <c r="BF9" s="338"/>
      <c r="BG9" s="338"/>
      <c r="BH9" s="338"/>
      <c r="BI9" s="338"/>
      <c r="BJ9" s="338"/>
      <c r="BK9" s="122"/>
      <c r="BL9" s="338" t="s">
        <v>642</v>
      </c>
      <c r="BM9" s="338" t="s">
        <v>643</v>
      </c>
      <c r="BN9" s="338"/>
      <c r="BO9" s="338"/>
      <c r="BP9" s="338"/>
      <c r="BQ9" s="338"/>
      <c r="BR9" s="338"/>
      <c r="BS9" s="338"/>
      <c r="BT9" s="338"/>
      <c r="BU9" s="338"/>
      <c r="BV9" s="338"/>
      <c r="BW9" s="126"/>
      <c r="BX9" s="339" t="s">
        <v>642</v>
      </c>
      <c r="BY9" s="343" t="s">
        <v>643</v>
      </c>
      <c r="BZ9" s="344"/>
      <c r="CA9" s="344"/>
      <c r="CB9" s="344"/>
      <c r="CC9" s="345"/>
      <c r="CD9" s="124"/>
      <c r="CE9" s="124"/>
      <c r="CF9" s="124"/>
      <c r="CG9" s="124"/>
      <c r="CH9" s="124"/>
      <c r="CI9" s="126"/>
      <c r="CJ9" s="346" t="s">
        <v>642</v>
      </c>
      <c r="CK9" s="347" t="s">
        <v>644</v>
      </c>
      <c r="CL9" s="347"/>
      <c r="CM9" s="347"/>
      <c r="CN9" s="347"/>
      <c r="CO9" s="347"/>
      <c r="CP9" s="347"/>
      <c r="CQ9" s="347"/>
      <c r="CR9" s="347"/>
      <c r="CS9" s="347"/>
      <c r="CU9" s="117"/>
      <c r="CV9" s="137"/>
      <c r="CW9" s="137"/>
      <c r="CX9" s="137"/>
      <c r="CY9" s="137"/>
      <c r="CZ9" s="137"/>
      <c r="DA9" s="137"/>
    </row>
    <row r="10" spans="1:106" s="112" customFormat="1" ht="15" customHeight="1" x14ac:dyDescent="0.2">
      <c r="A10" s="123"/>
      <c r="B10" s="124"/>
      <c r="C10" s="188"/>
      <c r="D10" s="124"/>
      <c r="E10" s="124"/>
      <c r="F10" s="124"/>
      <c r="G10" s="124"/>
      <c r="H10" s="125"/>
      <c r="I10" s="124"/>
      <c r="J10" s="124"/>
      <c r="K10" s="124"/>
      <c r="L10" s="126"/>
      <c r="M10" s="331" t="s">
        <v>638</v>
      </c>
      <c r="N10" s="331" t="s">
        <v>290</v>
      </c>
      <c r="O10" s="348" t="s">
        <v>645</v>
      </c>
      <c r="P10" s="338" t="s">
        <v>646</v>
      </c>
      <c r="Q10" s="338"/>
      <c r="R10" s="338"/>
      <c r="S10" s="338"/>
      <c r="T10" s="338"/>
      <c r="U10" s="338" t="s">
        <v>647</v>
      </c>
      <c r="V10" s="338"/>
      <c r="W10" s="138" t="s">
        <v>648</v>
      </c>
      <c r="X10" s="138" t="s">
        <v>649</v>
      </c>
      <c r="Y10" s="331" t="s">
        <v>638</v>
      </c>
      <c r="Z10" s="331" t="s">
        <v>650</v>
      </c>
      <c r="AA10" s="331"/>
      <c r="AB10" s="331"/>
      <c r="AC10" s="331"/>
      <c r="AD10" s="338" t="s">
        <v>767</v>
      </c>
      <c r="AE10" s="338"/>
      <c r="AF10" s="338"/>
      <c r="AG10" s="338"/>
      <c r="AH10" s="331" t="s">
        <v>808</v>
      </c>
      <c r="AI10" s="331" t="s">
        <v>807</v>
      </c>
      <c r="AJ10" s="331"/>
      <c r="AK10" s="202"/>
      <c r="AL10" s="202"/>
      <c r="AM10" s="202"/>
      <c r="AN10" s="331"/>
      <c r="AO10" s="334"/>
      <c r="AP10" s="335"/>
      <c r="AQ10" s="335"/>
      <c r="AR10" s="335"/>
      <c r="AS10" s="335"/>
      <c r="AT10" s="335"/>
      <c r="AU10" s="335"/>
      <c r="AV10" s="337"/>
      <c r="AW10" s="335"/>
      <c r="AX10" s="335"/>
      <c r="AY10" s="337"/>
      <c r="AZ10" s="331"/>
      <c r="BA10" s="338" t="s">
        <v>652</v>
      </c>
      <c r="BB10" s="338"/>
      <c r="BC10" s="338"/>
      <c r="BD10" s="338"/>
      <c r="BE10" s="338"/>
      <c r="BF10" s="338"/>
      <c r="BG10" s="338"/>
      <c r="BH10" s="338"/>
      <c r="BI10" s="338"/>
      <c r="BJ10" s="338"/>
      <c r="BK10" s="139"/>
      <c r="BL10" s="338"/>
      <c r="BM10" s="338" t="s">
        <v>708</v>
      </c>
      <c r="BN10" s="338"/>
      <c r="BO10" s="338"/>
      <c r="BP10" s="338"/>
      <c r="BQ10" s="338" t="s">
        <v>656</v>
      </c>
      <c r="BR10" s="338"/>
      <c r="BS10" s="338"/>
      <c r="BT10" s="338"/>
      <c r="BU10" s="338"/>
      <c r="BV10" s="338"/>
      <c r="BW10" s="139"/>
      <c r="BX10" s="340"/>
      <c r="BY10" s="338" t="s">
        <v>656</v>
      </c>
      <c r="BZ10" s="338"/>
      <c r="CA10" s="338"/>
      <c r="CB10" s="338" t="s">
        <v>658</v>
      </c>
      <c r="CC10" s="338" t="s">
        <v>660</v>
      </c>
      <c r="CD10" s="124"/>
      <c r="CE10" s="124"/>
      <c r="CF10" s="124"/>
      <c r="CG10" s="124"/>
      <c r="CH10" s="124"/>
      <c r="CI10" s="126"/>
      <c r="CJ10" s="346"/>
      <c r="CK10" s="331" t="s">
        <v>657</v>
      </c>
      <c r="CL10" s="331" t="s">
        <v>139</v>
      </c>
      <c r="CM10" s="331" t="s">
        <v>658</v>
      </c>
      <c r="CN10" s="331" t="s">
        <v>659</v>
      </c>
      <c r="CO10" s="338" t="s">
        <v>660</v>
      </c>
      <c r="CP10" s="338" t="s">
        <v>656</v>
      </c>
      <c r="CQ10" s="338"/>
      <c r="CR10" s="338"/>
      <c r="CS10" s="338"/>
      <c r="CU10" s="139"/>
      <c r="CV10" s="137"/>
      <c r="CW10" s="331" t="s">
        <v>638</v>
      </c>
      <c r="CX10" s="331" t="s">
        <v>290</v>
      </c>
      <c r="CY10" s="140"/>
      <c r="CZ10" s="140"/>
      <c r="DA10" s="331" t="s">
        <v>653</v>
      </c>
      <c r="DB10" s="331" t="s">
        <v>654</v>
      </c>
    </row>
    <row r="11" spans="1:106" ht="15" customHeight="1" x14ac:dyDescent="0.25">
      <c r="A11" s="123"/>
      <c r="B11" s="124"/>
      <c r="C11" s="188"/>
      <c r="D11" s="124"/>
      <c r="E11" s="124"/>
      <c r="F11" s="124"/>
      <c r="G11" s="124"/>
      <c r="H11" s="125"/>
      <c r="I11" s="124"/>
      <c r="J11" s="124"/>
      <c r="K11" s="124"/>
      <c r="L11" s="126"/>
      <c r="M11" s="331"/>
      <c r="N11" s="331"/>
      <c r="O11" s="348"/>
      <c r="P11" s="138" t="s">
        <v>255</v>
      </c>
      <c r="Q11" s="138" t="s">
        <v>256</v>
      </c>
      <c r="R11" s="138" t="s">
        <v>661</v>
      </c>
      <c r="S11" s="138" t="s">
        <v>662</v>
      </c>
      <c r="T11" s="141" t="s">
        <v>663</v>
      </c>
      <c r="U11" s="141" t="s">
        <v>313</v>
      </c>
      <c r="V11" s="132" t="s">
        <v>314</v>
      </c>
      <c r="W11" s="132" t="s">
        <v>664</v>
      </c>
      <c r="X11" s="132" t="s">
        <v>665</v>
      </c>
      <c r="Y11" s="331"/>
      <c r="Z11" s="132" t="s">
        <v>666</v>
      </c>
      <c r="AA11" s="132" t="s">
        <v>667</v>
      </c>
      <c r="AB11" s="132" t="s">
        <v>668</v>
      </c>
      <c r="AC11" s="132" t="s">
        <v>669</v>
      </c>
      <c r="AD11" s="132" t="s">
        <v>670</v>
      </c>
      <c r="AE11" s="132" t="s">
        <v>671</v>
      </c>
      <c r="AF11" s="332" t="s">
        <v>761</v>
      </c>
      <c r="AG11" s="336" t="s">
        <v>762</v>
      </c>
      <c r="AH11" s="331"/>
      <c r="AI11" s="331"/>
      <c r="AJ11" s="331"/>
      <c r="AK11" s="202"/>
      <c r="AL11" s="202"/>
      <c r="AM11" s="202"/>
      <c r="AN11" s="331"/>
      <c r="AO11" s="132" t="s">
        <v>677</v>
      </c>
      <c r="AP11" s="132" t="s">
        <v>678</v>
      </c>
      <c r="AQ11" s="132" t="s">
        <v>679</v>
      </c>
      <c r="AR11" s="132" t="s">
        <v>680</v>
      </c>
      <c r="AS11" s="338" t="s">
        <v>660</v>
      </c>
      <c r="AT11" s="338" t="s">
        <v>313</v>
      </c>
      <c r="AU11" s="132" t="s">
        <v>681</v>
      </c>
      <c r="AV11" s="132" t="s">
        <v>682</v>
      </c>
      <c r="AW11" s="135" t="s">
        <v>683</v>
      </c>
      <c r="AX11" s="132" t="s">
        <v>684</v>
      </c>
      <c r="AY11" s="338" t="s">
        <v>660</v>
      </c>
      <c r="AZ11" s="331"/>
      <c r="BA11" s="142" t="s">
        <v>685</v>
      </c>
      <c r="BB11" s="142" t="s">
        <v>413</v>
      </c>
      <c r="BC11" s="341" t="s">
        <v>414</v>
      </c>
      <c r="BD11" s="142" t="s">
        <v>415</v>
      </c>
      <c r="BE11" s="341" t="s">
        <v>394</v>
      </c>
      <c r="BF11" s="341" t="s">
        <v>416</v>
      </c>
      <c r="BG11" s="142" t="s">
        <v>686</v>
      </c>
      <c r="BH11" s="341" t="s">
        <v>660</v>
      </c>
      <c r="BI11" s="142" t="s">
        <v>687</v>
      </c>
      <c r="BJ11" s="342" t="s">
        <v>688</v>
      </c>
      <c r="BK11" s="122"/>
      <c r="BL11" s="338"/>
      <c r="BM11" s="132" t="s">
        <v>54</v>
      </c>
      <c r="BN11" s="132" t="s">
        <v>726</v>
      </c>
      <c r="BO11" s="132" t="s">
        <v>693</v>
      </c>
      <c r="BP11" s="132" t="s">
        <v>694</v>
      </c>
      <c r="BQ11" s="338" t="s">
        <v>416</v>
      </c>
      <c r="BR11" s="338" t="s">
        <v>695</v>
      </c>
      <c r="BS11" s="338"/>
      <c r="BT11" s="132" t="s">
        <v>727</v>
      </c>
      <c r="BU11" s="132" t="s">
        <v>139</v>
      </c>
      <c r="BV11" s="338" t="s">
        <v>660</v>
      </c>
      <c r="BW11" s="122"/>
      <c r="BX11" s="340"/>
      <c r="BY11" s="132" t="s">
        <v>727</v>
      </c>
      <c r="BZ11" s="132" t="s">
        <v>139</v>
      </c>
      <c r="CA11" s="338" t="s">
        <v>660</v>
      </c>
      <c r="CB11" s="338"/>
      <c r="CC11" s="338"/>
      <c r="CD11" s="124"/>
      <c r="CE11" s="124"/>
      <c r="CF11" s="124"/>
      <c r="CG11" s="124"/>
      <c r="CH11" s="124"/>
      <c r="CI11" s="126"/>
      <c r="CJ11" s="346"/>
      <c r="CK11" s="331"/>
      <c r="CL11" s="331"/>
      <c r="CM11" s="331"/>
      <c r="CN11" s="331"/>
      <c r="CO11" s="338"/>
      <c r="CP11" s="132" t="s">
        <v>694</v>
      </c>
      <c r="CQ11" s="338" t="s">
        <v>416</v>
      </c>
      <c r="CR11" s="338" t="s">
        <v>695</v>
      </c>
      <c r="CS11" s="338"/>
      <c r="CU11" s="117"/>
      <c r="CW11" s="331"/>
      <c r="CX11" s="331"/>
      <c r="CY11" s="132" t="s">
        <v>667</v>
      </c>
      <c r="CZ11" s="134" t="s">
        <v>669</v>
      </c>
      <c r="DA11" s="331"/>
      <c r="DB11" s="331"/>
    </row>
    <row r="12" spans="1:106" ht="15" customHeight="1" x14ac:dyDescent="0.25">
      <c r="A12" s="123"/>
      <c r="B12" s="124"/>
      <c r="C12" s="188"/>
      <c r="D12" s="124"/>
      <c r="E12" s="124"/>
      <c r="F12" s="124"/>
      <c r="G12" s="124"/>
      <c r="H12" s="125"/>
      <c r="I12" s="124"/>
      <c r="J12" s="124"/>
      <c r="K12" s="124"/>
      <c r="L12" s="126"/>
      <c r="M12" s="331"/>
      <c r="N12" s="331"/>
      <c r="O12" s="348"/>
      <c r="P12" s="138" t="s">
        <v>95</v>
      </c>
      <c r="Q12" s="138" t="s">
        <v>95</v>
      </c>
      <c r="R12" s="138" t="s">
        <v>95</v>
      </c>
      <c r="S12" s="138" t="s">
        <v>411</v>
      </c>
      <c r="T12" s="141" t="s">
        <v>411</v>
      </c>
      <c r="U12" s="141" t="s">
        <v>101</v>
      </c>
      <c r="V12" s="132" t="s">
        <v>101</v>
      </c>
      <c r="W12" s="138" t="s">
        <v>95</v>
      </c>
      <c r="X12" s="138" t="s">
        <v>95</v>
      </c>
      <c r="Y12" s="331"/>
      <c r="Z12" s="132" t="s">
        <v>101</v>
      </c>
      <c r="AA12" s="132" t="s">
        <v>101</v>
      </c>
      <c r="AB12" s="132" t="s">
        <v>101</v>
      </c>
      <c r="AC12" s="132" t="s">
        <v>101</v>
      </c>
      <c r="AD12" s="132" t="s">
        <v>101</v>
      </c>
      <c r="AE12" s="132" t="s">
        <v>101</v>
      </c>
      <c r="AF12" s="334"/>
      <c r="AG12" s="337"/>
      <c r="AH12" s="331"/>
      <c r="AI12" s="132" t="s">
        <v>147</v>
      </c>
      <c r="AJ12" s="132" t="s">
        <v>53</v>
      </c>
      <c r="AK12" s="132"/>
      <c r="AL12" s="132"/>
      <c r="AM12" s="132"/>
      <c r="AN12" s="331"/>
      <c r="AO12" s="132" t="s">
        <v>95</v>
      </c>
      <c r="AP12" s="132" t="s">
        <v>95</v>
      </c>
      <c r="AQ12" s="132" t="s">
        <v>95</v>
      </c>
      <c r="AR12" s="132" t="s">
        <v>95</v>
      </c>
      <c r="AS12" s="338"/>
      <c r="AT12" s="338"/>
      <c r="AU12" s="132" t="s">
        <v>95</v>
      </c>
      <c r="AV12" s="132" t="s">
        <v>95</v>
      </c>
      <c r="AW12" s="135" t="s">
        <v>95</v>
      </c>
      <c r="AX12" s="132" t="s">
        <v>95</v>
      </c>
      <c r="AY12" s="338"/>
      <c r="AZ12" s="331"/>
      <c r="BA12" s="132" t="s">
        <v>411</v>
      </c>
      <c r="BB12" s="132" t="s">
        <v>634</v>
      </c>
      <c r="BC12" s="338"/>
      <c r="BD12" s="132" t="s">
        <v>309</v>
      </c>
      <c r="BE12" s="338"/>
      <c r="BF12" s="338"/>
      <c r="BG12" s="132" t="s">
        <v>309</v>
      </c>
      <c r="BH12" s="338"/>
      <c r="BI12" s="132" t="s">
        <v>101</v>
      </c>
      <c r="BJ12" s="331"/>
      <c r="BK12" s="122"/>
      <c r="BL12" s="338"/>
      <c r="BM12" s="132" t="s">
        <v>101</v>
      </c>
      <c r="BN12" s="132" t="s">
        <v>729</v>
      </c>
      <c r="BO12" s="132" t="s">
        <v>95</v>
      </c>
      <c r="BP12" s="132" t="s">
        <v>309</v>
      </c>
      <c r="BQ12" s="338"/>
      <c r="BR12" s="338"/>
      <c r="BS12" s="338"/>
      <c r="BT12" s="132" t="s">
        <v>309</v>
      </c>
      <c r="BU12" s="132" t="s">
        <v>95</v>
      </c>
      <c r="BV12" s="338"/>
      <c r="BW12" s="122"/>
      <c r="BX12" s="341"/>
      <c r="BY12" s="132" t="s">
        <v>309</v>
      </c>
      <c r="BZ12" s="132" t="s">
        <v>95</v>
      </c>
      <c r="CA12" s="338"/>
      <c r="CB12" s="132" t="s">
        <v>634</v>
      </c>
      <c r="CC12" s="338"/>
      <c r="CD12" s="124"/>
      <c r="CE12" s="124"/>
      <c r="CF12" s="124"/>
      <c r="CG12" s="124"/>
      <c r="CH12" s="124"/>
      <c r="CI12" s="126"/>
      <c r="CJ12" s="346"/>
      <c r="CK12" s="136" t="s">
        <v>411</v>
      </c>
      <c r="CL12" s="136" t="s">
        <v>95</v>
      </c>
      <c r="CM12" s="136" t="s">
        <v>634</v>
      </c>
      <c r="CN12" s="136" t="s">
        <v>634</v>
      </c>
      <c r="CO12" s="338"/>
      <c r="CP12" s="132" t="s">
        <v>309</v>
      </c>
      <c r="CQ12" s="338"/>
      <c r="CR12" s="338"/>
      <c r="CS12" s="338"/>
      <c r="CU12" s="117"/>
      <c r="CW12" s="331"/>
      <c r="CX12" s="331"/>
      <c r="CY12" s="132" t="s">
        <v>101</v>
      </c>
      <c r="CZ12" s="134" t="s">
        <v>101</v>
      </c>
      <c r="DA12" s="331"/>
      <c r="DB12" s="331"/>
    </row>
    <row r="13" spans="1:106" ht="15" customHeight="1" x14ac:dyDescent="0.25">
      <c r="A13" s="123"/>
      <c r="B13" s="124"/>
      <c r="C13" s="188"/>
      <c r="D13" s="124"/>
      <c r="E13" s="124"/>
      <c r="F13" s="124"/>
      <c r="G13" s="124"/>
      <c r="H13" s="125"/>
      <c r="I13" s="124"/>
      <c r="J13" s="124"/>
      <c r="K13" s="124"/>
      <c r="L13" s="126"/>
      <c r="M13" s="349" t="str">
        <f>Y13</f>
        <v>Z1</v>
      </c>
      <c r="N13" s="143">
        <v>233</v>
      </c>
      <c r="O13" s="144" t="s">
        <v>803</v>
      </c>
      <c r="P13" s="145">
        <v>111.8493</v>
      </c>
      <c r="Q13" s="145">
        <v>7.1631999999999998</v>
      </c>
      <c r="R13" s="145">
        <v>347.93279999999999</v>
      </c>
      <c r="S13" s="145">
        <v>4.1997999999999998</v>
      </c>
      <c r="T13" s="145">
        <v>425.6352</v>
      </c>
      <c r="U13" s="145">
        <v>0.5</v>
      </c>
      <c r="V13" s="206">
        <f>+U13-0.075</f>
        <v>0.42499999999999999</v>
      </c>
      <c r="W13" s="147">
        <f>(AA13*AC13*U13+W51*X51*(U51-U13))*$T$8</f>
        <v>169.38</v>
      </c>
      <c r="X13" s="147">
        <f>(AA13*AC13-W51*X51)*(U51-U13)*$T$7</f>
        <v>324.435</v>
      </c>
      <c r="Y13" s="349" t="s">
        <v>698</v>
      </c>
      <c r="Z13" s="148">
        <f t="shared" ref="Z13:Z32" si="0">IF(O13="Medianera",3*W51/2,MAX(6*AE13,SQRT(N51/$T$6),1))</f>
        <v>2.4423476497985694</v>
      </c>
      <c r="AA13" s="149">
        <v>3.6</v>
      </c>
      <c r="AB13" s="148">
        <f>IF(O13="Medianera",2*N51/(AA13*$T$6),MAX(Z13,AD13*6,1))</f>
        <v>4.6284680518321526</v>
      </c>
      <c r="AC13" s="149">
        <v>3.6</v>
      </c>
      <c r="AD13" s="150">
        <f>P51/N51</f>
        <v>0.77141134197202543</v>
      </c>
      <c r="AE13" s="150">
        <f t="shared" ref="AE13:AE32" si="1">O51/N51</f>
        <v>2.2009205132463669E-2</v>
      </c>
      <c r="AF13" s="53" t="str">
        <f>IF(AD13&gt;AC13/6,"N/C","OK")</f>
        <v>N/C</v>
      </c>
      <c r="AG13" s="53" t="str">
        <f>IF(AE13&gt;AA13/6,"N/C","OK")</f>
        <v>OK</v>
      </c>
      <c r="AH13" s="155" t="str">
        <f>O13</f>
        <v>Esquinera</v>
      </c>
      <c r="AI13" s="153">
        <f>IF(OR(AH13="L",AH13="Esquinera"),AC13-X51/2,AC13/2)</f>
        <v>3.4250000000000003</v>
      </c>
      <c r="AJ13" s="153">
        <f>IF(OR(AH13="B",AH13="Esquinera"),AA13-W51/2,AA13/2)</f>
        <v>3.05</v>
      </c>
      <c r="AK13" s="152">
        <f>AD51</f>
        <v>1.0689094669161472</v>
      </c>
      <c r="AL13" s="150">
        <f>AH51</f>
        <v>4.4399139779879011</v>
      </c>
      <c r="AM13" s="150">
        <f>AJ51</f>
        <v>138.57838034783171</v>
      </c>
      <c r="AN13" s="349" t="str">
        <f>Y13</f>
        <v>Z1</v>
      </c>
      <c r="AO13" s="153">
        <f t="shared" ref="AO13:AO32" si="2">N51/(AA13*AC13)*(AA13*AC13-(W51-V13)*(X51-V13))</f>
        <v>845.03587734374992</v>
      </c>
      <c r="AP13" s="153">
        <f t="shared" ref="AP13:AP32" si="3">0.75*0.17*(1+2/R51)*SQRT($O$6)*T51*V13*(1000^2)/(10^3)</f>
        <v>2158.3197365702317</v>
      </c>
      <c r="AQ13" s="153">
        <f t="shared" ref="AQ13:AQ32" si="4">0.75*0.083*(Q51*V13/T51+2)*SQRT($O$6)*T51*V13*(1000^2)/(10^3)</f>
        <v>2477.8816975666809</v>
      </c>
      <c r="AR13" s="153">
        <f t="shared" ref="AR13:AR32" si="5">0.75*0.33*SQRT($O$6)*T51*V13*(1000^2)/(10^3)</f>
        <v>2560.3596874999807</v>
      </c>
      <c r="AS13" s="53" t="str">
        <f t="shared" ref="AS13:AS32" si="6">IF(AO13&lt;MIN(AP13:AR13),"OK","N/C")</f>
        <v>OK</v>
      </c>
      <c r="AT13" s="153">
        <f t="shared" ref="AT13:AT32" si="7">IF(AS13&lt;&gt;"OK",AO13*10^3/(1000^2*0.75*0.33*SQRT($O$6)*T51)+0.075,V13+0.075)</f>
        <v>0.5</v>
      </c>
      <c r="AU13" s="150">
        <f t="shared" ref="AU13:AU32" si="8">+N51/AA13*((AA13-W51)/2-V13)</f>
        <v>192.90053749999996</v>
      </c>
      <c r="AV13" s="153">
        <f t="shared" ref="AV13:AV32" si="9">+N51/AC13*((AC13-X51)/2-V13)</f>
        <v>280.58259999999996</v>
      </c>
      <c r="AW13" s="154">
        <f t="shared" ref="AW13:AW32" si="10">0.75*0.17*SQRT($O$6)*AA13*V13*(1000^2/10^3)</f>
        <v>1032.2398740118501</v>
      </c>
      <c r="AX13" s="153">
        <f t="shared" ref="AX13:AX32" si="11">0.75*0.17*SQRT($O$6)*AC13*V13*(1000^2/10^3)</f>
        <v>1032.2398740118501</v>
      </c>
      <c r="AY13" s="53" t="str">
        <f t="shared" ref="AY13:AY32" si="12">IF(AND(AU13&lt;AW13,AV13&lt;AX13),"OK","N/C")</f>
        <v>OK</v>
      </c>
      <c r="AZ13" s="349" t="str">
        <f>AN13</f>
        <v>Z1</v>
      </c>
      <c r="BA13" s="153">
        <f t="shared" ref="BA13:BA32" si="13">SUM(N51/(2*AA13)*(AA13/2-W51/2)^2,P51)</f>
        <v>832.00476354166665</v>
      </c>
      <c r="BB13" s="153">
        <f t="shared" ref="BB13:BB32" si="14">BA13/(0.9*AA13*V13^2)</f>
        <v>1421.6835636578523</v>
      </c>
      <c r="BC13" s="150">
        <f t="shared" ref="BC13:BC32" si="15">MAX(0.85*$O$6/$O$7*(1-SQRT(1-2*BB13/(0.85*$O$6*10^3))),0.0018)</f>
        <v>3.4925920345565712E-3</v>
      </c>
      <c r="BD13" s="148">
        <f t="shared" ref="BD13:BD32" si="16">+BC13*AA13*V13*100^2</f>
        <v>53.436658128715543</v>
      </c>
      <c r="BE13" s="144">
        <v>6</v>
      </c>
      <c r="BF13" s="144">
        <v>23</v>
      </c>
      <c r="BG13" s="155">
        <f t="shared" ref="BG13:BG32" si="17">VLOOKUP(BE13,$N$91:$T$102,7,)*BF13</f>
        <v>65.319999999999993</v>
      </c>
      <c r="BH13" s="53" t="str">
        <f t="shared" ref="BH13:BH32" si="18">IF(BG13&gt;=BD13,"OK","N/C")</f>
        <v>OK</v>
      </c>
      <c r="BI13" s="148">
        <f t="shared" ref="BI13:BI32" si="19">ROUND((AA13-2*0.075)/BF13,2)</f>
        <v>0.15</v>
      </c>
      <c r="BJ13" s="155" t="str">
        <f t="shared" ref="BJ13:BJ32" si="20">BF13&amp;"#"&amp;BE13&amp;"@"&amp;ROUNDDOWN(BI13*100/5,0)*5</f>
        <v>23#6@15</v>
      </c>
      <c r="BK13" s="197">
        <f t="shared" ref="BK13:BK32" si="21">BD13/BG13</f>
        <v>0.8180749866612913</v>
      </c>
      <c r="BL13" s="349" t="str">
        <f>AZ13</f>
        <v>Z1</v>
      </c>
      <c r="BM13" s="155">
        <f t="shared" ref="BM13:BM32" si="22">IF(AT51="SÍ",U51-U13-AX51/2,0)</f>
        <v>1.2250000000000001</v>
      </c>
      <c r="BN13" s="153">
        <f t="shared" ref="BN13:BN32" si="23">IF(AT51="SÍ",O51,0)</f>
        <v>18.526199999999999</v>
      </c>
      <c r="BO13" s="153">
        <f t="shared" ref="BO13:BO32" si="24">IF(AT51="SÍ",(N51*(AA13-W51)-2*BN13)/(2*(BM13+U13)),0)</f>
        <v>599.22234782608689</v>
      </c>
      <c r="BP13" s="153">
        <f t="shared" ref="BP13:BP32" si="25">MAX(0.0033*2*AY51*(AW51-0.04)*100^2,0.0033*AY51*AW51*100^2,BO13*100^2/(0.9*10^3*$O$7))</f>
        <v>15.852443064182193</v>
      </c>
      <c r="BQ13" s="144">
        <v>10</v>
      </c>
      <c r="BR13" s="155" t="s">
        <v>191</v>
      </c>
      <c r="BS13" s="144">
        <v>6</v>
      </c>
      <c r="BT13" s="153">
        <f t="shared" ref="BT13:BT32" si="26">BQ13*VLOOKUP(BS13,$N$91:$T$102,7,)</f>
        <v>28.4</v>
      </c>
      <c r="BU13" s="153">
        <f t="shared" ref="BU13:BU32" si="27">0.9*$O$7*BT13*10^3/(100^2)</f>
        <v>1073.5199999999998</v>
      </c>
      <c r="BV13" s="53" t="str">
        <f t="shared" ref="BV13:BV32" si="28">IF(AND(BU13&gt;=BO13,BT13&gt;=BP13),"OK","N/C")</f>
        <v>OK</v>
      </c>
      <c r="BW13" s="122"/>
      <c r="BX13" s="349" t="str">
        <f>BL13</f>
        <v>Z1</v>
      </c>
      <c r="BY13" s="153">
        <f t="shared" ref="BY13:BY32" si="29">BU51*VLOOKUP(BW51,$N$91:$T$102,7,)</f>
        <v>28.4</v>
      </c>
      <c r="BZ13" s="153">
        <f t="shared" ref="BZ13:BZ32" si="30">0.9*$O$7*BY13*10^3/(100^2)</f>
        <v>1073.5199999999998</v>
      </c>
      <c r="CA13" s="155" t="str">
        <f t="shared" ref="CA13:CA32" si="31">IF(AND(BZ13&gt;=BS51,BY13&gt;=BT51),"OK","N/C")</f>
        <v>OK</v>
      </c>
      <c r="CB13" s="153">
        <f t="shared" ref="CB13:CB32" si="32">N51/(AA13*AC13)+BP51*BR51^2*BM13^2*AA13*BS51/(6*10^3*$O$8*V51)</f>
        <v>76.617749351068767</v>
      </c>
      <c r="CC13" s="53" t="str">
        <f t="shared" ref="CC13:CC32" si="33">IF(AND(CB13&lt;=$T$6,CB13&gt;0),"OK","N/C")</f>
        <v>OK</v>
      </c>
      <c r="CI13" s="122"/>
      <c r="CJ13" s="349" t="str">
        <f>BX13</f>
        <v>Z1</v>
      </c>
      <c r="CK13" s="153">
        <f t="shared" ref="CK13:CK32" si="34">SQRT(O51^2+P51^2)</f>
        <v>649.59803256235307</v>
      </c>
      <c r="CL13" s="153">
        <f>IF(AT51="SÍ",(N51*(AA13-W51)/2*SQRT(2)/2-CK13)/(BM13+U13+BP51*BR51^2*BM13^2*AA13^4/(36*10^3*$O$8*V51)),0)</f>
        <v>42.403454610099452</v>
      </c>
      <c r="CM13" s="150">
        <f>IF(O13="Esquinera",N51/(AA13^2)+BP51*AA13*SQRT(2)*BR51^2*AC13^2*CL13/(6*10^3*$O$8*V51),0)</f>
        <v>98.347309936851545</v>
      </c>
      <c r="CN13" s="150">
        <f t="shared" ref="CN13:CN32" si="35">IF(O13="Esquinera",N51/(AA13^2)-BP51*AA13*SQRT(2)*BR51^2*AC13^2*CL13/(6*10^3*$O$8*V51),0)</f>
        <v>31.552041915000288</v>
      </c>
      <c r="CO13" s="53" t="str">
        <f t="shared" ref="CO13:CO32" si="36">IF(AND(CM13&lt;=$T$6,CN13&gt;=0),"OK","N/C")</f>
        <v>OK</v>
      </c>
      <c r="CP13" s="158">
        <f t="shared" ref="CP13:CP32" si="37">BT51</f>
        <v>15.852443064182193</v>
      </c>
      <c r="CQ13" s="144">
        <v>10</v>
      </c>
      <c r="CR13" s="155" t="s">
        <v>191</v>
      </c>
      <c r="CS13" s="144">
        <v>6</v>
      </c>
      <c r="CU13" s="117"/>
      <c r="CW13" s="349" t="str">
        <f>AZ13</f>
        <v>Z1</v>
      </c>
      <c r="CX13" s="111">
        <f t="shared" ref="CX13:CX32" si="38">N13</f>
        <v>233</v>
      </c>
      <c r="CY13" s="156">
        <f t="shared" ref="CY13:CY32" si="39">AA13</f>
        <v>3.6</v>
      </c>
      <c r="CZ13" s="156">
        <f t="shared" ref="CZ13:CZ32" si="40">AC13</f>
        <v>3.6</v>
      </c>
      <c r="DA13" s="140" t="str">
        <f t="shared" ref="DA13:DA32" si="41">BJ13</f>
        <v>23#6@15</v>
      </c>
      <c r="DB13" s="140" t="str">
        <f t="shared" ref="DB13:DB32" si="42">BJ51</f>
        <v>23#5@15</v>
      </c>
    </row>
    <row r="14" spans="1:106" ht="15" customHeight="1" x14ac:dyDescent="0.25">
      <c r="A14" s="123"/>
      <c r="B14" s="124"/>
      <c r="C14" s="188"/>
      <c r="D14" s="124"/>
      <c r="E14" s="124"/>
      <c r="F14" s="124"/>
      <c r="G14" s="124"/>
      <c r="H14" s="125"/>
      <c r="I14" s="124"/>
      <c r="J14" s="124"/>
      <c r="K14" s="124"/>
      <c r="L14" s="126"/>
      <c r="M14" s="350"/>
      <c r="N14" s="143">
        <v>233</v>
      </c>
      <c r="O14" s="144" t="s">
        <v>803</v>
      </c>
      <c r="P14" s="145">
        <v>-62.192999999999998</v>
      </c>
      <c r="Q14" s="145">
        <v>1.4927999999999999</v>
      </c>
      <c r="R14" s="145">
        <v>294.6173</v>
      </c>
      <c r="S14" s="145">
        <v>-18.435600000000001</v>
      </c>
      <c r="T14" s="145">
        <v>-341.536</v>
      </c>
      <c r="U14" s="145">
        <v>0.5</v>
      </c>
      <c r="V14" s="146">
        <f t="shared" ref="V14:V32" si="43">+U14-0.075</f>
        <v>0.42499999999999999</v>
      </c>
      <c r="W14" s="147">
        <f t="shared" ref="W14:W32" si="44">(AA14*AC14*U14+W52*X52*(U52-U14))*$T$8</f>
        <v>169.38</v>
      </c>
      <c r="X14" s="147">
        <f t="shared" ref="X14:X32" si="45">(AA14*AC14-W52*X52)*(U52-U14)*$T$7</f>
        <v>324.435</v>
      </c>
      <c r="Y14" s="350"/>
      <c r="Z14" s="148">
        <f t="shared" si="0"/>
        <v>2.3637344863530223</v>
      </c>
      <c r="AA14" s="149">
        <v>3.6</v>
      </c>
      <c r="AB14" s="148">
        <f t="shared" ref="AB14:AB32" si="46">IF(O14="Medianera",2*N52/(AA14*$T$6),MAX(Z14,AD14*6,1))</f>
        <v>2.3637344863530223</v>
      </c>
      <c r="AC14" s="149">
        <v>3.6</v>
      </c>
      <c r="AD14" s="150">
        <f t="shared" ref="AD14:AD32" si="47">P52/N52</f>
        <v>-0.59094737747299297</v>
      </c>
      <c r="AE14" s="150">
        <f t="shared" si="1"/>
        <v>-1.9595848622640147E-2</v>
      </c>
      <c r="AF14" s="53" t="str">
        <f t="shared" ref="AF14:AF32" si="48">IF(AD14&gt;AC14/6,"N/C","OK")</f>
        <v>OK</v>
      </c>
      <c r="AG14" s="53" t="str">
        <f t="shared" ref="AG14:AG32" si="49">IF(AE14&gt;AA14/6,"N/C","OK")</f>
        <v>OK</v>
      </c>
      <c r="AH14" s="155" t="str">
        <f t="shared" ref="AH14:AH36" si="50">O14</f>
        <v>Esquinera</v>
      </c>
      <c r="AI14" s="153">
        <f t="shared" ref="AI14:AI32" si="51">IF(OR(AH14="L",AH14="Esquinera"),AC14-X52/2,AC14/2)</f>
        <v>3.4250000000000003</v>
      </c>
      <c r="AJ14" s="153">
        <f t="shared" ref="AJ14:AJ32" si="52">IF(OR(AH14="B",AH14="Esquinera"),AA14-W52/2,AA14/2)</f>
        <v>3.05</v>
      </c>
      <c r="AK14" s="152">
        <f t="shared" ref="AK14:AK36" si="53">AD52</f>
        <v>0.86980406488580386</v>
      </c>
      <c r="AL14" s="150">
        <f t="shared" ref="AL14:AL36" si="54">AH52</f>
        <v>-5.795778322337215</v>
      </c>
      <c r="AM14" s="150">
        <f t="shared" ref="AM14:AM36" si="55">AJ52</f>
        <v>-155.64521132686079</v>
      </c>
      <c r="AN14" s="350"/>
      <c r="AO14" s="153">
        <f t="shared" si="2"/>
        <v>791.512113671875</v>
      </c>
      <c r="AP14" s="153">
        <f t="shared" si="3"/>
        <v>2158.3197365702317</v>
      </c>
      <c r="AQ14" s="153">
        <f t="shared" si="4"/>
        <v>2477.8816975666809</v>
      </c>
      <c r="AR14" s="153">
        <f t="shared" si="5"/>
        <v>2560.3596874999807</v>
      </c>
      <c r="AS14" s="53" t="str">
        <f t="shared" si="6"/>
        <v>OK</v>
      </c>
      <c r="AT14" s="153">
        <f t="shared" si="7"/>
        <v>0.5</v>
      </c>
      <c r="AU14" s="150">
        <f t="shared" si="8"/>
        <v>180.68240208333333</v>
      </c>
      <c r="AV14" s="153">
        <f t="shared" si="9"/>
        <v>262.81076666666667</v>
      </c>
      <c r="AW14" s="154">
        <f t="shared" si="10"/>
        <v>1032.2398740118501</v>
      </c>
      <c r="AX14" s="153">
        <f t="shared" si="11"/>
        <v>1032.2398740118501</v>
      </c>
      <c r="AY14" s="53" t="str">
        <f t="shared" si="12"/>
        <v>OK</v>
      </c>
      <c r="AZ14" s="350"/>
      <c r="BA14" s="153">
        <f t="shared" si="13"/>
        <v>-294.82124045138892</v>
      </c>
      <c r="BB14" s="153">
        <f t="shared" si="14"/>
        <v>-503.77417309819117</v>
      </c>
      <c r="BC14" s="150">
        <f t="shared" si="15"/>
        <v>1.8E-3</v>
      </c>
      <c r="BD14" s="148">
        <f t="shared" si="16"/>
        <v>27.54</v>
      </c>
      <c r="BE14" s="144">
        <v>6</v>
      </c>
      <c r="BF14" s="144">
        <v>23</v>
      </c>
      <c r="BG14" s="155">
        <f t="shared" si="17"/>
        <v>65.319999999999993</v>
      </c>
      <c r="BH14" s="53" t="str">
        <f t="shared" si="18"/>
        <v>OK</v>
      </c>
      <c r="BI14" s="148">
        <f t="shared" si="19"/>
        <v>0.15</v>
      </c>
      <c r="BJ14" s="155" t="str">
        <f t="shared" si="20"/>
        <v>23#6@15</v>
      </c>
      <c r="BK14" s="197">
        <f t="shared" si="21"/>
        <v>0.42161665646050217</v>
      </c>
      <c r="BL14" s="350"/>
      <c r="BM14" s="155">
        <f t="shared" si="22"/>
        <v>1.2250000000000001</v>
      </c>
      <c r="BN14" s="153">
        <f t="shared" si="23"/>
        <v>-15.450000000000001</v>
      </c>
      <c r="BO14" s="153">
        <f t="shared" si="24"/>
        <v>580.28427536231879</v>
      </c>
      <c r="BP14" s="153">
        <f t="shared" si="25"/>
        <v>15.351435856145999</v>
      </c>
      <c r="BQ14" s="144">
        <v>10</v>
      </c>
      <c r="BR14" s="155" t="s">
        <v>191</v>
      </c>
      <c r="BS14" s="144">
        <v>6</v>
      </c>
      <c r="BT14" s="153">
        <f t="shared" si="26"/>
        <v>28.4</v>
      </c>
      <c r="BU14" s="153">
        <f t="shared" si="27"/>
        <v>1073.5199999999998</v>
      </c>
      <c r="BV14" s="53" t="str">
        <f t="shared" si="28"/>
        <v>OK</v>
      </c>
      <c r="BW14" s="122"/>
      <c r="BX14" s="350"/>
      <c r="BY14" s="153">
        <f t="shared" si="29"/>
        <v>28.4</v>
      </c>
      <c r="BZ14" s="153">
        <f t="shared" si="30"/>
        <v>1073.5199999999998</v>
      </c>
      <c r="CA14" s="155" t="str">
        <f t="shared" si="31"/>
        <v>OK</v>
      </c>
      <c r="CB14" s="153">
        <f t="shared" si="32"/>
        <v>102.87561617836425</v>
      </c>
      <c r="CC14" s="53" t="str">
        <f t="shared" si="33"/>
        <v>OK</v>
      </c>
      <c r="CI14" s="122"/>
      <c r="CJ14" s="350"/>
      <c r="CK14" s="153">
        <f t="shared" si="34"/>
        <v>466.17809105962931</v>
      </c>
      <c r="CL14" s="153">
        <f t="shared" ref="CL14:CL32" si="56">IF(AT52="SÍ",(N52*(AA14-W52)/2*SQRT(2)/2-CK14)/(BM14+U14+BP52*BR52^2*BM14^2*AA14^4/(36*10^3*$O$8*V52)),0)</f>
        <v>103.62000443892086</v>
      </c>
      <c r="CM14" s="150">
        <f t="shared" ref="CM14:CM32" si="57">IF(O14="Esquinera",N52/(AA14^2)+BP52*AA14*SQRT(2)*BR52^2*AC14^2*CL14/(6*10^3*$O$8*V52),0)</f>
        <v>142.44858609358067</v>
      </c>
      <c r="CN14" s="150">
        <f t="shared" si="35"/>
        <v>-20.776934859012798</v>
      </c>
      <c r="CO14" s="53" t="str">
        <f t="shared" si="36"/>
        <v>N/C</v>
      </c>
      <c r="CP14" s="158">
        <f t="shared" si="37"/>
        <v>15.351435856145999</v>
      </c>
      <c r="CQ14" s="144">
        <v>10</v>
      </c>
      <c r="CR14" s="155" t="s">
        <v>191</v>
      </c>
      <c r="CS14" s="144">
        <v>6</v>
      </c>
      <c r="CU14" s="117"/>
      <c r="CW14" s="350"/>
      <c r="CX14" s="111">
        <f t="shared" si="38"/>
        <v>233</v>
      </c>
      <c r="CY14" s="156">
        <f t="shared" si="39"/>
        <v>3.6</v>
      </c>
      <c r="CZ14" s="156">
        <f t="shared" si="40"/>
        <v>3.6</v>
      </c>
      <c r="DA14" s="140" t="str">
        <f t="shared" si="41"/>
        <v>23#6@15</v>
      </c>
      <c r="DB14" s="140" t="str">
        <f t="shared" si="42"/>
        <v>23#5@15</v>
      </c>
    </row>
    <row r="15" spans="1:106" ht="15" customHeight="1" x14ac:dyDescent="0.25">
      <c r="A15" s="123"/>
      <c r="B15" s="124"/>
      <c r="C15" s="188"/>
      <c r="D15" s="124"/>
      <c r="E15" s="124"/>
      <c r="F15" s="124"/>
      <c r="G15" s="124"/>
      <c r="H15" s="125"/>
      <c r="I15" s="124"/>
      <c r="J15" s="124"/>
      <c r="K15" s="124"/>
      <c r="L15" s="126"/>
      <c r="M15" s="349" t="str">
        <f>Y15</f>
        <v>Z2</v>
      </c>
      <c r="N15" s="143">
        <v>238</v>
      </c>
      <c r="O15" s="144" t="s">
        <v>802</v>
      </c>
      <c r="P15" s="145">
        <v>109.83280000000001</v>
      </c>
      <c r="Q15" s="145">
        <v>-1.8326</v>
      </c>
      <c r="R15" s="145">
        <v>347.94040000000001</v>
      </c>
      <c r="S15" s="145">
        <v>20.169499999999999</v>
      </c>
      <c r="T15" s="145">
        <v>415.19639999999998</v>
      </c>
      <c r="U15" s="145">
        <v>0.5</v>
      </c>
      <c r="V15" s="146">
        <f t="shared" si="43"/>
        <v>0.42499999999999999</v>
      </c>
      <c r="W15" s="147">
        <f t="shared" si="44"/>
        <v>219.78000000000003</v>
      </c>
      <c r="X15" s="147">
        <f t="shared" si="45"/>
        <v>432.79499999999996</v>
      </c>
      <c r="Y15" s="349" t="s">
        <v>838</v>
      </c>
      <c r="Z15" s="148">
        <f t="shared" si="0"/>
        <v>1.6500000000000001</v>
      </c>
      <c r="AA15" s="149">
        <v>4.4000000000000004</v>
      </c>
      <c r="AB15" s="148">
        <f t="shared" si="46"/>
        <v>3.2228053210740844</v>
      </c>
      <c r="AC15" s="149">
        <v>3.9</v>
      </c>
      <c r="AD15" s="150">
        <f t="shared" si="47"/>
        <v>0.6345349606812648</v>
      </c>
      <c r="AE15" s="150">
        <f t="shared" si="1"/>
        <v>1.6495798065676949E-2</v>
      </c>
      <c r="AF15" s="53" t="str">
        <f t="shared" si="48"/>
        <v>OK</v>
      </c>
      <c r="AG15" s="53" t="str">
        <f t="shared" si="49"/>
        <v>OK</v>
      </c>
      <c r="AH15" s="155" t="s">
        <v>147</v>
      </c>
      <c r="AI15" s="153">
        <f t="shared" si="51"/>
        <v>3.7250000000000001</v>
      </c>
      <c r="AJ15" s="153">
        <f t="shared" si="52"/>
        <v>2.2000000000000002</v>
      </c>
      <c r="AK15" s="152">
        <f t="shared" si="53"/>
        <v>0.82582399034697662</v>
      </c>
      <c r="AL15" s="150">
        <f t="shared" si="54"/>
        <v>5.8704409225942022</v>
      </c>
      <c r="AM15" s="150">
        <f t="shared" si="55"/>
        <v>133.36729700744655</v>
      </c>
      <c r="AN15" s="349" t="str">
        <f>Y15</f>
        <v>Z2</v>
      </c>
      <c r="AO15" s="153">
        <f t="shared" si="2"/>
        <v>1003.4670953452797</v>
      </c>
      <c r="AP15" s="153">
        <f t="shared" si="3"/>
        <v>2158.3197365702317</v>
      </c>
      <c r="AQ15" s="153">
        <f t="shared" si="4"/>
        <v>3072.853291615178</v>
      </c>
      <c r="AR15" s="153">
        <f t="shared" si="5"/>
        <v>2560.3596874999807</v>
      </c>
      <c r="AS15" s="53" t="str">
        <f t="shared" si="6"/>
        <v>OK</v>
      </c>
      <c r="AT15" s="153">
        <f t="shared" si="7"/>
        <v>0.5</v>
      </c>
      <c r="AU15" s="150">
        <f t="shared" si="8"/>
        <v>278.55258295454547</v>
      </c>
      <c r="AV15" s="153">
        <f t="shared" si="9"/>
        <v>346.33225384615383</v>
      </c>
      <c r="AW15" s="154">
        <f t="shared" si="10"/>
        <v>1261.6265126811504</v>
      </c>
      <c r="AX15" s="153">
        <f t="shared" si="11"/>
        <v>1118.2598635128377</v>
      </c>
      <c r="AY15" s="53" t="str">
        <f t="shared" si="12"/>
        <v>OK</v>
      </c>
      <c r="AZ15" s="349" t="str">
        <f>AN15</f>
        <v>Z2</v>
      </c>
      <c r="BA15" s="153">
        <f t="shared" si="13"/>
        <v>944.39645187500003</v>
      </c>
      <c r="BB15" s="153">
        <f t="shared" si="14"/>
        <v>1320.3263805878858</v>
      </c>
      <c r="BC15" s="150">
        <f t="shared" si="15"/>
        <v>3.2360334683940823E-3</v>
      </c>
      <c r="BD15" s="148">
        <f t="shared" si="16"/>
        <v>60.513825858969341</v>
      </c>
      <c r="BE15" s="144">
        <v>6</v>
      </c>
      <c r="BF15" s="144">
        <v>25</v>
      </c>
      <c r="BG15" s="155">
        <f t="shared" si="17"/>
        <v>71</v>
      </c>
      <c r="BH15" s="53" t="str">
        <f t="shared" si="18"/>
        <v>OK</v>
      </c>
      <c r="BI15" s="148">
        <f t="shared" si="19"/>
        <v>0.17</v>
      </c>
      <c r="BJ15" s="155" t="str">
        <f t="shared" si="20"/>
        <v>25#6@15</v>
      </c>
      <c r="BK15" s="197">
        <f t="shared" si="21"/>
        <v>0.85230740646435688</v>
      </c>
      <c r="BL15" s="349" t="str">
        <f>AZ15</f>
        <v>Z2</v>
      </c>
      <c r="BM15" s="155">
        <f t="shared" si="22"/>
        <v>1.2250000000000001</v>
      </c>
      <c r="BN15" s="153">
        <f t="shared" si="23"/>
        <v>16.504300000000001</v>
      </c>
      <c r="BO15" s="153">
        <f t="shared" si="24"/>
        <v>947.44702028985512</v>
      </c>
      <c r="BP15" s="153">
        <f t="shared" si="25"/>
        <v>25.064735986504104</v>
      </c>
      <c r="BQ15" s="144">
        <v>10</v>
      </c>
      <c r="BR15" s="155" t="s">
        <v>191</v>
      </c>
      <c r="BS15" s="144">
        <v>6</v>
      </c>
      <c r="BT15" s="153">
        <f t="shared" si="26"/>
        <v>28.4</v>
      </c>
      <c r="BU15" s="153">
        <f t="shared" si="27"/>
        <v>1073.5199999999998</v>
      </c>
      <c r="BV15" s="53" t="str">
        <f t="shared" si="28"/>
        <v>OK</v>
      </c>
      <c r="BW15" s="122"/>
      <c r="BX15" s="349" t="str">
        <f>BL15</f>
        <v>Z2</v>
      </c>
      <c r="BY15" s="153">
        <f t="shared" si="29"/>
        <v>28.4</v>
      </c>
      <c r="BZ15" s="153">
        <f t="shared" si="30"/>
        <v>1073.5199999999998</v>
      </c>
      <c r="CA15" s="155" t="str">
        <f t="shared" si="31"/>
        <v>OK</v>
      </c>
      <c r="CB15" s="153">
        <f t="shared" si="32"/>
        <v>88.566875150029887</v>
      </c>
      <c r="CC15" s="53" t="str">
        <f t="shared" si="33"/>
        <v>OK</v>
      </c>
      <c r="CI15" s="122"/>
      <c r="CJ15" s="349" t="str">
        <f>BX15</f>
        <v>Z2</v>
      </c>
      <c r="CK15" s="153">
        <f t="shared" si="34"/>
        <v>635.07649221372537</v>
      </c>
      <c r="CL15" s="153">
        <f t="shared" si="56"/>
        <v>184.05507382253072</v>
      </c>
      <c r="CM15" s="150">
        <f t="shared" si="57"/>
        <v>0</v>
      </c>
      <c r="CN15" s="150">
        <f t="shared" si="35"/>
        <v>0</v>
      </c>
      <c r="CO15" s="53" t="str">
        <f t="shared" si="36"/>
        <v>OK</v>
      </c>
      <c r="CP15" s="158">
        <f t="shared" si="37"/>
        <v>25.064735986504104</v>
      </c>
      <c r="CQ15" s="144">
        <v>10</v>
      </c>
      <c r="CR15" s="155" t="s">
        <v>191</v>
      </c>
      <c r="CS15" s="144">
        <v>6</v>
      </c>
      <c r="CU15" s="117"/>
      <c r="CW15" s="349" t="str">
        <f t="shared" ref="CW15" si="58">AZ15</f>
        <v>Z2</v>
      </c>
      <c r="CX15" s="111">
        <f t="shared" si="38"/>
        <v>238</v>
      </c>
      <c r="CY15" s="156">
        <f t="shared" si="39"/>
        <v>4.4000000000000004</v>
      </c>
      <c r="CZ15" s="156">
        <f t="shared" si="40"/>
        <v>3.9</v>
      </c>
      <c r="DA15" s="140" t="str">
        <f t="shared" si="41"/>
        <v>25#6@15</v>
      </c>
      <c r="DB15" s="140" t="str">
        <f t="shared" si="42"/>
        <v>23#5@15</v>
      </c>
    </row>
    <row r="16" spans="1:106" ht="15" customHeight="1" x14ac:dyDescent="0.25">
      <c r="A16" s="123"/>
      <c r="B16" s="124"/>
      <c r="C16" s="188"/>
      <c r="D16" s="124"/>
      <c r="E16" s="124"/>
      <c r="F16" s="124"/>
      <c r="G16" s="124"/>
      <c r="H16" s="125"/>
      <c r="I16" s="124"/>
      <c r="J16" s="124"/>
      <c r="K16" s="124"/>
      <c r="L16" s="126"/>
      <c r="M16" s="350"/>
      <c r="N16" s="143">
        <v>238</v>
      </c>
      <c r="O16" s="144" t="s">
        <v>802</v>
      </c>
      <c r="P16" s="145">
        <v>-61.023099999999999</v>
      </c>
      <c r="Q16" s="145">
        <v>-7.7873000000000001</v>
      </c>
      <c r="R16" s="145">
        <v>294.81310000000002</v>
      </c>
      <c r="S16" s="145">
        <v>-3.7210000000000001</v>
      </c>
      <c r="T16" s="145">
        <v>-336.19619999999998</v>
      </c>
      <c r="U16" s="145">
        <v>0.5</v>
      </c>
      <c r="V16" s="146">
        <f t="shared" si="43"/>
        <v>0.42499999999999999</v>
      </c>
      <c r="W16" s="147">
        <f t="shared" si="44"/>
        <v>219.78000000000003</v>
      </c>
      <c r="X16" s="147">
        <f t="shared" si="45"/>
        <v>432.79499999999996</v>
      </c>
      <c r="Y16" s="350"/>
      <c r="Z16" s="148">
        <f t="shared" si="0"/>
        <v>1.6500000000000001</v>
      </c>
      <c r="AA16" s="149">
        <v>4.4000000000000004</v>
      </c>
      <c r="AB16" s="148">
        <f t="shared" si="46"/>
        <v>3.0516745767254227</v>
      </c>
      <c r="AC16" s="149">
        <v>3.9</v>
      </c>
      <c r="AD16" s="150">
        <f t="shared" si="47"/>
        <v>-0.48369026378946495</v>
      </c>
      <c r="AE16" s="150">
        <f t="shared" si="1"/>
        <v>-2.0367154706714175E-2</v>
      </c>
      <c r="AF16" s="53" t="str">
        <f t="shared" si="48"/>
        <v>OK</v>
      </c>
      <c r="AG16" s="53" t="str">
        <f t="shared" si="49"/>
        <v>OK</v>
      </c>
      <c r="AH16" s="155" t="s">
        <v>147</v>
      </c>
      <c r="AI16" s="153">
        <f t="shared" si="51"/>
        <v>3.7250000000000001</v>
      </c>
      <c r="AJ16" s="153">
        <f t="shared" si="52"/>
        <v>2.2000000000000002</v>
      </c>
      <c r="AK16" s="152">
        <f t="shared" si="53"/>
        <v>0.69324353801137495</v>
      </c>
      <c r="AL16" s="150">
        <f t="shared" si="54"/>
        <v>-7.7012093872151519</v>
      </c>
      <c r="AM16" s="150">
        <f t="shared" si="55"/>
        <v>-108.01705155579512</v>
      </c>
      <c r="AN16" s="350"/>
      <c r="AO16" s="153">
        <f t="shared" si="2"/>
        <v>950.18306052229013</v>
      </c>
      <c r="AP16" s="153">
        <f t="shared" si="3"/>
        <v>2158.3197365702317</v>
      </c>
      <c r="AQ16" s="153">
        <f t="shared" si="4"/>
        <v>3072.853291615178</v>
      </c>
      <c r="AR16" s="153">
        <f t="shared" si="5"/>
        <v>2560.3596874999807</v>
      </c>
      <c r="AS16" s="53" t="str">
        <f t="shared" si="6"/>
        <v>OK</v>
      </c>
      <c r="AT16" s="153">
        <f t="shared" si="7"/>
        <v>0.5</v>
      </c>
      <c r="AU16" s="150">
        <f t="shared" si="8"/>
        <v>263.76145965909092</v>
      </c>
      <c r="AV16" s="153">
        <f t="shared" si="9"/>
        <v>327.94203461538461</v>
      </c>
      <c r="AW16" s="154">
        <f t="shared" si="10"/>
        <v>1261.6265126811504</v>
      </c>
      <c r="AX16" s="153">
        <f t="shared" si="11"/>
        <v>1118.2598635128377</v>
      </c>
      <c r="AY16" s="53" t="str">
        <f t="shared" si="12"/>
        <v>OK</v>
      </c>
      <c r="AZ16" s="350"/>
      <c r="BA16" s="153">
        <f t="shared" si="13"/>
        <v>-165.1442065624999</v>
      </c>
      <c r="BB16" s="153">
        <f t="shared" si="14"/>
        <v>-230.88211745482494</v>
      </c>
      <c r="BC16" s="150">
        <f t="shared" si="15"/>
        <v>1.8E-3</v>
      </c>
      <c r="BD16" s="148">
        <f t="shared" si="16"/>
        <v>33.660000000000004</v>
      </c>
      <c r="BE16" s="144">
        <v>6</v>
      </c>
      <c r="BF16" s="144">
        <v>25</v>
      </c>
      <c r="BG16" s="155">
        <f t="shared" si="17"/>
        <v>71</v>
      </c>
      <c r="BH16" s="53" t="str">
        <f t="shared" si="18"/>
        <v>OK</v>
      </c>
      <c r="BI16" s="148">
        <f t="shared" si="19"/>
        <v>0.17</v>
      </c>
      <c r="BJ16" s="155" t="str">
        <f t="shared" si="20"/>
        <v>25#6@15</v>
      </c>
      <c r="BK16" s="197">
        <f t="shared" si="21"/>
        <v>0.47408450704225358</v>
      </c>
      <c r="BL16" s="350"/>
      <c r="BM16" s="155">
        <f t="shared" si="22"/>
        <v>1.2250000000000001</v>
      </c>
      <c r="BN16" s="153">
        <f t="shared" si="23"/>
        <v>-19.2956</v>
      </c>
      <c r="BO16" s="153">
        <f t="shared" si="24"/>
        <v>917.383168115942</v>
      </c>
      <c r="BP16" s="153">
        <f t="shared" si="25"/>
        <v>24.269395981903227</v>
      </c>
      <c r="BQ16" s="144">
        <v>10</v>
      </c>
      <c r="BR16" s="155" t="s">
        <v>191</v>
      </c>
      <c r="BS16" s="144">
        <v>6</v>
      </c>
      <c r="BT16" s="153">
        <f t="shared" si="26"/>
        <v>28.4</v>
      </c>
      <c r="BU16" s="153">
        <f t="shared" si="27"/>
        <v>1073.5199999999998</v>
      </c>
      <c r="BV16" s="53" t="str">
        <f t="shared" si="28"/>
        <v>OK</v>
      </c>
      <c r="BW16" s="122"/>
      <c r="BX16" s="350"/>
      <c r="BY16" s="153">
        <f t="shared" si="29"/>
        <v>28.4</v>
      </c>
      <c r="BZ16" s="153">
        <f t="shared" si="30"/>
        <v>1073.5199999999998</v>
      </c>
      <c r="CA16" s="155" t="str">
        <f t="shared" si="31"/>
        <v>OK</v>
      </c>
      <c r="CB16" s="153">
        <f t="shared" si="32"/>
        <v>115.41859999267245</v>
      </c>
      <c r="CC16" s="53" t="str">
        <f t="shared" si="33"/>
        <v>OK</v>
      </c>
      <c r="CI16" s="122"/>
      <c r="CJ16" s="350"/>
      <c r="CK16" s="153">
        <f t="shared" si="34"/>
        <v>458.6484681508486</v>
      </c>
      <c r="CL16" s="153">
        <f t="shared" si="56"/>
        <v>223.63004108588217</v>
      </c>
      <c r="CM16" s="150">
        <f t="shared" si="57"/>
        <v>0</v>
      </c>
      <c r="CN16" s="150">
        <f t="shared" si="35"/>
        <v>0</v>
      </c>
      <c r="CO16" s="53" t="str">
        <f t="shared" si="36"/>
        <v>OK</v>
      </c>
      <c r="CP16" s="158">
        <f t="shared" si="37"/>
        <v>24.269395981903227</v>
      </c>
      <c r="CQ16" s="144">
        <v>10</v>
      </c>
      <c r="CR16" s="155" t="s">
        <v>191</v>
      </c>
      <c r="CS16" s="144">
        <v>6</v>
      </c>
      <c r="CU16" s="117"/>
      <c r="CW16" s="350"/>
      <c r="CX16" s="111">
        <f t="shared" si="38"/>
        <v>238</v>
      </c>
      <c r="CY16" s="156">
        <f t="shared" si="39"/>
        <v>4.4000000000000004</v>
      </c>
      <c r="CZ16" s="156">
        <f t="shared" si="40"/>
        <v>3.9</v>
      </c>
      <c r="DA16" s="140" t="str">
        <f t="shared" si="41"/>
        <v>25#6@15</v>
      </c>
      <c r="DB16" s="140" t="str">
        <f t="shared" si="42"/>
        <v>23#5@15</v>
      </c>
    </row>
    <row r="17" spans="1:106" ht="15" customHeight="1" x14ac:dyDescent="0.25">
      <c r="A17" s="123"/>
      <c r="B17" s="124"/>
      <c r="C17" s="188"/>
      <c r="D17" s="124"/>
      <c r="E17" s="124"/>
      <c r="F17" s="124"/>
      <c r="G17" s="124"/>
      <c r="H17" s="125"/>
      <c r="I17" s="124"/>
      <c r="J17" s="124"/>
      <c r="K17" s="124"/>
      <c r="L17" s="126"/>
      <c r="M17" s="349" t="str">
        <f>Y17</f>
        <v>Z1</v>
      </c>
      <c r="N17" s="143">
        <v>243</v>
      </c>
      <c r="O17" s="144" t="s">
        <v>803</v>
      </c>
      <c r="P17" s="145">
        <v>89.159400000000005</v>
      </c>
      <c r="Q17" s="145">
        <v>-9.8139000000000003</v>
      </c>
      <c r="R17" s="145">
        <v>548.38649999999996</v>
      </c>
      <c r="S17" s="145">
        <v>32.164499999999997</v>
      </c>
      <c r="T17" s="145">
        <v>380.19589999999999</v>
      </c>
      <c r="U17" s="145">
        <v>0.5</v>
      </c>
      <c r="V17" s="146">
        <f t="shared" si="43"/>
        <v>0.42499999999999999</v>
      </c>
      <c r="W17" s="147">
        <f t="shared" si="44"/>
        <v>169.38</v>
      </c>
      <c r="X17" s="147">
        <f t="shared" si="45"/>
        <v>324.435</v>
      </c>
      <c r="Y17" s="349" t="s">
        <v>698</v>
      </c>
      <c r="Z17" s="148">
        <f t="shared" si="0"/>
        <v>2.7176425554423407</v>
      </c>
      <c r="AA17" s="149">
        <v>3.6</v>
      </c>
      <c r="AB17" s="148">
        <f t="shared" si="46"/>
        <v>3.2153937602277489</v>
      </c>
      <c r="AC17" s="149">
        <v>3.6</v>
      </c>
      <c r="AD17" s="150">
        <f t="shared" si="47"/>
        <v>0.53589896003795812</v>
      </c>
      <c r="AE17" s="150">
        <f t="shared" si="1"/>
        <v>1.2029055801589229E-2</v>
      </c>
      <c r="AF17" s="53" t="str">
        <f t="shared" si="48"/>
        <v>OK</v>
      </c>
      <c r="AG17" s="53" t="str">
        <f t="shared" si="49"/>
        <v>OK</v>
      </c>
      <c r="AH17" s="155" t="str">
        <f t="shared" si="50"/>
        <v>Esquinera</v>
      </c>
      <c r="AI17" s="153">
        <f t="shared" si="51"/>
        <v>3.4250000000000003</v>
      </c>
      <c r="AJ17" s="153">
        <f t="shared" si="52"/>
        <v>3.05</v>
      </c>
      <c r="AK17" s="152">
        <f t="shared" si="53"/>
        <v>1.0902926197342533</v>
      </c>
      <c r="AL17" s="150">
        <f t="shared" si="54"/>
        <v>6.3911301484097027</v>
      </c>
      <c r="AM17" s="150">
        <f t="shared" si="55"/>
        <v>253.55273516954227</v>
      </c>
      <c r="AN17" s="349" t="str">
        <f>Y17</f>
        <v>Z1</v>
      </c>
      <c r="AO17" s="153">
        <f t="shared" si="2"/>
        <v>1046.272599609375</v>
      </c>
      <c r="AP17" s="153">
        <f t="shared" si="3"/>
        <v>2158.3197365702317</v>
      </c>
      <c r="AQ17" s="153">
        <f t="shared" si="4"/>
        <v>2477.8816975666809</v>
      </c>
      <c r="AR17" s="153">
        <f t="shared" si="5"/>
        <v>2560.3596874999807</v>
      </c>
      <c r="AS17" s="53" t="str">
        <f t="shared" si="6"/>
        <v>OK</v>
      </c>
      <c r="AT17" s="153">
        <f t="shared" si="7"/>
        <v>0.5</v>
      </c>
      <c r="AU17" s="150">
        <f t="shared" si="8"/>
        <v>238.83784374999996</v>
      </c>
      <c r="AV17" s="153">
        <f t="shared" si="9"/>
        <v>347.40049999999997</v>
      </c>
      <c r="AW17" s="154">
        <f t="shared" si="10"/>
        <v>1032.2398740118501</v>
      </c>
      <c r="AX17" s="153">
        <f t="shared" si="11"/>
        <v>1032.2398740118501</v>
      </c>
      <c r="AY17" s="53" t="str">
        <f t="shared" si="12"/>
        <v>OK</v>
      </c>
      <c r="AZ17" s="349" t="str">
        <f>AN17</f>
        <v>Z1</v>
      </c>
      <c r="BA17" s="153">
        <f t="shared" si="13"/>
        <v>784.68690052083321</v>
      </c>
      <c r="BB17" s="153">
        <f t="shared" si="14"/>
        <v>1340.8294254702605</v>
      </c>
      <c r="BC17" s="150">
        <f t="shared" si="15"/>
        <v>3.2878319444504494E-3</v>
      </c>
      <c r="BD17" s="148">
        <f t="shared" si="16"/>
        <v>50.303828750091881</v>
      </c>
      <c r="BE17" s="144">
        <v>6</v>
      </c>
      <c r="BF17" s="144">
        <v>23</v>
      </c>
      <c r="BG17" s="155">
        <f t="shared" si="17"/>
        <v>65.319999999999993</v>
      </c>
      <c r="BH17" s="53" t="str">
        <f t="shared" si="18"/>
        <v>OK</v>
      </c>
      <c r="BI17" s="148">
        <f t="shared" si="19"/>
        <v>0.15</v>
      </c>
      <c r="BJ17" s="155" t="str">
        <f t="shared" si="20"/>
        <v>23#6@15</v>
      </c>
      <c r="BK17" s="197">
        <f t="shared" si="21"/>
        <v>0.77011372856846116</v>
      </c>
      <c r="BL17" s="349" t="str">
        <f>AZ17</f>
        <v>Z1</v>
      </c>
      <c r="BM17" s="155">
        <f t="shared" si="22"/>
        <v>1.2250000000000001</v>
      </c>
      <c r="BN17" s="153">
        <f t="shared" si="23"/>
        <v>12.536699999999996</v>
      </c>
      <c r="BO17" s="153">
        <f t="shared" si="24"/>
        <v>747.95082608695634</v>
      </c>
      <c r="BP17" s="153">
        <f t="shared" si="25"/>
        <v>19.787058891189321</v>
      </c>
      <c r="BQ17" s="144">
        <v>10</v>
      </c>
      <c r="BR17" s="155" t="s">
        <v>191</v>
      </c>
      <c r="BS17" s="144">
        <v>6</v>
      </c>
      <c r="BT17" s="153">
        <f t="shared" si="26"/>
        <v>28.4</v>
      </c>
      <c r="BU17" s="153">
        <f t="shared" si="27"/>
        <v>1073.5199999999998</v>
      </c>
      <c r="BV17" s="53" t="str">
        <f t="shared" si="28"/>
        <v>OK</v>
      </c>
      <c r="BW17" s="122"/>
      <c r="BX17" s="349" t="str">
        <f>BL17</f>
        <v>Z1</v>
      </c>
      <c r="BY17" s="153">
        <f t="shared" si="29"/>
        <v>28.4</v>
      </c>
      <c r="BZ17" s="153">
        <f t="shared" si="30"/>
        <v>1073.5199999999998</v>
      </c>
      <c r="CA17" s="155" t="str">
        <f t="shared" si="31"/>
        <v>OK</v>
      </c>
      <c r="CB17" s="153">
        <f t="shared" si="32"/>
        <v>101.97268044766494</v>
      </c>
      <c r="CC17" s="53" t="str">
        <f t="shared" si="33"/>
        <v>OK</v>
      </c>
      <c r="CI17" s="122"/>
      <c r="CJ17" s="349" t="str">
        <f>BX17</f>
        <v>Z1</v>
      </c>
      <c r="CK17" s="153">
        <f t="shared" si="34"/>
        <v>558.65538479726467</v>
      </c>
      <c r="CL17" s="153">
        <f t="shared" si="56"/>
        <v>162.82880469854553</v>
      </c>
      <c r="CM17" s="150">
        <f t="shared" si="57"/>
        <v>208.66333391510676</v>
      </c>
      <c r="CN17" s="150">
        <f t="shared" si="35"/>
        <v>-47.829769100291969</v>
      </c>
      <c r="CO17" s="53" t="str">
        <f t="shared" si="36"/>
        <v>N/C</v>
      </c>
      <c r="CP17" s="158">
        <f t="shared" si="37"/>
        <v>19.787058891189321</v>
      </c>
      <c r="CQ17" s="144">
        <v>10</v>
      </c>
      <c r="CR17" s="155" t="s">
        <v>191</v>
      </c>
      <c r="CS17" s="144">
        <v>6</v>
      </c>
      <c r="CU17" s="117"/>
      <c r="CW17" s="349" t="str">
        <f t="shared" ref="CW17" si="59">AZ17</f>
        <v>Z1</v>
      </c>
      <c r="CX17" s="111">
        <f t="shared" si="38"/>
        <v>243</v>
      </c>
      <c r="CY17" s="156">
        <f t="shared" si="39"/>
        <v>3.6</v>
      </c>
      <c r="CZ17" s="156">
        <f t="shared" si="40"/>
        <v>3.6</v>
      </c>
      <c r="DA17" s="140" t="str">
        <f t="shared" si="41"/>
        <v>23#6@15</v>
      </c>
      <c r="DB17" s="140" t="str">
        <f t="shared" si="42"/>
        <v>23#5@15</v>
      </c>
    </row>
    <row r="18" spans="1:106" ht="15" customHeight="1" x14ac:dyDescent="0.25">
      <c r="A18" s="123"/>
      <c r="B18" s="124"/>
      <c r="C18" s="188"/>
      <c r="D18" s="124"/>
      <c r="E18" s="124"/>
      <c r="F18" s="124"/>
      <c r="G18" s="124"/>
      <c r="H18" s="125"/>
      <c r="I18" s="124"/>
      <c r="J18" s="124"/>
      <c r="K18" s="124"/>
      <c r="L18" s="126"/>
      <c r="M18" s="350"/>
      <c r="N18" s="143">
        <v>243</v>
      </c>
      <c r="O18" s="144" t="s">
        <v>803</v>
      </c>
      <c r="P18" s="145">
        <v>-96.4696</v>
      </c>
      <c r="Q18" s="145">
        <v>-15.2172</v>
      </c>
      <c r="R18" s="145">
        <v>533.95349999999996</v>
      </c>
      <c r="S18" s="145">
        <v>10.0352</v>
      </c>
      <c r="T18" s="145">
        <v>-397.7833</v>
      </c>
      <c r="U18" s="145">
        <v>0.5</v>
      </c>
      <c r="V18" s="146">
        <f t="shared" si="43"/>
        <v>0.42499999999999999</v>
      </c>
      <c r="W18" s="147">
        <f t="shared" si="44"/>
        <v>169.38</v>
      </c>
      <c r="X18" s="147">
        <f t="shared" si="45"/>
        <v>324.435</v>
      </c>
      <c r="Y18" s="350"/>
      <c r="Z18" s="148">
        <f t="shared" si="0"/>
        <v>2.6987592196948142</v>
      </c>
      <c r="AA18" s="149">
        <v>3.6</v>
      </c>
      <c r="AB18" s="148">
        <f t="shared" si="46"/>
        <v>2.6987592196948142</v>
      </c>
      <c r="AC18" s="149">
        <v>3.6</v>
      </c>
      <c r="AD18" s="150">
        <f t="shared" si="47"/>
        <v>-0.57476221542107975</v>
      </c>
      <c r="AE18" s="150">
        <f t="shared" si="1"/>
        <v>-1.9848049439148994E-2</v>
      </c>
      <c r="AF18" s="53" t="str">
        <f t="shared" si="48"/>
        <v>OK</v>
      </c>
      <c r="AG18" s="53" t="str">
        <f t="shared" si="49"/>
        <v>OK</v>
      </c>
      <c r="AH18" s="155" t="str">
        <f t="shared" si="50"/>
        <v>Esquinera</v>
      </c>
      <c r="AI18" s="153">
        <f t="shared" si="51"/>
        <v>3.4250000000000003</v>
      </c>
      <c r="AJ18" s="153">
        <f t="shared" si="52"/>
        <v>3.05</v>
      </c>
      <c r="AK18" s="152">
        <f t="shared" si="53"/>
        <v>1.1189180203157967</v>
      </c>
      <c r="AL18" s="150">
        <f t="shared" si="54"/>
        <v>-5.9589860086588882</v>
      </c>
      <c r="AM18" s="150">
        <f t="shared" si="55"/>
        <v>-153.6674930879642</v>
      </c>
      <c r="AN18" s="350"/>
      <c r="AO18" s="153">
        <f t="shared" si="2"/>
        <v>1031.7832207031249</v>
      </c>
      <c r="AP18" s="153">
        <f t="shared" si="3"/>
        <v>2158.3197365702317</v>
      </c>
      <c r="AQ18" s="153">
        <f t="shared" si="4"/>
        <v>2477.8816975666809</v>
      </c>
      <c r="AR18" s="153">
        <f t="shared" si="5"/>
        <v>2560.3596874999807</v>
      </c>
      <c r="AS18" s="53" t="str">
        <f t="shared" si="6"/>
        <v>OK</v>
      </c>
      <c r="AT18" s="153">
        <f t="shared" si="7"/>
        <v>0.5</v>
      </c>
      <c r="AU18" s="150">
        <f t="shared" si="8"/>
        <v>235.53028124999997</v>
      </c>
      <c r="AV18" s="153">
        <f t="shared" si="9"/>
        <v>342.58949999999999</v>
      </c>
      <c r="AW18" s="154">
        <f t="shared" si="10"/>
        <v>1032.2398740118501</v>
      </c>
      <c r="AX18" s="153">
        <f t="shared" si="11"/>
        <v>1032.2398740118501</v>
      </c>
      <c r="AY18" s="53" t="str">
        <f t="shared" si="12"/>
        <v>OK</v>
      </c>
      <c r="AZ18" s="350"/>
      <c r="BA18" s="153">
        <f t="shared" si="13"/>
        <v>-367.68246093749997</v>
      </c>
      <c r="BB18" s="153">
        <f t="shared" si="14"/>
        <v>-628.27538286556444</v>
      </c>
      <c r="BC18" s="150">
        <f t="shared" si="15"/>
        <v>1.8E-3</v>
      </c>
      <c r="BD18" s="148">
        <f t="shared" si="16"/>
        <v>27.54</v>
      </c>
      <c r="BE18" s="144">
        <v>6</v>
      </c>
      <c r="BF18" s="144">
        <v>23</v>
      </c>
      <c r="BG18" s="155">
        <f t="shared" si="17"/>
        <v>65.319999999999993</v>
      </c>
      <c r="BH18" s="53" t="str">
        <f>IF(BG18&gt;=BD18,"OK","N/C")</f>
        <v>OK</v>
      </c>
      <c r="BI18" s="148">
        <f t="shared" si="19"/>
        <v>0.15</v>
      </c>
      <c r="BJ18" s="155" t="str">
        <f t="shared" si="20"/>
        <v>23#6@15</v>
      </c>
      <c r="BK18" s="197">
        <f t="shared" si="21"/>
        <v>0.42161665646050217</v>
      </c>
      <c r="BL18" s="350"/>
      <c r="BM18" s="155">
        <f t="shared" si="22"/>
        <v>1.2250000000000001</v>
      </c>
      <c r="BN18" s="153">
        <f t="shared" si="23"/>
        <v>-20.3992</v>
      </c>
      <c r="BO18" s="153">
        <f t="shared" si="24"/>
        <v>756.58540579710143</v>
      </c>
      <c r="BP18" s="153">
        <f t="shared" si="25"/>
        <v>20.015486925849245</v>
      </c>
      <c r="BQ18" s="144">
        <v>10</v>
      </c>
      <c r="BR18" s="155" t="s">
        <v>191</v>
      </c>
      <c r="BS18" s="144">
        <v>6</v>
      </c>
      <c r="BT18" s="153">
        <f t="shared" si="26"/>
        <v>28.4</v>
      </c>
      <c r="BU18" s="153">
        <f t="shared" si="27"/>
        <v>1073.5199999999998</v>
      </c>
      <c r="BV18" s="53" t="str">
        <f t="shared" si="28"/>
        <v>OK</v>
      </c>
      <c r="BW18" s="122"/>
      <c r="BX18" s="350"/>
      <c r="BY18" s="153">
        <f t="shared" si="29"/>
        <v>28.4</v>
      </c>
      <c r="BZ18" s="153">
        <f t="shared" si="30"/>
        <v>1073.5199999999998</v>
      </c>
      <c r="CA18" s="155" t="str">
        <f t="shared" si="31"/>
        <v>OK</v>
      </c>
      <c r="CB18" s="153">
        <f t="shared" si="32"/>
        <v>133.62269755269008</v>
      </c>
      <c r="CC18" s="53" t="str">
        <f t="shared" si="33"/>
        <v>OK</v>
      </c>
      <c r="CI18" s="122"/>
      <c r="CJ18" s="350"/>
      <c r="CK18" s="153">
        <f t="shared" si="34"/>
        <v>591.07461404368394</v>
      </c>
      <c r="CL18" s="153">
        <f t="shared" si="56"/>
        <v>142.53801414914557</v>
      </c>
      <c r="CM18" s="150">
        <f t="shared" si="57"/>
        <v>191.56832775221832</v>
      </c>
      <c r="CN18" s="150">
        <f t="shared" si="35"/>
        <v>-32.962077752218335</v>
      </c>
      <c r="CO18" s="53" t="str">
        <f t="shared" si="36"/>
        <v>N/C</v>
      </c>
      <c r="CP18" s="158">
        <f t="shared" si="37"/>
        <v>20.015486925849245</v>
      </c>
      <c r="CQ18" s="144">
        <v>10</v>
      </c>
      <c r="CR18" s="155" t="s">
        <v>191</v>
      </c>
      <c r="CS18" s="144">
        <v>6</v>
      </c>
      <c r="CU18" s="117"/>
      <c r="CW18" s="350"/>
      <c r="CX18" s="111">
        <f t="shared" si="38"/>
        <v>243</v>
      </c>
      <c r="CY18" s="156">
        <f t="shared" si="39"/>
        <v>3.6</v>
      </c>
      <c r="CZ18" s="156">
        <f t="shared" si="40"/>
        <v>3.6</v>
      </c>
      <c r="DA18" s="140" t="str">
        <f t="shared" si="41"/>
        <v>23#6@15</v>
      </c>
      <c r="DB18" s="140" t="str">
        <f t="shared" si="42"/>
        <v>23#5@15</v>
      </c>
    </row>
    <row r="19" spans="1:106" ht="15" customHeight="1" x14ac:dyDescent="0.25">
      <c r="A19" s="123"/>
      <c r="B19" s="124"/>
      <c r="C19" s="188"/>
      <c r="D19" s="124"/>
      <c r="E19" s="124"/>
      <c r="F19" s="124"/>
      <c r="G19" s="124"/>
      <c r="H19" s="125"/>
      <c r="I19" s="124"/>
      <c r="J19" s="124"/>
      <c r="K19" s="124"/>
      <c r="L19" s="126"/>
      <c r="M19" s="349" t="str">
        <f>Y19</f>
        <v>Z4</v>
      </c>
      <c r="N19" s="143">
        <v>248</v>
      </c>
      <c r="O19" s="144" t="s">
        <v>802</v>
      </c>
      <c r="P19" s="145">
        <v>63.6389</v>
      </c>
      <c r="Q19" s="145">
        <v>-7.3990999999999998</v>
      </c>
      <c r="R19" s="145">
        <v>331.4948</v>
      </c>
      <c r="S19" s="145">
        <v>29.2257</v>
      </c>
      <c r="T19" s="145">
        <v>331.34249999999997</v>
      </c>
      <c r="U19" s="145">
        <v>0.5</v>
      </c>
      <c r="V19" s="146">
        <f t="shared" si="43"/>
        <v>0.42499999999999999</v>
      </c>
      <c r="W19" s="147">
        <f>(AA19*AC19*U19+W57*X57*(U57-U19))*$T$8</f>
        <v>150.65999999999997</v>
      </c>
      <c r="X19" s="147">
        <f>(AA19*AC19-W57*X57)*(U57-U19)*$T$7</f>
        <v>284.18699999999995</v>
      </c>
      <c r="Y19" s="349" t="s">
        <v>840</v>
      </c>
      <c r="Z19" s="148">
        <f t="shared" si="0"/>
        <v>0.52499999999999991</v>
      </c>
      <c r="AA19" s="149">
        <v>3</v>
      </c>
      <c r="AB19" s="148">
        <f t="shared" si="46"/>
        <v>3.6204639780412387</v>
      </c>
      <c r="AC19" s="149">
        <v>3.8</v>
      </c>
      <c r="AD19" s="150">
        <f t="shared" si="47"/>
        <v>0.59845397967329983</v>
      </c>
      <c r="AE19" s="150">
        <f t="shared" si="1"/>
        <v>1.882645576686539E-2</v>
      </c>
      <c r="AF19" s="53" t="str">
        <f t="shared" si="48"/>
        <v>OK</v>
      </c>
      <c r="AG19" s="53" t="str">
        <f t="shared" si="49"/>
        <v>OK</v>
      </c>
      <c r="AH19" s="155" t="s">
        <v>53</v>
      </c>
      <c r="AI19" s="153">
        <f>IF(OR(AH19="L",AH19="Esquinera"),AC19-X57/2,AC19/2)</f>
        <v>1.9</v>
      </c>
      <c r="AJ19" s="153">
        <f t="shared" si="52"/>
        <v>2.8250000000000002</v>
      </c>
      <c r="AK19" s="152">
        <f t="shared" si="53"/>
        <v>0.94445531196752341</v>
      </c>
      <c r="AL19" s="150">
        <f t="shared" si="54"/>
        <v>3.1748472974266511</v>
      </c>
      <c r="AM19" s="150">
        <f t="shared" si="55"/>
        <v>150.05479708889271</v>
      </c>
      <c r="AN19" s="349" t="str">
        <f>Y19</f>
        <v>Z4</v>
      </c>
      <c r="AO19" s="153">
        <f>N57/(AA19*AC19)*(AA19*AC19-(W57-V19)*(X57-V19))</f>
        <v>769.74496259868408</v>
      </c>
      <c r="AP19" s="153">
        <f t="shared" si="3"/>
        <v>2158.3197365702317</v>
      </c>
      <c r="AQ19" s="153">
        <f t="shared" si="4"/>
        <v>3072.853291615178</v>
      </c>
      <c r="AR19" s="153">
        <f t="shared" si="5"/>
        <v>2560.3596874999807</v>
      </c>
      <c r="AS19" s="53" t="str">
        <f t="shared" si="6"/>
        <v>OK</v>
      </c>
      <c r="AT19" s="153">
        <f t="shared" si="7"/>
        <v>0.5</v>
      </c>
      <c r="AU19" s="150">
        <f t="shared" si="8"/>
        <v>229.90253999999996</v>
      </c>
      <c r="AV19" s="153">
        <f>+N57/AC19*((AC19-X57)/2-V19)</f>
        <v>186.54372763157892</v>
      </c>
      <c r="AW19" s="154">
        <f t="shared" si="10"/>
        <v>860.19989500987504</v>
      </c>
      <c r="AX19" s="153">
        <f t="shared" si="11"/>
        <v>1089.5865336791751</v>
      </c>
      <c r="AY19" s="53" t="str">
        <f t="shared" si="12"/>
        <v>OK</v>
      </c>
      <c r="AZ19" s="349" t="str">
        <f>AN19</f>
        <v>Z4</v>
      </c>
      <c r="BA19" s="153">
        <f t="shared" si="13"/>
        <v>682.85510377083324</v>
      </c>
      <c r="BB19" s="153">
        <f t="shared" si="14"/>
        <v>1400.1898834209062</v>
      </c>
      <c r="BC19" s="150">
        <f t="shared" si="15"/>
        <v>3.43808322740995E-3</v>
      </c>
      <c r="BD19" s="148">
        <f t="shared" si="16"/>
        <v>43.83556114947686</v>
      </c>
      <c r="BE19" s="144">
        <v>5</v>
      </c>
      <c r="BF19" s="144">
        <v>17</v>
      </c>
      <c r="BG19" s="155">
        <f t="shared" si="17"/>
        <v>33.83</v>
      </c>
      <c r="BH19" s="53" t="str">
        <f t="shared" si="18"/>
        <v>N/C</v>
      </c>
      <c r="BI19" s="148">
        <f t="shared" si="19"/>
        <v>0.17</v>
      </c>
      <c r="BJ19" s="155" t="str">
        <f t="shared" si="20"/>
        <v>17#5@15</v>
      </c>
      <c r="BK19" s="197">
        <f t="shared" si="21"/>
        <v>1.2957600103303832</v>
      </c>
      <c r="BL19" s="349" t="str">
        <f>AZ19</f>
        <v>Z4</v>
      </c>
      <c r="BM19" s="155">
        <f t="shared" si="22"/>
        <v>1.2250000000000001</v>
      </c>
      <c r="BN19" s="153">
        <f t="shared" si="23"/>
        <v>14.4275</v>
      </c>
      <c r="BO19" s="153">
        <f t="shared" si="24"/>
        <v>580.27558550724621</v>
      </c>
      <c r="BP19" s="153">
        <f t="shared" si="25"/>
        <v>15.351205965800164</v>
      </c>
      <c r="BQ19" s="144">
        <v>10</v>
      </c>
      <c r="BR19" s="155" t="s">
        <v>191</v>
      </c>
      <c r="BS19" s="144">
        <v>6</v>
      </c>
      <c r="BT19" s="153">
        <f t="shared" si="26"/>
        <v>28.4</v>
      </c>
      <c r="BU19" s="153">
        <f t="shared" si="27"/>
        <v>1073.5199999999998</v>
      </c>
      <c r="BV19" s="53" t="str">
        <f t="shared" si="28"/>
        <v>OK</v>
      </c>
      <c r="BW19" s="122"/>
      <c r="BX19" s="349" t="str">
        <f>BL19</f>
        <v>Z4</v>
      </c>
      <c r="BY19" s="153">
        <f t="shared" si="29"/>
        <v>28.4</v>
      </c>
      <c r="BZ19" s="153">
        <f t="shared" si="30"/>
        <v>1073.5199999999998</v>
      </c>
      <c r="CA19" s="155" t="str">
        <f t="shared" si="31"/>
        <v>OK</v>
      </c>
      <c r="CB19" s="153">
        <f t="shared" si="32"/>
        <v>68.828922851919828</v>
      </c>
      <c r="CC19" s="53" t="str">
        <f t="shared" si="33"/>
        <v>OK</v>
      </c>
      <c r="CI19" s="122"/>
      <c r="CJ19" s="349" t="str">
        <f>BX19</f>
        <v>Z4</v>
      </c>
      <c r="CK19" s="153">
        <f t="shared" si="34"/>
        <v>458.84717753119065</v>
      </c>
      <c r="CL19" s="153">
        <f t="shared" si="56"/>
        <v>148.27578542210361</v>
      </c>
      <c r="CM19" s="150">
        <f t="shared" si="57"/>
        <v>0</v>
      </c>
      <c r="CN19" s="150">
        <f t="shared" si="35"/>
        <v>0</v>
      </c>
      <c r="CO19" s="53" t="str">
        <f t="shared" si="36"/>
        <v>OK</v>
      </c>
      <c r="CP19" s="158">
        <f t="shared" si="37"/>
        <v>15.351205965800164</v>
      </c>
      <c r="CQ19" s="144">
        <v>10</v>
      </c>
      <c r="CR19" s="155" t="s">
        <v>191</v>
      </c>
      <c r="CS19" s="144">
        <v>6</v>
      </c>
      <c r="CU19" s="117"/>
      <c r="CW19" s="349" t="str">
        <f t="shared" ref="CW19" si="60">AZ19</f>
        <v>Z4</v>
      </c>
      <c r="CX19" s="111">
        <f t="shared" si="38"/>
        <v>248</v>
      </c>
      <c r="CY19" s="156">
        <f t="shared" si="39"/>
        <v>3</v>
      </c>
      <c r="CZ19" s="156">
        <f t="shared" si="40"/>
        <v>3.8</v>
      </c>
      <c r="DA19" s="140" t="str">
        <f t="shared" si="41"/>
        <v>17#5@15</v>
      </c>
      <c r="DB19" s="140" t="str">
        <f t="shared" si="42"/>
        <v>17#5@20</v>
      </c>
    </row>
    <row r="20" spans="1:106" ht="15" customHeight="1" x14ac:dyDescent="0.25">
      <c r="A20" s="123"/>
      <c r="B20" s="124"/>
      <c r="C20" s="188"/>
      <c r="D20" s="124"/>
      <c r="E20" s="124"/>
      <c r="F20" s="124"/>
      <c r="G20" s="124"/>
      <c r="H20" s="125"/>
      <c r="I20" s="124"/>
      <c r="J20" s="124"/>
      <c r="K20" s="124"/>
      <c r="L20" s="126"/>
      <c r="M20" s="350"/>
      <c r="N20" s="143">
        <v>248</v>
      </c>
      <c r="O20" s="144" t="s">
        <v>802</v>
      </c>
      <c r="P20" s="145">
        <v>-105.33199999999999</v>
      </c>
      <c r="Q20" s="145">
        <v>-13.3576</v>
      </c>
      <c r="R20" s="145">
        <v>272.98169999999999</v>
      </c>
      <c r="S20" s="145">
        <v>5.7348999999999997</v>
      </c>
      <c r="T20" s="145">
        <v>-412.9212</v>
      </c>
      <c r="U20" s="145">
        <v>0.5</v>
      </c>
      <c r="V20" s="146">
        <f t="shared" si="43"/>
        <v>0.42499999999999999</v>
      </c>
      <c r="W20" s="147">
        <f t="shared" si="44"/>
        <v>150.65999999999997</v>
      </c>
      <c r="X20" s="147">
        <f t="shared" si="45"/>
        <v>284.18699999999995</v>
      </c>
      <c r="Y20" s="350"/>
      <c r="Z20" s="148">
        <f t="shared" si="0"/>
        <v>0.52499999999999991</v>
      </c>
      <c r="AA20" s="149">
        <v>3</v>
      </c>
      <c r="AB20" s="148">
        <f t="shared" si="46"/>
        <v>3.3440278358478661</v>
      </c>
      <c r="AC20" s="149">
        <v>3.8</v>
      </c>
      <c r="AD20" s="150">
        <f t="shared" si="47"/>
        <v>-0.88098320963815124</v>
      </c>
      <c r="AE20" s="150">
        <f t="shared" si="1"/>
        <v>-2.9640363551237753E-2</v>
      </c>
      <c r="AF20" s="53" t="str">
        <f t="shared" si="48"/>
        <v>OK</v>
      </c>
      <c r="AG20" s="53" t="str">
        <f t="shared" si="49"/>
        <v>OK</v>
      </c>
      <c r="AH20" s="155" t="s">
        <v>53</v>
      </c>
      <c r="AI20" s="153">
        <f t="shared" si="51"/>
        <v>1.9</v>
      </c>
      <c r="AJ20" s="153">
        <f t="shared" si="52"/>
        <v>2.8250000000000002</v>
      </c>
      <c r="AK20" s="152">
        <f t="shared" si="53"/>
        <v>1.0781439874590464</v>
      </c>
      <c r="AL20" s="150">
        <f t="shared" si="54"/>
        <v>-2.1566812842896206</v>
      </c>
      <c r="AM20" s="150">
        <f t="shared" si="55"/>
        <v>-95.309222341911209</v>
      </c>
      <c r="AN20" s="350"/>
      <c r="AO20" s="153">
        <f t="shared" si="2"/>
        <v>710.97201824013155</v>
      </c>
      <c r="AP20" s="153">
        <f t="shared" si="3"/>
        <v>2158.3197365702317</v>
      </c>
      <c r="AQ20" s="153">
        <f t="shared" si="4"/>
        <v>3072.853291615178</v>
      </c>
      <c r="AR20" s="153">
        <f t="shared" si="5"/>
        <v>2560.3596874999807</v>
      </c>
      <c r="AS20" s="53" t="str">
        <f t="shared" si="6"/>
        <v>OK</v>
      </c>
      <c r="AT20" s="153">
        <f t="shared" si="7"/>
        <v>0.5</v>
      </c>
      <c r="AU20" s="150">
        <f t="shared" si="8"/>
        <v>212.34860999999995</v>
      </c>
      <c r="AV20" s="153">
        <f t="shared" si="9"/>
        <v>172.30040723684206</v>
      </c>
      <c r="AW20" s="154">
        <f t="shared" si="10"/>
        <v>860.19989500987504</v>
      </c>
      <c r="AX20" s="153">
        <f t="shared" si="11"/>
        <v>1089.5865336791751</v>
      </c>
      <c r="AY20" s="53" t="str">
        <f t="shared" si="12"/>
        <v>OK</v>
      </c>
      <c r="AZ20" s="350"/>
      <c r="BA20" s="153">
        <f t="shared" si="13"/>
        <v>-416.47157309375001</v>
      </c>
      <c r="BB20" s="153">
        <f t="shared" si="14"/>
        <v>-853.97221190567734</v>
      </c>
      <c r="BC20" s="150">
        <f t="shared" si="15"/>
        <v>1.8E-3</v>
      </c>
      <c r="BD20" s="148">
        <f t="shared" si="16"/>
        <v>22.950000000000003</v>
      </c>
      <c r="BE20" s="144">
        <v>5</v>
      </c>
      <c r="BF20" s="144">
        <v>17</v>
      </c>
      <c r="BG20" s="155">
        <f t="shared" si="17"/>
        <v>33.83</v>
      </c>
      <c r="BH20" s="53" t="str">
        <f t="shared" si="18"/>
        <v>OK</v>
      </c>
      <c r="BI20" s="148">
        <f t="shared" si="19"/>
        <v>0.17</v>
      </c>
      <c r="BJ20" s="155" t="str">
        <f t="shared" si="20"/>
        <v>17#5@15</v>
      </c>
      <c r="BK20" s="197">
        <f t="shared" si="21"/>
        <v>0.67839195979899514</v>
      </c>
      <c r="BL20" s="350"/>
      <c r="BM20" s="155">
        <f t="shared" si="22"/>
        <v>1.2250000000000001</v>
      </c>
      <c r="BN20" s="153">
        <f t="shared" si="23"/>
        <v>-20.9803</v>
      </c>
      <c r="BO20" s="153">
        <f t="shared" si="24"/>
        <v>555.85700144927523</v>
      </c>
      <c r="BP20" s="153">
        <f t="shared" si="25"/>
        <v>14.705211678552255</v>
      </c>
      <c r="BQ20" s="144">
        <v>10</v>
      </c>
      <c r="BR20" s="155" t="s">
        <v>191</v>
      </c>
      <c r="BS20" s="144">
        <v>6</v>
      </c>
      <c r="BT20" s="153">
        <f t="shared" si="26"/>
        <v>28.4</v>
      </c>
      <c r="BU20" s="153">
        <f t="shared" si="27"/>
        <v>1073.5199999999998</v>
      </c>
      <c r="BV20" s="53" t="str">
        <f t="shared" si="28"/>
        <v>OK</v>
      </c>
      <c r="BW20" s="122"/>
      <c r="BX20" s="350"/>
      <c r="BY20" s="153">
        <f t="shared" si="29"/>
        <v>28.4</v>
      </c>
      <c r="BZ20" s="153">
        <f t="shared" si="30"/>
        <v>1073.5199999999998</v>
      </c>
      <c r="CA20" s="155" t="str">
        <f t="shared" si="31"/>
        <v>OK</v>
      </c>
      <c r="CB20" s="153">
        <f t="shared" si="32"/>
        <v>66.594034743522116</v>
      </c>
      <c r="CC20" s="53" t="str">
        <f t="shared" si="33"/>
        <v>OK</v>
      </c>
      <c r="CI20" s="122"/>
      <c r="CJ20" s="350"/>
      <c r="CK20" s="153">
        <f t="shared" si="34"/>
        <v>623.93803750623351</v>
      </c>
      <c r="CL20" s="153">
        <f t="shared" si="56"/>
        <v>22.45059337581695</v>
      </c>
      <c r="CM20" s="150">
        <f t="shared" si="57"/>
        <v>0</v>
      </c>
      <c r="CN20" s="150">
        <f t="shared" si="35"/>
        <v>0</v>
      </c>
      <c r="CO20" s="53" t="str">
        <f t="shared" si="36"/>
        <v>OK</v>
      </c>
      <c r="CP20" s="158">
        <f t="shared" si="37"/>
        <v>14.705211678552255</v>
      </c>
      <c r="CQ20" s="144">
        <v>10</v>
      </c>
      <c r="CR20" s="155" t="s">
        <v>191</v>
      </c>
      <c r="CS20" s="144">
        <v>6</v>
      </c>
      <c r="CU20" s="117"/>
      <c r="CW20" s="350"/>
      <c r="CX20" s="111">
        <f t="shared" si="38"/>
        <v>248</v>
      </c>
      <c r="CY20" s="156">
        <f t="shared" si="39"/>
        <v>3</v>
      </c>
      <c r="CZ20" s="156">
        <f t="shared" si="40"/>
        <v>3.8</v>
      </c>
      <c r="DA20" s="140" t="str">
        <f t="shared" si="41"/>
        <v>17#5@15</v>
      </c>
      <c r="DB20" s="140" t="str">
        <f t="shared" si="42"/>
        <v>17#5@20</v>
      </c>
    </row>
    <row r="21" spans="1:106" ht="15" customHeight="1" x14ac:dyDescent="0.25">
      <c r="A21" s="123"/>
      <c r="B21" s="124"/>
      <c r="C21" s="188"/>
      <c r="D21" s="124"/>
      <c r="E21" s="124"/>
      <c r="F21" s="124"/>
      <c r="G21" s="124"/>
      <c r="H21" s="125"/>
      <c r="I21" s="124"/>
      <c r="J21" s="124"/>
      <c r="K21" s="124"/>
      <c r="L21" s="126"/>
      <c r="M21" s="349" t="str">
        <f>Y21</f>
        <v>Z3</v>
      </c>
      <c r="N21" s="143">
        <v>253</v>
      </c>
      <c r="O21" s="144" t="s">
        <v>837</v>
      </c>
      <c r="P21" s="145">
        <v>-3.0868000000000002</v>
      </c>
      <c r="Q21" s="145">
        <v>27.2133</v>
      </c>
      <c r="R21" s="145">
        <v>477.41390000000001</v>
      </c>
      <c r="S21" s="145">
        <v>89.687399999999997</v>
      </c>
      <c r="T21" s="145">
        <v>20.0139</v>
      </c>
      <c r="U21" s="145">
        <v>0.5</v>
      </c>
      <c r="V21" s="146">
        <f t="shared" si="43"/>
        <v>0.42499999999999999</v>
      </c>
      <c r="W21" s="147">
        <f t="shared" si="44"/>
        <v>178.14000000000001</v>
      </c>
      <c r="X21" s="147">
        <f t="shared" si="45"/>
        <v>343.26900000000006</v>
      </c>
      <c r="Y21" s="349" t="s">
        <v>839</v>
      </c>
      <c r="Z21" s="148">
        <f t="shared" si="0"/>
        <v>2.6604844995646038</v>
      </c>
      <c r="AA21" s="149">
        <v>3.7</v>
      </c>
      <c r="AB21" s="148">
        <f t="shared" si="46"/>
        <v>2.6604844995646038</v>
      </c>
      <c r="AC21" s="149">
        <v>3.7</v>
      </c>
      <c r="AD21" s="150">
        <f t="shared" si="47"/>
        <v>1.3856610616356511E-2</v>
      </c>
      <c r="AE21" s="150">
        <f t="shared" si="1"/>
        <v>0.1442838365039488</v>
      </c>
      <c r="AF21" s="53" t="str">
        <f t="shared" si="48"/>
        <v>OK</v>
      </c>
      <c r="AG21" s="53" t="str">
        <f t="shared" si="49"/>
        <v>OK</v>
      </c>
      <c r="AH21" s="155" t="str">
        <f t="shared" si="50"/>
        <v>Central</v>
      </c>
      <c r="AI21" s="153">
        <f t="shared" si="51"/>
        <v>1.85</v>
      </c>
      <c r="AJ21" s="153">
        <f t="shared" si="52"/>
        <v>1.85</v>
      </c>
      <c r="AK21" s="152">
        <f t="shared" si="53"/>
        <v>0.64962262737321363</v>
      </c>
      <c r="AL21" s="150">
        <f t="shared" si="54"/>
        <v>133.5102826528327</v>
      </c>
      <c r="AM21" s="150">
        <f t="shared" si="55"/>
        <v>12.821949047282015</v>
      </c>
      <c r="AN21" s="349" t="str">
        <f>Y21</f>
        <v>Z3</v>
      </c>
      <c r="AO21" s="153">
        <f t="shared" si="2"/>
        <v>1002.5165018489774</v>
      </c>
      <c r="AP21" s="153">
        <f t="shared" si="3"/>
        <v>2158.3197365702317</v>
      </c>
      <c r="AQ21" s="153">
        <f t="shared" si="4"/>
        <v>3667.8248856636742</v>
      </c>
      <c r="AR21" s="153">
        <f t="shared" si="5"/>
        <v>2560.3596874999807</v>
      </c>
      <c r="AS21" s="53" t="str">
        <f t="shared" si="6"/>
        <v>OK</v>
      </c>
      <c r="AT21" s="153">
        <f t="shared" si="7"/>
        <v>0.5</v>
      </c>
      <c r="AU21" s="150">
        <f t="shared" si="8"/>
        <v>337.44016891891897</v>
      </c>
      <c r="AV21" s="153">
        <f t="shared" si="9"/>
        <v>236.20811824324326</v>
      </c>
      <c r="AW21" s="154">
        <f t="shared" si="10"/>
        <v>1060.9132038455125</v>
      </c>
      <c r="AX21" s="153">
        <f t="shared" si="11"/>
        <v>1060.9132038455125</v>
      </c>
      <c r="AY21" s="53" t="str">
        <f t="shared" si="12"/>
        <v>OK</v>
      </c>
      <c r="AZ21" s="349" t="str">
        <f>AN21</f>
        <v>Z3</v>
      </c>
      <c r="BA21" s="153">
        <f t="shared" si="13"/>
        <v>392.53252956925684</v>
      </c>
      <c r="BB21" s="153">
        <f t="shared" si="14"/>
        <v>652.60975228946347</v>
      </c>
      <c r="BC21" s="150">
        <f t="shared" si="15"/>
        <v>1.8E-3</v>
      </c>
      <c r="BD21" s="148">
        <f t="shared" si="16"/>
        <v>28.305</v>
      </c>
      <c r="BE21" s="144">
        <v>5</v>
      </c>
      <c r="BF21" s="144">
        <v>21</v>
      </c>
      <c r="BG21" s="155">
        <f t="shared" si="17"/>
        <v>41.79</v>
      </c>
      <c r="BH21" s="53" t="str">
        <f t="shared" si="18"/>
        <v>OK</v>
      </c>
      <c r="BI21" s="148">
        <f t="shared" si="19"/>
        <v>0.17</v>
      </c>
      <c r="BJ21" s="155" t="str">
        <f t="shared" si="20"/>
        <v>21#5@15</v>
      </c>
      <c r="BK21" s="197">
        <f t="shared" si="21"/>
        <v>0.67731514716439345</v>
      </c>
      <c r="BL21" s="349" t="str">
        <f>AZ21</f>
        <v>Z3</v>
      </c>
      <c r="BM21" s="155">
        <f t="shared" si="22"/>
        <v>0</v>
      </c>
      <c r="BN21" s="153">
        <f t="shared" si="23"/>
        <v>0</v>
      </c>
      <c r="BO21" s="153">
        <f t="shared" si="24"/>
        <v>0</v>
      </c>
      <c r="BP21" s="153">
        <f t="shared" si="25"/>
        <v>9.2317499999999999</v>
      </c>
      <c r="BQ21" s="144">
        <v>10</v>
      </c>
      <c r="BR21" s="155" t="s">
        <v>191</v>
      </c>
      <c r="BS21" s="144">
        <v>6</v>
      </c>
      <c r="BT21" s="153">
        <f t="shared" si="26"/>
        <v>28.4</v>
      </c>
      <c r="BU21" s="153">
        <f t="shared" si="27"/>
        <v>1073.5199999999998</v>
      </c>
      <c r="BV21" s="53" t="str">
        <f t="shared" si="28"/>
        <v>OK</v>
      </c>
      <c r="BW21" s="122"/>
      <c r="BX21" s="349" t="str">
        <f>BL21</f>
        <v>Z3</v>
      </c>
      <c r="BY21" s="153">
        <f t="shared" si="29"/>
        <v>28.4</v>
      </c>
      <c r="BZ21" s="153">
        <f t="shared" si="30"/>
        <v>1073.5199999999998</v>
      </c>
      <c r="CA21" s="155" t="str">
        <f t="shared" si="31"/>
        <v>OK</v>
      </c>
      <c r="CB21" s="153">
        <f t="shared" si="32"/>
        <v>72.960036523009492</v>
      </c>
      <c r="CC21" s="53" t="str">
        <f t="shared" si="33"/>
        <v>OK</v>
      </c>
      <c r="CE21" s="166" t="s">
        <v>731</v>
      </c>
      <c r="CI21" s="117"/>
      <c r="CJ21" s="349" t="str">
        <f>BX21</f>
        <v>Z3</v>
      </c>
      <c r="CK21" s="153">
        <f t="shared" si="34"/>
        <v>144.77706620901668</v>
      </c>
      <c r="CL21" s="153">
        <f t="shared" si="56"/>
        <v>0</v>
      </c>
      <c r="CM21" s="150">
        <f t="shared" si="57"/>
        <v>0</v>
      </c>
      <c r="CN21" s="150">
        <f t="shared" si="35"/>
        <v>0</v>
      </c>
      <c r="CO21" s="53" t="str">
        <f t="shared" si="36"/>
        <v>OK</v>
      </c>
      <c r="CP21" s="158">
        <f t="shared" si="37"/>
        <v>9.2317499999999999</v>
      </c>
      <c r="CQ21" s="144">
        <v>10</v>
      </c>
      <c r="CR21" s="155" t="s">
        <v>191</v>
      </c>
      <c r="CS21" s="144">
        <v>6</v>
      </c>
      <c r="CU21" s="117"/>
      <c r="CW21" s="349" t="str">
        <f t="shared" ref="CW21" si="61">AZ21</f>
        <v>Z3</v>
      </c>
      <c r="CX21" s="111">
        <f t="shared" si="38"/>
        <v>253</v>
      </c>
      <c r="CY21" s="156">
        <f t="shared" si="39"/>
        <v>3.7</v>
      </c>
      <c r="CZ21" s="156">
        <f t="shared" si="40"/>
        <v>3.7</v>
      </c>
      <c r="DA21" s="140" t="str">
        <f t="shared" si="41"/>
        <v>21#5@15</v>
      </c>
      <c r="DB21" s="140" t="str">
        <f t="shared" si="42"/>
        <v>21#5@15</v>
      </c>
    </row>
    <row r="22" spans="1:106" ht="15" customHeight="1" x14ac:dyDescent="0.25">
      <c r="A22" s="123"/>
      <c r="B22" s="124"/>
      <c r="C22" s="188"/>
      <c r="D22" s="124"/>
      <c r="E22" s="124"/>
      <c r="F22" s="124"/>
      <c r="G22" s="124"/>
      <c r="H22" s="125"/>
      <c r="I22" s="124"/>
      <c r="J22" s="124"/>
      <c r="K22" s="124"/>
      <c r="L22" s="126"/>
      <c r="M22" s="350"/>
      <c r="N22" s="143">
        <v>253</v>
      </c>
      <c r="O22" s="144" t="s">
        <v>837</v>
      </c>
      <c r="P22" s="145">
        <v>-30.1006</v>
      </c>
      <c r="Q22" s="145">
        <v>-14.8224</v>
      </c>
      <c r="R22" s="145">
        <v>445.80520000000001</v>
      </c>
      <c r="S22" s="145">
        <v>-108.3738</v>
      </c>
      <c r="T22" s="145">
        <v>-76.772300000000001</v>
      </c>
      <c r="U22" s="145">
        <v>0.5</v>
      </c>
      <c r="V22" s="146">
        <f t="shared" si="43"/>
        <v>0.42499999999999999</v>
      </c>
      <c r="W22" s="147">
        <f t="shared" si="44"/>
        <v>178.14000000000001</v>
      </c>
      <c r="X22" s="147">
        <f t="shared" si="45"/>
        <v>343.26900000000006</v>
      </c>
      <c r="Y22" s="350"/>
      <c r="Z22" s="148">
        <f t="shared" si="0"/>
        <v>2.6180492946797891</v>
      </c>
      <c r="AA22" s="149">
        <v>3.7</v>
      </c>
      <c r="AB22" s="148">
        <f t="shared" si="46"/>
        <v>2.6180492946797891</v>
      </c>
      <c r="AC22" s="149">
        <v>3.7</v>
      </c>
      <c r="AD22" s="150">
        <f t="shared" si="47"/>
        <v>-0.14161651059299996</v>
      </c>
      <c r="AE22" s="150">
        <f t="shared" si="1"/>
        <v>-0.14269703649925733</v>
      </c>
      <c r="AF22" s="53" t="str">
        <f t="shared" si="48"/>
        <v>OK</v>
      </c>
      <c r="AG22" s="53" t="str">
        <f t="shared" si="49"/>
        <v>OK</v>
      </c>
      <c r="AH22" s="155" t="str">
        <f t="shared" si="50"/>
        <v>Central</v>
      </c>
      <c r="AI22" s="153">
        <f t="shared" si="51"/>
        <v>1.85</v>
      </c>
      <c r="AJ22" s="153">
        <f t="shared" si="52"/>
        <v>1.85</v>
      </c>
      <c r="AK22" s="152">
        <f t="shared" si="53"/>
        <v>0.73150444736293407</v>
      </c>
      <c r="AL22" s="150">
        <f t="shared" si="54"/>
        <v>-13.063448550267024</v>
      </c>
      <c r="AM22" s="150">
        <f t="shared" si="55"/>
        <v>-12.964529925676686</v>
      </c>
      <c r="AN22" s="350"/>
      <c r="AO22" s="153">
        <f t="shared" si="2"/>
        <v>970.79091430788912</v>
      </c>
      <c r="AP22" s="153">
        <f t="shared" si="3"/>
        <v>2158.3197365702317</v>
      </c>
      <c r="AQ22" s="153">
        <f t="shared" si="4"/>
        <v>3667.8248856636742</v>
      </c>
      <c r="AR22" s="153">
        <f t="shared" si="5"/>
        <v>2560.3596874999807</v>
      </c>
      <c r="AS22" s="53" t="str">
        <f t="shared" si="6"/>
        <v>OK</v>
      </c>
      <c r="AT22" s="153">
        <f t="shared" si="7"/>
        <v>0.5</v>
      </c>
      <c r="AU22" s="150">
        <f t="shared" si="8"/>
        <v>326.7615540540541</v>
      </c>
      <c r="AV22" s="153">
        <f t="shared" si="9"/>
        <v>228.73308783783787</v>
      </c>
      <c r="AW22" s="154">
        <f t="shared" si="10"/>
        <v>1060.9132038455125</v>
      </c>
      <c r="AX22" s="153">
        <f t="shared" si="11"/>
        <v>1060.9132038455125</v>
      </c>
      <c r="AY22" s="53" t="str">
        <f t="shared" si="12"/>
        <v>OK</v>
      </c>
      <c r="AZ22" s="350"/>
      <c r="BA22" s="153">
        <f t="shared" si="13"/>
        <v>229.73465403716222</v>
      </c>
      <c r="BB22" s="153">
        <f t="shared" si="14"/>
        <v>381.94815555291581</v>
      </c>
      <c r="BC22" s="150">
        <f t="shared" si="15"/>
        <v>1.8E-3</v>
      </c>
      <c r="BD22" s="148">
        <f t="shared" si="16"/>
        <v>28.305</v>
      </c>
      <c r="BE22" s="144">
        <v>5</v>
      </c>
      <c r="BF22" s="144">
        <v>21</v>
      </c>
      <c r="BG22" s="155">
        <f t="shared" si="17"/>
        <v>41.79</v>
      </c>
      <c r="BH22" s="53" t="str">
        <f t="shared" si="18"/>
        <v>OK</v>
      </c>
      <c r="BI22" s="148">
        <f t="shared" si="19"/>
        <v>0.17</v>
      </c>
      <c r="BJ22" s="155" t="str">
        <f t="shared" si="20"/>
        <v>21#5@15</v>
      </c>
      <c r="BK22" s="197">
        <f t="shared" si="21"/>
        <v>0.67731514716439345</v>
      </c>
      <c r="BL22" s="350"/>
      <c r="BM22" s="155">
        <f t="shared" si="22"/>
        <v>0</v>
      </c>
      <c r="BN22" s="153">
        <f t="shared" si="23"/>
        <v>0</v>
      </c>
      <c r="BO22" s="153">
        <f t="shared" si="24"/>
        <v>0</v>
      </c>
      <c r="BP22" s="153">
        <f t="shared" si="25"/>
        <v>9.2317499999999999</v>
      </c>
      <c r="BQ22" s="144">
        <v>10</v>
      </c>
      <c r="BR22" s="155" t="s">
        <v>191</v>
      </c>
      <c r="BS22" s="144">
        <v>6</v>
      </c>
      <c r="BT22" s="153">
        <f t="shared" si="26"/>
        <v>28.4</v>
      </c>
      <c r="BU22" s="153">
        <f t="shared" si="27"/>
        <v>1073.5199999999998</v>
      </c>
      <c r="BV22" s="53" t="str">
        <f t="shared" si="28"/>
        <v>OK</v>
      </c>
      <c r="BW22" s="122"/>
      <c r="BX22" s="350"/>
      <c r="BY22" s="153">
        <f t="shared" si="29"/>
        <v>28.4</v>
      </c>
      <c r="BZ22" s="153">
        <f t="shared" si="30"/>
        <v>1073.5199999999998</v>
      </c>
      <c r="CA22" s="155" t="str">
        <f t="shared" si="31"/>
        <v>OK</v>
      </c>
      <c r="CB22" s="153">
        <f t="shared" si="32"/>
        <v>70.651146822498177</v>
      </c>
      <c r="CC22" s="53" t="str">
        <f t="shared" si="33"/>
        <v>OK</v>
      </c>
      <c r="CE22" s="166"/>
      <c r="CI22" s="117"/>
      <c r="CJ22" s="350"/>
      <c r="CK22" s="153">
        <f t="shared" si="34"/>
        <v>194.45018294722686</v>
      </c>
      <c r="CL22" s="153">
        <f t="shared" si="56"/>
        <v>0</v>
      </c>
      <c r="CM22" s="150">
        <f t="shared" si="57"/>
        <v>0</v>
      </c>
      <c r="CN22" s="150">
        <f t="shared" si="35"/>
        <v>0</v>
      </c>
      <c r="CO22" s="53" t="str">
        <f t="shared" si="36"/>
        <v>OK</v>
      </c>
      <c r="CP22" s="158">
        <f t="shared" si="37"/>
        <v>9.2317499999999999</v>
      </c>
      <c r="CQ22" s="144">
        <v>10</v>
      </c>
      <c r="CR22" s="155" t="s">
        <v>191</v>
      </c>
      <c r="CS22" s="144">
        <v>6</v>
      </c>
      <c r="CU22" s="117"/>
      <c r="CW22" s="350"/>
      <c r="CX22" s="111">
        <f t="shared" si="38"/>
        <v>253</v>
      </c>
      <c r="CY22" s="156">
        <f t="shared" si="39"/>
        <v>3.7</v>
      </c>
      <c r="CZ22" s="156">
        <f t="shared" si="40"/>
        <v>3.7</v>
      </c>
      <c r="DA22" s="140" t="str">
        <f t="shared" si="41"/>
        <v>21#5@15</v>
      </c>
      <c r="DB22" s="140" t="str">
        <f t="shared" si="42"/>
        <v>21#5@15</v>
      </c>
    </row>
    <row r="23" spans="1:106" ht="15" customHeight="1" x14ac:dyDescent="0.25">
      <c r="A23" s="123"/>
      <c r="B23" s="124"/>
      <c r="C23" s="188"/>
      <c r="D23" s="124"/>
      <c r="E23" s="124"/>
      <c r="F23" s="124"/>
      <c r="G23" s="124"/>
      <c r="H23" s="125"/>
      <c r="I23" s="124"/>
      <c r="J23" s="124"/>
      <c r="K23" s="124"/>
      <c r="L23" s="126"/>
      <c r="M23" s="349" t="str">
        <f>Y23</f>
        <v>Z4</v>
      </c>
      <c r="N23" s="143">
        <v>258</v>
      </c>
      <c r="O23" s="144" t="s">
        <v>802</v>
      </c>
      <c r="P23" s="145">
        <v>15.7225</v>
      </c>
      <c r="Q23" s="145">
        <v>29.94</v>
      </c>
      <c r="R23" s="145">
        <v>827.3039</v>
      </c>
      <c r="S23" s="145">
        <v>83.728800000000007</v>
      </c>
      <c r="T23" s="145">
        <v>52.753500000000003</v>
      </c>
      <c r="U23" s="145">
        <v>0.5</v>
      </c>
      <c r="V23" s="146">
        <f t="shared" si="43"/>
        <v>0.42499999999999999</v>
      </c>
      <c r="W23" s="147">
        <f t="shared" si="44"/>
        <v>150.65999999999997</v>
      </c>
      <c r="X23" s="147">
        <f t="shared" si="45"/>
        <v>284.18699999999995</v>
      </c>
      <c r="Y23" s="349" t="s">
        <v>840</v>
      </c>
      <c r="Z23" s="148">
        <f t="shared" si="0"/>
        <v>0.52499999999999991</v>
      </c>
      <c r="AA23" s="149">
        <v>3</v>
      </c>
      <c r="AB23" s="148">
        <f t="shared" si="46"/>
        <v>5.9628378202811456</v>
      </c>
      <c r="AC23" s="149">
        <v>3.8</v>
      </c>
      <c r="AD23" s="150">
        <f t="shared" si="47"/>
        <v>6.6710327584443355E-2</v>
      </c>
      <c r="AE23" s="150">
        <f t="shared" si="1"/>
        <v>0.11378100669262291</v>
      </c>
      <c r="AF23" s="53" t="str">
        <f t="shared" si="48"/>
        <v>OK</v>
      </c>
      <c r="AG23" s="53" t="str">
        <f t="shared" si="49"/>
        <v>OK</v>
      </c>
      <c r="AH23" s="155" t="s">
        <v>53</v>
      </c>
      <c r="AI23" s="153">
        <f t="shared" si="51"/>
        <v>1.9</v>
      </c>
      <c r="AJ23" s="153">
        <f t="shared" si="52"/>
        <v>2.8250000000000002</v>
      </c>
      <c r="AK23" s="152">
        <f t="shared" si="53"/>
        <v>1.0457672903922588</v>
      </c>
      <c r="AL23" s="150">
        <f t="shared" si="54"/>
        <v>28.481347173643233</v>
      </c>
      <c r="AM23" s="150">
        <f t="shared" si="55"/>
        <v>24.828396954086379</v>
      </c>
      <c r="AN23" s="349" t="str">
        <f>Y23</f>
        <v>Z4</v>
      </c>
      <c r="AO23" s="153">
        <f t="shared" si="2"/>
        <v>1267.7558464309209</v>
      </c>
      <c r="AP23" s="153">
        <f t="shared" si="3"/>
        <v>2158.3197365702317</v>
      </c>
      <c r="AQ23" s="153">
        <f t="shared" si="4"/>
        <v>3072.853291615178</v>
      </c>
      <c r="AR23" s="153">
        <f t="shared" si="5"/>
        <v>2560.3596874999807</v>
      </c>
      <c r="AS23" s="53" t="str">
        <f t="shared" si="6"/>
        <v>OK</v>
      </c>
      <c r="AT23" s="153">
        <f t="shared" si="7"/>
        <v>0.5</v>
      </c>
      <c r="AU23" s="150">
        <f t="shared" si="8"/>
        <v>378.64526999999993</v>
      </c>
      <c r="AV23" s="153">
        <f t="shared" si="9"/>
        <v>307.23410065789466</v>
      </c>
      <c r="AW23" s="154">
        <f t="shared" si="10"/>
        <v>860.19989500987504</v>
      </c>
      <c r="AX23" s="153">
        <f t="shared" si="11"/>
        <v>1089.5865336791751</v>
      </c>
      <c r="AY23" s="53" t="str">
        <f t="shared" si="12"/>
        <v>OK</v>
      </c>
      <c r="AZ23" s="349" t="str">
        <f>AN23</f>
        <v>Z4</v>
      </c>
      <c r="BA23" s="153">
        <f t="shared" si="13"/>
        <v>453.50911230208328</v>
      </c>
      <c r="BB23" s="153">
        <f t="shared" si="14"/>
        <v>929.91744160365658</v>
      </c>
      <c r="BC23" s="150">
        <f t="shared" si="15"/>
        <v>2.2591211621942582E-3</v>
      </c>
      <c r="BD23" s="148">
        <f t="shared" si="16"/>
        <v>28.80379481797679</v>
      </c>
      <c r="BE23" s="144">
        <v>5</v>
      </c>
      <c r="BF23" s="144">
        <v>17</v>
      </c>
      <c r="BG23" s="155">
        <f t="shared" si="17"/>
        <v>33.83</v>
      </c>
      <c r="BH23" s="53" t="str">
        <f t="shared" si="18"/>
        <v>OK</v>
      </c>
      <c r="BI23" s="148">
        <f t="shared" si="19"/>
        <v>0.17</v>
      </c>
      <c r="BJ23" s="155" t="str">
        <f t="shared" si="20"/>
        <v>17#5@15</v>
      </c>
      <c r="BK23" s="197">
        <f t="shared" si="21"/>
        <v>0.85142757369130329</v>
      </c>
      <c r="BL23" s="349" t="str">
        <f>AZ23</f>
        <v>Z4</v>
      </c>
      <c r="BM23" s="155">
        <f t="shared" si="22"/>
        <v>1.2250000000000001</v>
      </c>
      <c r="BN23" s="153">
        <f t="shared" si="23"/>
        <v>143.6088</v>
      </c>
      <c r="BO23" s="153">
        <f t="shared" si="24"/>
        <v>886.22674927536218</v>
      </c>
      <c r="BP23" s="153">
        <f t="shared" si="25"/>
        <v>23.445152097231801</v>
      </c>
      <c r="BQ23" s="144">
        <v>10</v>
      </c>
      <c r="BR23" s="155" t="s">
        <v>191</v>
      </c>
      <c r="BS23" s="144">
        <v>6</v>
      </c>
      <c r="BT23" s="153">
        <f t="shared" si="26"/>
        <v>28.4</v>
      </c>
      <c r="BU23" s="153">
        <f t="shared" si="27"/>
        <v>1073.5199999999998</v>
      </c>
      <c r="BV23" s="53" t="str">
        <f t="shared" si="28"/>
        <v>OK</v>
      </c>
      <c r="BW23" s="122"/>
      <c r="BX23" s="349" t="str">
        <f>BL23</f>
        <v>Z4</v>
      </c>
      <c r="BY23" s="153">
        <f t="shared" si="29"/>
        <v>28.4</v>
      </c>
      <c r="BZ23" s="153">
        <f t="shared" si="30"/>
        <v>1073.5199999999998</v>
      </c>
      <c r="CA23" s="155" t="str">
        <f t="shared" si="31"/>
        <v>OK</v>
      </c>
      <c r="CB23" s="153">
        <f t="shared" si="32"/>
        <v>115.29578180439935</v>
      </c>
      <c r="CC23" s="53" t="str">
        <f t="shared" si="33"/>
        <v>OK</v>
      </c>
      <c r="CE23" s="351" t="s">
        <v>732</v>
      </c>
      <c r="CF23" s="351"/>
      <c r="CG23" s="351"/>
      <c r="CH23" s="351"/>
      <c r="CI23" s="117"/>
      <c r="CJ23" s="349" t="str">
        <f>BX23</f>
        <v>Z4</v>
      </c>
      <c r="CK23" s="153">
        <f t="shared" si="34"/>
        <v>166.4718439847712</v>
      </c>
      <c r="CL23" s="153">
        <f t="shared" si="56"/>
        <v>581.34742934608073</v>
      </c>
      <c r="CM23" s="150">
        <f t="shared" si="57"/>
        <v>0</v>
      </c>
      <c r="CN23" s="150">
        <f t="shared" si="35"/>
        <v>0</v>
      </c>
      <c r="CO23" s="53" t="str">
        <f t="shared" si="36"/>
        <v>OK</v>
      </c>
      <c r="CP23" s="158">
        <f t="shared" si="37"/>
        <v>23.445152097231801</v>
      </c>
      <c r="CQ23" s="144">
        <v>10</v>
      </c>
      <c r="CR23" s="155" t="s">
        <v>191</v>
      </c>
      <c r="CS23" s="144">
        <v>6</v>
      </c>
      <c r="CU23" s="117"/>
      <c r="CW23" s="349" t="str">
        <f t="shared" ref="CW23" si="62">AZ23</f>
        <v>Z4</v>
      </c>
      <c r="CX23" s="111">
        <f t="shared" si="38"/>
        <v>258</v>
      </c>
      <c r="CY23" s="156">
        <f t="shared" si="39"/>
        <v>3</v>
      </c>
      <c r="CZ23" s="156">
        <f t="shared" si="40"/>
        <v>3.8</v>
      </c>
      <c r="DA23" s="140" t="str">
        <f t="shared" si="41"/>
        <v>17#5@15</v>
      </c>
      <c r="DB23" s="140" t="str">
        <f t="shared" si="42"/>
        <v>17#5@20</v>
      </c>
    </row>
    <row r="24" spans="1:106" ht="15" customHeight="1" x14ac:dyDescent="0.25">
      <c r="A24" s="123"/>
      <c r="B24" s="124"/>
      <c r="C24" s="188"/>
      <c r="D24" s="124"/>
      <c r="E24" s="124"/>
      <c r="F24" s="124"/>
      <c r="G24" s="124"/>
      <c r="H24" s="125"/>
      <c r="I24" s="124"/>
      <c r="J24" s="124"/>
      <c r="K24" s="124"/>
      <c r="L24" s="126"/>
      <c r="M24" s="350"/>
      <c r="N24" s="143">
        <v>258</v>
      </c>
      <c r="O24" s="144" t="s">
        <v>802</v>
      </c>
      <c r="P24" s="145">
        <v>-16.352399999999999</v>
      </c>
      <c r="Q24" s="145">
        <v>-12.3874</v>
      </c>
      <c r="R24" s="145">
        <v>823.28189999999995</v>
      </c>
      <c r="S24" s="145">
        <v>-110.6358</v>
      </c>
      <c r="T24" s="145">
        <v>-54.207099999999997</v>
      </c>
      <c r="U24" s="145">
        <v>0.5</v>
      </c>
      <c r="V24" s="146">
        <f t="shared" si="43"/>
        <v>0.42499999999999999</v>
      </c>
      <c r="W24" s="147">
        <f t="shared" si="44"/>
        <v>150.65999999999997</v>
      </c>
      <c r="X24" s="147">
        <f t="shared" si="45"/>
        <v>284.18699999999995</v>
      </c>
      <c r="Y24" s="350"/>
      <c r="Z24" s="148">
        <f t="shared" si="0"/>
        <v>0.52499999999999991</v>
      </c>
      <c r="AA24" s="149">
        <v>3</v>
      </c>
      <c r="AB24" s="148">
        <f t="shared" si="46"/>
        <v>5.9438364998263804</v>
      </c>
      <c r="AC24" s="149">
        <v>3.8</v>
      </c>
      <c r="AD24" s="150">
        <f t="shared" si="47"/>
        <v>-6.908028263240755E-2</v>
      </c>
      <c r="AE24" s="150">
        <f t="shared" si="1"/>
        <v>-0.10762855856820394</v>
      </c>
      <c r="AF24" s="53" t="str">
        <f t="shared" si="48"/>
        <v>OK</v>
      </c>
      <c r="AG24" s="53" t="str">
        <f t="shared" si="49"/>
        <v>OK</v>
      </c>
      <c r="AH24" s="155" t="s">
        <v>53</v>
      </c>
      <c r="AI24" s="153">
        <f t="shared" si="51"/>
        <v>1.9</v>
      </c>
      <c r="AJ24" s="153">
        <f t="shared" si="52"/>
        <v>2.8250000000000002</v>
      </c>
      <c r="AK24" s="152">
        <f t="shared" si="53"/>
        <v>1.0357379483416824</v>
      </c>
      <c r="AL24" s="150">
        <f t="shared" si="54"/>
        <v>-27.504230260758305</v>
      </c>
      <c r="AM24" s="150">
        <f t="shared" si="55"/>
        <v>-26.247680333001998</v>
      </c>
      <c r="AN24" s="350"/>
      <c r="AO24" s="153">
        <f t="shared" si="2"/>
        <v>1263.7159855756579</v>
      </c>
      <c r="AP24" s="153">
        <f t="shared" si="3"/>
        <v>2158.3197365702317</v>
      </c>
      <c r="AQ24" s="153">
        <f t="shared" si="4"/>
        <v>3072.853291615178</v>
      </c>
      <c r="AR24" s="153">
        <f t="shared" si="5"/>
        <v>2560.3596874999807</v>
      </c>
      <c r="AS24" s="53" t="str">
        <f t="shared" si="6"/>
        <v>OK</v>
      </c>
      <c r="AT24" s="153">
        <f t="shared" si="7"/>
        <v>0.5</v>
      </c>
      <c r="AU24" s="150">
        <f t="shared" si="8"/>
        <v>377.43866999999995</v>
      </c>
      <c r="AV24" s="153">
        <f t="shared" si="9"/>
        <v>306.25506118421049</v>
      </c>
      <c r="AW24" s="154">
        <f t="shared" si="10"/>
        <v>860.19989500987504</v>
      </c>
      <c r="AX24" s="153">
        <f t="shared" si="11"/>
        <v>1089.5865336791751</v>
      </c>
      <c r="AY24" s="53" t="str">
        <f t="shared" si="12"/>
        <v>OK</v>
      </c>
      <c r="AZ24" s="350"/>
      <c r="BA24" s="153">
        <f t="shared" si="13"/>
        <v>281.22185834374994</v>
      </c>
      <c r="BB24" s="153">
        <f t="shared" si="14"/>
        <v>576.64356446238617</v>
      </c>
      <c r="BC24" s="150">
        <f t="shared" si="15"/>
        <v>1.8E-3</v>
      </c>
      <c r="BD24" s="148">
        <f t="shared" si="16"/>
        <v>22.950000000000003</v>
      </c>
      <c r="BE24" s="144">
        <v>5</v>
      </c>
      <c r="BF24" s="144">
        <v>17</v>
      </c>
      <c r="BG24" s="155">
        <f t="shared" si="17"/>
        <v>33.83</v>
      </c>
      <c r="BH24" s="53" t="str">
        <f t="shared" si="18"/>
        <v>OK</v>
      </c>
      <c r="BI24" s="148">
        <f t="shared" si="19"/>
        <v>0.17</v>
      </c>
      <c r="BJ24" s="155" t="str">
        <f t="shared" si="20"/>
        <v>17#5@15</v>
      </c>
      <c r="BK24" s="197">
        <f t="shared" si="21"/>
        <v>0.67839195979899514</v>
      </c>
      <c r="BL24" s="350"/>
      <c r="BM24" s="155">
        <f t="shared" si="22"/>
        <v>1.2250000000000001</v>
      </c>
      <c r="BN24" s="153">
        <f t="shared" si="23"/>
        <v>-135.41059999999999</v>
      </c>
      <c r="BO24" s="153">
        <f t="shared" si="24"/>
        <v>1044.8877637681157</v>
      </c>
      <c r="BP24" s="153">
        <f t="shared" si="25"/>
        <v>27.642533433018937</v>
      </c>
      <c r="BQ24" s="144">
        <v>10</v>
      </c>
      <c r="BR24" s="155" t="s">
        <v>191</v>
      </c>
      <c r="BS24" s="144">
        <v>6</v>
      </c>
      <c r="BT24" s="153">
        <f t="shared" si="26"/>
        <v>28.4</v>
      </c>
      <c r="BU24" s="153">
        <f t="shared" si="27"/>
        <v>1073.5199999999998</v>
      </c>
      <c r="BV24" s="53" t="str">
        <f t="shared" si="28"/>
        <v>OK</v>
      </c>
      <c r="BW24" s="122"/>
      <c r="BX24" s="350"/>
      <c r="BY24" s="153">
        <f t="shared" si="29"/>
        <v>28.4</v>
      </c>
      <c r="BZ24" s="153">
        <f t="shared" si="30"/>
        <v>1073.5199999999998</v>
      </c>
      <c r="CA24" s="155" t="str">
        <f t="shared" si="31"/>
        <v>OK</v>
      </c>
      <c r="CB24" s="153">
        <f t="shared" si="32"/>
        <v>115.4211465577646</v>
      </c>
      <c r="CC24" s="53" t="str">
        <f t="shared" si="33"/>
        <v>OK</v>
      </c>
      <c r="CE24" s="351"/>
      <c r="CF24" s="351"/>
      <c r="CG24" s="351"/>
      <c r="CH24" s="351"/>
      <c r="CI24" s="117"/>
      <c r="CJ24" s="350"/>
      <c r="CK24" s="153">
        <f t="shared" si="34"/>
        <v>160.90279349336976</v>
      </c>
      <c r="CL24" s="153">
        <f t="shared" si="56"/>
        <v>582.37775857306497</v>
      </c>
      <c r="CM24" s="150">
        <f t="shared" si="57"/>
        <v>0</v>
      </c>
      <c r="CN24" s="150">
        <f t="shared" si="35"/>
        <v>0</v>
      </c>
      <c r="CO24" s="53" t="str">
        <f t="shared" si="36"/>
        <v>OK</v>
      </c>
      <c r="CP24" s="158">
        <f t="shared" si="37"/>
        <v>27.642533433018937</v>
      </c>
      <c r="CQ24" s="144">
        <v>10</v>
      </c>
      <c r="CR24" s="155" t="s">
        <v>191</v>
      </c>
      <c r="CS24" s="144">
        <v>6</v>
      </c>
      <c r="CU24" s="117"/>
      <c r="CW24" s="350"/>
      <c r="CX24" s="111">
        <f t="shared" si="38"/>
        <v>258</v>
      </c>
      <c r="CY24" s="156">
        <f t="shared" si="39"/>
        <v>3</v>
      </c>
      <c r="CZ24" s="156">
        <f t="shared" si="40"/>
        <v>3.8</v>
      </c>
      <c r="DA24" s="140" t="str">
        <f t="shared" si="41"/>
        <v>17#5@15</v>
      </c>
      <c r="DB24" s="140" t="str">
        <f t="shared" si="42"/>
        <v>17#5@20</v>
      </c>
    </row>
    <row r="25" spans="1:106" ht="15" customHeight="1" x14ac:dyDescent="0.25">
      <c r="A25" s="123"/>
      <c r="B25" s="124"/>
      <c r="C25" s="188"/>
      <c r="D25" s="124"/>
      <c r="E25" s="124"/>
      <c r="F25" s="124"/>
      <c r="G25" s="124"/>
      <c r="H25" s="125"/>
      <c r="I25" s="124"/>
      <c r="J25" s="124"/>
      <c r="K25" s="124"/>
      <c r="L25" s="126"/>
      <c r="M25" s="349" t="str">
        <f>Y25</f>
        <v>Z4</v>
      </c>
      <c r="N25" s="143">
        <v>263</v>
      </c>
      <c r="O25" s="144" t="s">
        <v>802</v>
      </c>
      <c r="P25" s="145">
        <v>30.203700000000001</v>
      </c>
      <c r="Q25" s="145">
        <v>21.813300000000002</v>
      </c>
      <c r="R25" s="145">
        <v>469.13380000000001</v>
      </c>
      <c r="S25" s="145">
        <v>103.48779999999999</v>
      </c>
      <c r="T25" s="145">
        <v>76.541499999999999</v>
      </c>
      <c r="U25" s="145">
        <v>0.5</v>
      </c>
      <c r="V25" s="146">
        <f t="shared" si="43"/>
        <v>0.42499999999999999</v>
      </c>
      <c r="W25" s="147">
        <f t="shared" si="44"/>
        <v>150.65999999999997</v>
      </c>
      <c r="X25" s="147">
        <f t="shared" si="45"/>
        <v>284.18699999999995</v>
      </c>
      <c r="Y25" s="349" t="s">
        <v>840</v>
      </c>
      <c r="Z25" s="148">
        <f t="shared" si="0"/>
        <v>0.52499999999999991</v>
      </c>
      <c r="AA25" s="149">
        <v>3</v>
      </c>
      <c r="AB25" s="148">
        <f t="shared" si="46"/>
        <v>4.2707182659759662</v>
      </c>
      <c r="AC25" s="149">
        <v>3.8</v>
      </c>
      <c r="AD25" s="150">
        <f t="shared" si="47"/>
        <v>0.15149536361834237</v>
      </c>
      <c r="AE25" s="150">
        <f t="shared" si="1"/>
        <v>0.16274062457963712</v>
      </c>
      <c r="AF25" s="53" t="str">
        <f t="shared" si="48"/>
        <v>OK</v>
      </c>
      <c r="AG25" s="53" t="str">
        <f t="shared" si="49"/>
        <v>OK</v>
      </c>
      <c r="AH25" s="155" t="s">
        <v>53</v>
      </c>
      <c r="AI25" s="153">
        <f t="shared" si="51"/>
        <v>1.9</v>
      </c>
      <c r="AJ25" s="153">
        <f t="shared" si="52"/>
        <v>2.8250000000000002</v>
      </c>
      <c r="AK25" s="152">
        <f t="shared" si="53"/>
        <v>0.87925348446215856</v>
      </c>
      <c r="AL25" s="150">
        <f t="shared" si="54"/>
        <v>12.541637939406591</v>
      </c>
      <c r="AM25" s="150">
        <f t="shared" si="55"/>
        <v>17.358910888397055</v>
      </c>
      <c r="AN25" s="349" t="str">
        <f>Y25</f>
        <v>Z4</v>
      </c>
      <c r="AO25" s="153">
        <f t="shared" si="2"/>
        <v>907.99518842105238</v>
      </c>
      <c r="AP25" s="153">
        <f t="shared" si="3"/>
        <v>2158.3197365702317</v>
      </c>
      <c r="AQ25" s="153">
        <f t="shared" si="4"/>
        <v>3072.853291615178</v>
      </c>
      <c r="AR25" s="153">
        <f t="shared" si="5"/>
        <v>2560.3596874999807</v>
      </c>
      <c r="AS25" s="53" t="str">
        <f t="shared" si="6"/>
        <v>OK</v>
      </c>
      <c r="AT25" s="153">
        <f t="shared" si="7"/>
        <v>0.5</v>
      </c>
      <c r="AU25" s="150">
        <f t="shared" si="8"/>
        <v>271.19423999999992</v>
      </c>
      <c r="AV25" s="153">
        <f t="shared" si="9"/>
        <v>220.04795789473675</v>
      </c>
      <c r="AW25" s="154">
        <f t="shared" si="10"/>
        <v>860.19989500987504</v>
      </c>
      <c r="AX25" s="153">
        <f t="shared" si="11"/>
        <v>1089.5865336791751</v>
      </c>
      <c r="AY25" s="53" t="str">
        <f t="shared" si="12"/>
        <v>OK</v>
      </c>
      <c r="AZ25" s="349" t="str">
        <f>AN25</f>
        <v>Z4</v>
      </c>
      <c r="BA25" s="153">
        <f t="shared" si="13"/>
        <v>401.45744866666666</v>
      </c>
      <c r="BB25" s="153">
        <f t="shared" si="14"/>
        <v>823.18584886154895</v>
      </c>
      <c r="BC25" s="150">
        <f t="shared" si="15"/>
        <v>1.9950872461034878E-3</v>
      </c>
      <c r="BD25" s="148">
        <f t="shared" si="16"/>
        <v>25.437362387819469</v>
      </c>
      <c r="BE25" s="144">
        <v>5</v>
      </c>
      <c r="BF25" s="144">
        <v>17</v>
      </c>
      <c r="BG25" s="155">
        <f t="shared" si="17"/>
        <v>33.83</v>
      </c>
      <c r="BH25" s="53" t="str">
        <f t="shared" si="18"/>
        <v>OK</v>
      </c>
      <c r="BI25" s="148">
        <f t="shared" si="19"/>
        <v>0.17</v>
      </c>
      <c r="BJ25" s="155" t="str">
        <f t="shared" si="20"/>
        <v>17#5@15</v>
      </c>
      <c r="BK25" s="197">
        <f t="shared" si="21"/>
        <v>0.75191730380784716</v>
      </c>
      <c r="BL25" s="349" t="str">
        <f>AZ25</f>
        <v>Z4</v>
      </c>
      <c r="BM25" s="155">
        <f t="shared" si="22"/>
        <v>1.2250000000000001</v>
      </c>
      <c r="BN25" s="153">
        <f t="shared" si="23"/>
        <v>147.11439999999999</v>
      </c>
      <c r="BO25" s="153">
        <f t="shared" si="24"/>
        <v>609.07835362318815</v>
      </c>
      <c r="BP25" s="153">
        <f t="shared" si="25"/>
        <v>16.113183958285401</v>
      </c>
      <c r="BQ25" s="144">
        <v>10</v>
      </c>
      <c r="BR25" s="155" t="s">
        <v>191</v>
      </c>
      <c r="BS25" s="144">
        <v>6</v>
      </c>
      <c r="BT25" s="153">
        <f t="shared" si="26"/>
        <v>28.4</v>
      </c>
      <c r="BU25" s="153">
        <f t="shared" si="27"/>
        <v>1073.5199999999998</v>
      </c>
      <c r="BV25" s="53" t="str">
        <f t="shared" si="28"/>
        <v>OK</v>
      </c>
      <c r="BW25" s="122"/>
      <c r="BX25" s="349" t="str">
        <f>BL25</f>
        <v>Z4</v>
      </c>
      <c r="BY25" s="153">
        <f t="shared" si="29"/>
        <v>28.4</v>
      </c>
      <c r="BZ25" s="153">
        <f t="shared" si="30"/>
        <v>1073.5199999999998</v>
      </c>
      <c r="CA25" s="155" t="str">
        <f t="shared" si="31"/>
        <v>OK</v>
      </c>
      <c r="CB25" s="153">
        <f t="shared" si="32"/>
        <v>82.356357879093409</v>
      </c>
      <c r="CC25" s="53" t="str">
        <f t="shared" si="33"/>
        <v>OK</v>
      </c>
      <c r="CE25" s="114"/>
      <c r="CF25" s="114"/>
      <c r="CG25" s="114"/>
      <c r="CH25" s="114"/>
      <c r="CI25" s="117"/>
      <c r="CJ25" s="349" t="str">
        <f>BX25</f>
        <v>Z4</v>
      </c>
      <c r="CK25" s="153">
        <f t="shared" si="34"/>
        <v>200.99166126625749</v>
      </c>
      <c r="CL25" s="153">
        <f t="shared" si="56"/>
        <v>369.59385355399291</v>
      </c>
      <c r="CM25" s="150">
        <f t="shared" si="57"/>
        <v>0</v>
      </c>
      <c r="CN25" s="150">
        <f t="shared" si="35"/>
        <v>0</v>
      </c>
      <c r="CO25" s="53" t="str">
        <f t="shared" si="36"/>
        <v>OK</v>
      </c>
      <c r="CP25" s="158">
        <f t="shared" si="37"/>
        <v>16.113183958285401</v>
      </c>
      <c r="CQ25" s="144">
        <v>10</v>
      </c>
      <c r="CR25" s="155" t="s">
        <v>191</v>
      </c>
      <c r="CS25" s="144">
        <v>6</v>
      </c>
      <c r="CU25" s="117"/>
      <c r="CW25" s="349" t="str">
        <f t="shared" ref="CW25" si="63">AZ25</f>
        <v>Z4</v>
      </c>
      <c r="CX25" s="111">
        <f t="shared" si="38"/>
        <v>263</v>
      </c>
      <c r="CY25" s="156">
        <f t="shared" si="39"/>
        <v>3</v>
      </c>
      <c r="CZ25" s="156">
        <f t="shared" si="40"/>
        <v>3.8</v>
      </c>
      <c r="DA25" s="140" t="str">
        <f t="shared" si="41"/>
        <v>17#5@15</v>
      </c>
      <c r="DB25" s="140" t="str">
        <f t="shared" si="42"/>
        <v>17#5@20</v>
      </c>
    </row>
    <row r="26" spans="1:106" ht="15" customHeight="1" x14ac:dyDescent="0.25">
      <c r="A26" s="123"/>
      <c r="B26" s="124"/>
      <c r="C26" s="188"/>
      <c r="D26" s="124"/>
      <c r="E26" s="124"/>
      <c r="F26" s="124"/>
      <c r="G26" s="124"/>
      <c r="H26" s="125"/>
      <c r="I26" s="124"/>
      <c r="J26" s="124"/>
      <c r="K26" s="124"/>
      <c r="L26" s="126"/>
      <c r="M26" s="350"/>
      <c r="N26" s="143">
        <v>263</v>
      </c>
      <c r="O26" s="144" t="s">
        <v>802</v>
      </c>
      <c r="P26" s="145">
        <v>5.1188000000000002</v>
      </c>
      <c r="Q26" s="145">
        <v>-22.202500000000001</v>
      </c>
      <c r="R26" s="145">
        <v>441.09570000000002</v>
      </c>
      <c r="S26" s="145">
        <v>-99.695099999999996</v>
      </c>
      <c r="T26" s="145">
        <v>-16.965699999999998</v>
      </c>
      <c r="U26" s="145">
        <v>0.5</v>
      </c>
      <c r="V26" s="146">
        <f t="shared" si="43"/>
        <v>0.42499999999999999</v>
      </c>
      <c r="W26" s="147">
        <f t="shared" si="44"/>
        <v>150.65999999999997</v>
      </c>
      <c r="X26" s="147">
        <f t="shared" si="45"/>
        <v>284.18699999999995</v>
      </c>
      <c r="Y26" s="350"/>
      <c r="Z26" s="148">
        <f t="shared" si="0"/>
        <v>0.52499999999999991</v>
      </c>
      <c r="AA26" s="149">
        <v>3</v>
      </c>
      <c r="AB26" s="148">
        <f t="shared" si="46"/>
        <v>4.1382565745182927</v>
      </c>
      <c r="AC26" s="149">
        <v>3.8</v>
      </c>
      <c r="AD26" s="150">
        <f t="shared" si="47"/>
        <v>-7.6809818724443953E-3</v>
      </c>
      <c r="AE26" s="150">
        <f t="shared" si="1"/>
        <v>-0.16450859171496038</v>
      </c>
      <c r="AF26" s="53" t="str">
        <f t="shared" si="48"/>
        <v>OK</v>
      </c>
      <c r="AG26" s="53" t="str">
        <f t="shared" si="49"/>
        <v>OK</v>
      </c>
      <c r="AH26" s="155" t="s">
        <v>53</v>
      </c>
      <c r="AI26" s="153">
        <f t="shared" si="51"/>
        <v>1.9</v>
      </c>
      <c r="AJ26" s="153">
        <f t="shared" si="52"/>
        <v>2.8250000000000002</v>
      </c>
      <c r="AK26" s="152">
        <f t="shared" si="53"/>
        <v>0.73026346298149858</v>
      </c>
      <c r="AL26" s="150">
        <f t="shared" si="54"/>
        <v>-247.3642083203282</v>
      </c>
      <c r="AM26" s="150">
        <f t="shared" si="55"/>
        <v>-17.172355380044841</v>
      </c>
      <c r="AN26" s="350"/>
      <c r="AO26" s="153">
        <f t="shared" si="2"/>
        <v>879.8325771217103</v>
      </c>
      <c r="AP26" s="153">
        <f t="shared" si="3"/>
        <v>2158.3197365702317</v>
      </c>
      <c r="AQ26" s="153">
        <f t="shared" si="4"/>
        <v>3072.853291615178</v>
      </c>
      <c r="AR26" s="153">
        <f t="shared" si="5"/>
        <v>2560.3596874999807</v>
      </c>
      <c r="AS26" s="53" t="str">
        <f t="shared" si="6"/>
        <v>OK</v>
      </c>
      <c r="AT26" s="153">
        <f t="shared" si="7"/>
        <v>0.5</v>
      </c>
      <c r="AU26" s="150">
        <f t="shared" si="8"/>
        <v>262.78280999999993</v>
      </c>
      <c r="AV26" s="153">
        <f t="shared" si="9"/>
        <v>213.22289407894729</v>
      </c>
      <c r="AW26" s="154">
        <f t="shared" si="10"/>
        <v>860.19989500987504</v>
      </c>
      <c r="AX26" s="153">
        <f t="shared" si="11"/>
        <v>1089.5865336791751</v>
      </c>
      <c r="AY26" s="53" t="str">
        <f t="shared" si="12"/>
        <v>OK</v>
      </c>
      <c r="AZ26" s="350"/>
      <c r="BA26" s="153">
        <f t="shared" si="13"/>
        <v>249.57638378125</v>
      </c>
      <c r="BB26" s="153">
        <f t="shared" si="14"/>
        <v>511.75472773292324</v>
      </c>
      <c r="BC26" s="150">
        <f t="shared" si="15"/>
        <v>1.8E-3</v>
      </c>
      <c r="BD26" s="148">
        <f t="shared" si="16"/>
        <v>22.950000000000003</v>
      </c>
      <c r="BE26" s="144">
        <v>5</v>
      </c>
      <c r="BF26" s="144">
        <v>17</v>
      </c>
      <c r="BG26" s="155">
        <f t="shared" si="17"/>
        <v>33.83</v>
      </c>
      <c r="BH26" s="53" t="str">
        <f t="shared" si="18"/>
        <v>OK</v>
      </c>
      <c r="BI26" s="148">
        <f t="shared" si="19"/>
        <v>0.17</v>
      </c>
      <c r="BJ26" s="155" t="str">
        <f t="shared" si="20"/>
        <v>17#5@15</v>
      </c>
      <c r="BK26" s="197">
        <f t="shared" si="21"/>
        <v>0.67839195979899514</v>
      </c>
      <c r="BL26" s="350"/>
      <c r="BM26" s="155">
        <f t="shared" si="22"/>
        <v>1.2250000000000001</v>
      </c>
      <c r="BN26" s="153">
        <f t="shared" si="23"/>
        <v>-144.1001</v>
      </c>
      <c r="BO26" s="153">
        <f t="shared" si="24"/>
        <v>756.36184202898528</v>
      </c>
      <c r="BP26" s="153">
        <f t="shared" si="25"/>
        <v>20.009572540449344</v>
      </c>
      <c r="BQ26" s="144">
        <v>10</v>
      </c>
      <c r="BR26" s="155" t="s">
        <v>191</v>
      </c>
      <c r="BS26" s="144">
        <v>6</v>
      </c>
      <c r="BT26" s="153">
        <f t="shared" si="26"/>
        <v>28.4</v>
      </c>
      <c r="BU26" s="153">
        <f t="shared" si="27"/>
        <v>1073.5199999999998</v>
      </c>
      <c r="BV26" s="53" t="str">
        <f t="shared" si="28"/>
        <v>OK</v>
      </c>
      <c r="BW26" s="122"/>
      <c r="BX26" s="350"/>
      <c r="BY26" s="153">
        <f t="shared" si="29"/>
        <v>28.4</v>
      </c>
      <c r="BZ26" s="153">
        <f t="shared" si="30"/>
        <v>1073.5199999999998</v>
      </c>
      <c r="CA26" s="155" t="str">
        <f t="shared" si="31"/>
        <v>OK</v>
      </c>
      <c r="CB26" s="153">
        <f t="shared" si="32"/>
        <v>80.204135583687489</v>
      </c>
      <c r="CC26" s="53" t="str">
        <f t="shared" si="33"/>
        <v>OK</v>
      </c>
      <c r="CE26" s="114"/>
      <c r="CF26" s="114"/>
      <c r="CG26" s="114"/>
      <c r="CH26" s="114"/>
      <c r="CI26" s="117"/>
      <c r="CJ26" s="350"/>
      <c r="CK26" s="153">
        <f t="shared" si="34"/>
        <v>144.25708353359983</v>
      </c>
      <c r="CL26" s="153">
        <f t="shared" si="56"/>
        <v>387.02482172931491</v>
      </c>
      <c r="CM26" s="150">
        <f t="shared" si="57"/>
        <v>0</v>
      </c>
      <c r="CN26" s="150">
        <f t="shared" si="35"/>
        <v>0</v>
      </c>
      <c r="CO26" s="53" t="str">
        <f t="shared" si="36"/>
        <v>OK</v>
      </c>
      <c r="CP26" s="158">
        <f t="shared" si="37"/>
        <v>20.009572540449344</v>
      </c>
      <c r="CQ26" s="144">
        <v>10</v>
      </c>
      <c r="CR26" s="155" t="s">
        <v>191</v>
      </c>
      <c r="CS26" s="144">
        <v>6</v>
      </c>
      <c r="CU26" s="117"/>
      <c r="CW26" s="350"/>
      <c r="CX26" s="111">
        <f t="shared" si="38"/>
        <v>263</v>
      </c>
      <c r="CY26" s="156">
        <f t="shared" si="39"/>
        <v>3</v>
      </c>
      <c r="CZ26" s="156">
        <f t="shared" si="40"/>
        <v>3.8</v>
      </c>
      <c r="DA26" s="140" t="str">
        <f t="shared" si="41"/>
        <v>17#5@15</v>
      </c>
      <c r="DB26" s="140" t="str">
        <f t="shared" si="42"/>
        <v>17#5@20</v>
      </c>
    </row>
    <row r="27" spans="1:106" ht="15" customHeight="1" x14ac:dyDescent="0.25">
      <c r="A27" s="123"/>
      <c r="B27" s="124"/>
      <c r="C27" s="188"/>
      <c r="D27" s="124"/>
      <c r="E27" s="124"/>
      <c r="F27" s="124"/>
      <c r="G27" s="124"/>
      <c r="H27" s="125"/>
      <c r="I27" s="124"/>
      <c r="J27" s="124"/>
      <c r="K27" s="124"/>
      <c r="L27" s="126"/>
      <c r="M27" s="349" t="str">
        <f>Y27</f>
        <v>Z3</v>
      </c>
      <c r="N27" s="143">
        <v>268</v>
      </c>
      <c r="O27" s="144" t="s">
        <v>837</v>
      </c>
      <c r="P27" s="145">
        <v>30.295000000000002</v>
      </c>
      <c r="Q27" s="145">
        <v>20.969100000000001</v>
      </c>
      <c r="R27" s="145">
        <v>469.33370000000002</v>
      </c>
      <c r="S27" s="145">
        <v>100.2811</v>
      </c>
      <c r="T27" s="145">
        <v>76.912199999999999</v>
      </c>
      <c r="U27" s="145">
        <v>0.5</v>
      </c>
      <c r="V27" s="146">
        <f t="shared" si="43"/>
        <v>0.42499999999999999</v>
      </c>
      <c r="W27" s="147">
        <f t="shared" si="44"/>
        <v>178.14000000000001</v>
      </c>
      <c r="X27" s="147">
        <f t="shared" si="45"/>
        <v>343.26900000000006</v>
      </c>
      <c r="Y27" s="349" t="s">
        <v>839</v>
      </c>
      <c r="Z27" s="148">
        <f t="shared" si="0"/>
        <v>2.6497013565796514</v>
      </c>
      <c r="AA27" s="149">
        <v>3.7</v>
      </c>
      <c r="AB27" s="148">
        <f t="shared" si="46"/>
        <v>2.6497013565796514</v>
      </c>
      <c r="AC27" s="149">
        <v>3.7</v>
      </c>
      <c r="AD27" s="150">
        <f t="shared" si="47"/>
        <v>0.13878699282871326</v>
      </c>
      <c r="AE27" s="150">
        <f t="shared" si="1"/>
        <v>0.14354816845988369</v>
      </c>
      <c r="AF27" s="53" t="str">
        <f t="shared" si="48"/>
        <v>OK</v>
      </c>
      <c r="AG27" s="53" t="str">
        <f t="shared" si="49"/>
        <v>OK</v>
      </c>
      <c r="AH27" s="155" t="str">
        <f t="shared" si="50"/>
        <v>Central</v>
      </c>
      <c r="AI27" s="153">
        <f t="shared" si="51"/>
        <v>1.85</v>
      </c>
      <c r="AJ27" s="153">
        <f t="shared" si="52"/>
        <v>1.85</v>
      </c>
      <c r="AK27" s="152">
        <f t="shared" si="53"/>
        <v>0.74765373831334858</v>
      </c>
      <c r="AL27" s="150">
        <f t="shared" si="54"/>
        <v>13.329779414438459</v>
      </c>
      <c r="AM27" s="150">
        <f t="shared" si="55"/>
        <v>12.887660078484426</v>
      </c>
      <c r="AN27" s="349" t="str">
        <f>Y27</f>
        <v>Z3</v>
      </c>
      <c r="AO27" s="153">
        <f t="shared" si="2"/>
        <v>994.40642163531777</v>
      </c>
      <c r="AP27" s="153">
        <f t="shared" si="3"/>
        <v>2158.3197365702317</v>
      </c>
      <c r="AQ27" s="153">
        <f t="shared" si="4"/>
        <v>3667.8248856636742</v>
      </c>
      <c r="AR27" s="153">
        <f t="shared" si="5"/>
        <v>2560.3596874999807</v>
      </c>
      <c r="AS27" s="53" t="str">
        <f t="shared" si="6"/>
        <v>OK</v>
      </c>
      <c r="AT27" s="153">
        <f t="shared" si="7"/>
        <v>0.5</v>
      </c>
      <c r="AU27" s="150">
        <f t="shared" si="8"/>
        <v>334.71037162162162</v>
      </c>
      <c r="AV27" s="153">
        <f t="shared" si="9"/>
        <v>234.29726013513513</v>
      </c>
      <c r="AW27" s="154">
        <f t="shared" si="10"/>
        <v>1060.9132038455125</v>
      </c>
      <c r="AX27" s="153">
        <f t="shared" si="11"/>
        <v>1060.9132038455125</v>
      </c>
      <c r="AY27" s="53" t="str">
        <f t="shared" si="12"/>
        <v>OK</v>
      </c>
      <c r="AZ27" s="349" t="str">
        <f>AN27</f>
        <v>Z3</v>
      </c>
      <c r="BA27" s="153">
        <f t="shared" si="13"/>
        <v>513.13091455236486</v>
      </c>
      <c r="BB27" s="153">
        <f t="shared" si="14"/>
        <v>853.11207049656969</v>
      </c>
      <c r="BC27" s="150">
        <f t="shared" si="15"/>
        <v>2.0689902812068019E-3</v>
      </c>
      <c r="BD27" s="148">
        <f t="shared" si="16"/>
        <v>32.534872171976964</v>
      </c>
      <c r="BE27" s="144">
        <v>5</v>
      </c>
      <c r="BF27" s="144">
        <v>21</v>
      </c>
      <c r="BG27" s="155">
        <f t="shared" si="17"/>
        <v>41.79</v>
      </c>
      <c r="BH27" s="53" t="str">
        <f t="shared" si="18"/>
        <v>OK</v>
      </c>
      <c r="BI27" s="148">
        <f t="shared" si="19"/>
        <v>0.17</v>
      </c>
      <c r="BJ27" s="155" t="str">
        <f t="shared" si="20"/>
        <v>21#5@15</v>
      </c>
      <c r="BK27" s="197">
        <f t="shared" si="21"/>
        <v>0.77853247599849162</v>
      </c>
      <c r="BL27" s="349" t="str">
        <f>AZ27</f>
        <v>Z3</v>
      </c>
      <c r="BM27" s="155">
        <f t="shared" si="22"/>
        <v>0</v>
      </c>
      <c r="BN27" s="153">
        <f t="shared" si="23"/>
        <v>0</v>
      </c>
      <c r="BO27" s="153">
        <f t="shared" si="24"/>
        <v>0</v>
      </c>
      <c r="BP27" s="153">
        <f t="shared" si="25"/>
        <v>9.2317499999999999</v>
      </c>
      <c r="BQ27" s="144">
        <v>10</v>
      </c>
      <c r="BR27" s="155" t="s">
        <v>191</v>
      </c>
      <c r="BS27" s="144">
        <v>6</v>
      </c>
      <c r="BT27" s="153">
        <f t="shared" si="26"/>
        <v>28.4</v>
      </c>
      <c r="BU27" s="153">
        <f t="shared" si="27"/>
        <v>1073.5199999999998</v>
      </c>
      <c r="BV27" s="53" t="str">
        <f t="shared" si="28"/>
        <v>OK</v>
      </c>
      <c r="BW27" s="122"/>
      <c r="BX27" s="349" t="str">
        <f>BL27</f>
        <v>Z3</v>
      </c>
      <c r="BY27" s="153">
        <f t="shared" si="29"/>
        <v>28.4</v>
      </c>
      <c r="BZ27" s="153">
        <f t="shared" si="30"/>
        <v>1073.5199999999998</v>
      </c>
      <c r="CA27" s="155" t="str">
        <f t="shared" si="31"/>
        <v>OK</v>
      </c>
      <c r="CB27" s="153">
        <f t="shared" si="32"/>
        <v>72.369810080350618</v>
      </c>
      <c r="CC27" s="53" t="str">
        <f t="shared" si="33"/>
        <v>OK</v>
      </c>
      <c r="CE27" s="114"/>
      <c r="CF27" s="114"/>
      <c r="CG27" s="114"/>
      <c r="CH27" s="114"/>
      <c r="CI27" s="117"/>
      <c r="CJ27" s="349" t="str">
        <f>BX27</f>
        <v>Z3</v>
      </c>
      <c r="CK27" s="153">
        <f t="shared" si="34"/>
        <v>197.82109163921325</v>
      </c>
      <c r="CL27" s="153">
        <f t="shared" si="56"/>
        <v>0</v>
      </c>
      <c r="CM27" s="150">
        <f t="shared" si="57"/>
        <v>0</v>
      </c>
      <c r="CN27" s="150">
        <f t="shared" si="35"/>
        <v>0</v>
      </c>
      <c r="CO27" s="53" t="str">
        <f t="shared" si="36"/>
        <v>OK</v>
      </c>
      <c r="CP27" s="158">
        <f t="shared" si="37"/>
        <v>9.2317499999999999</v>
      </c>
      <c r="CQ27" s="144">
        <v>10</v>
      </c>
      <c r="CR27" s="155" t="s">
        <v>191</v>
      </c>
      <c r="CS27" s="144">
        <v>6</v>
      </c>
      <c r="CU27" s="117"/>
      <c r="CW27" s="349" t="str">
        <f t="shared" ref="CW27" si="64">AZ27</f>
        <v>Z3</v>
      </c>
      <c r="CX27" s="111">
        <f t="shared" si="38"/>
        <v>268</v>
      </c>
      <c r="CY27" s="156">
        <f t="shared" si="39"/>
        <v>3.7</v>
      </c>
      <c r="CZ27" s="156">
        <f t="shared" si="40"/>
        <v>3.7</v>
      </c>
      <c r="DA27" s="140" t="str">
        <f t="shared" si="41"/>
        <v>21#5@15</v>
      </c>
      <c r="DB27" s="140" t="str">
        <f t="shared" si="42"/>
        <v>21#5@15</v>
      </c>
    </row>
    <row r="28" spans="1:106" ht="15" customHeight="1" x14ac:dyDescent="0.25">
      <c r="A28" s="123"/>
      <c r="B28" s="124"/>
      <c r="C28" s="188"/>
      <c r="D28" s="124"/>
      <c r="E28" s="124"/>
      <c r="F28" s="124"/>
      <c r="G28" s="124"/>
      <c r="H28" s="125"/>
      <c r="I28" s="124"/>
      <c r="J28" s="124"/>
      <c r="K28" s="124"/>
      <c r="L28" s="126"/>
      <c r="M28" s="350"/>
      <c r="N28" s="143">
        <v>268</v>
      </c>
      <c r="O28" s="144" t="s">
        <v>837</v>
      </c>
      <c r="P28" s="145">
        <v>4.9821999999999997</v>
      </c>
      <c r="Q28" s="145">
        <v>-21.714600000000001</v>
      </c>
      <c r="R28" s="145">
        <v>440.7826</v>
      </c>
      <c r="S28" s="145">
        <v>-96.429299999999998</v>
      </c>
      <c r="T28" s="145">
        <v>-17.302499999999998</v>
      </c>
      <c r="U28" s="145">
        <v>0.5</v>
      </c>
      <c r="V28" s="146">
        <f t="shared" si="43"/>
        <v>0.42499999999999999</v>
      </c>
      <c r="W28" s="147">
        <f t="shared" si="44"/>
        <v>178.14000000000001</v>
      </c>
      <c r="X28" s="147">
        <f t="shared" si="45"/>
        <v>343.26900000000006</v>
      </c>
      <c r="Y28" s="350"/>
      <c r="Z28" s="148">
        <f t="shared" si="0"/>
        <v>2.6112428760008699</v>
      </c>
      <c r="AA28" s="149">
        <v>3.7</v>
      </c>
      <c r="AB28" s="148">
        <f t="shared" si="46"/>
        <v>2.6112428760008699</v>
      </c>
      <c r="AC28" s="149">
        <v>3.7</v>
      </c>
      <c r="AD28" s="150">
        <f t="shared" si="47"/>
        <v>-7.6264436313931636E-3</v>
      </c>
      <c r="AE28" s="150">
        <f t="shared" si="1"/>
        <v>-0.14535410618841402</v>
      </c>
      <c r="AF28" s="53" t="str">
        <f t="shared" si="48"/>
        <v>OK</v>
      </c>
      <c r="AG28" s="53" t="str">
        <f t="shared" si="49"/>
        <v>OK</v>
      </c>
      <c r="AH28" s="155" t="str">
        <f t="shared" si="50"/>
        <v>Central</v>
      </c>
      <c r="AI28" s="153">
        <f t="shared" si="51"/>
        <v>1.85</v>
      </c>
      <c r="AJ28" s="153">
        <f t="shared" si="52"/>
        <v>1.85</v>
      </c>
      <c r="AK28" s="152">
        <f t="shared" si="53"/>
        <v>0.62163050393905084</v>
      </c>
      <c r="AL28" s="150">
        <f t="shared" si="54"/>
        <v>-242.57702402529273</v>
      </c>
      <c r="AM28" s="150">
        <f t="shared" si="55"/>
        <v>-12.727538619390316</v>
      </c>
      <c r="AN28" s="350"/>
      <c r="AO28" s="153">
        <f t="shared" si="2"/>
        <v>965.7497409605553</v>
      </c>
      <c r="AP28" s="153">
        <f t="shared" si="3"/>
        <v>2158.3197365702317</v>
      </c>
      <c r="AQ28" s="153">
        <f t="shared" si="4"/>
        <v>3667.8248856636742</v>
      </c>
      <c r="AR28" s="153">
        <f t="shared" si="5"/>
        <v>2560.3596874999807</v>
      </c>
      <c r="AS28" s="53" t="str">
        <f t="shared" si="6"/>
        <v>OK</v>
      </c>
      <c r="AT28" s="153">
        <f t="shared" si="7"/>
        <v>0.5</v>
      </c>
      <c r="AU28" s="150">
        <f t="shared" si="8"/>
        <v>325.06472972972972</v>
      </c>
      <c r="AV28" s="153">
        <f t="shared" si="9"/>
        <v>227.5453108108108</v>
      </c>
      <c r="AW28" s="154">
        <f t="shared" si="10"/>
        <v>1060.9132038455125</v>
      </c>
      <c r="AX28" s="153">
        <f t="shared" si="11"/>
        <v>1060.9132038455125</v>
      </c>
      <c r="AY28" s="53" t="str">
        <f t="shared" si="12"/>
        <v>OK</v>
      </c>
      <c r="AZ28" s="350"/>
      <c r="BA28" s="153">
        <f t="shared" si="13"/>
        <v>357.46579293918921</v>
      </c>
      <c r="BB28" s="153">
        <f t="shared" si="14"/>
        <v>594.30912092303663</v>
      </c>
      <c r="BC28" s="150">
        <f t="shared" si="15"/>
        <v>1.8E-3</v>
      </c>
      <c r="BD28" s="148">
        <f t="shared" si="16"/>
        <v>28.305</v>
      </c>
      <c r="BE28" s="144">
        <v>5</v>
      </c>
      <c r="BF28" s="144">
        <v>21</v>
      </c>
      <c r="BG28" s="155">
        <f t="shared" si="17"/>
        <v>41.79</v>
      </c>
      <c r="BH28" s="53" t="str">
        <f t="shared" si="18"/>
        <v>OK</v>
      </c>
      <c r="BI28" s="148">
        <f t="shared" si="19"/>
        <v>0.17</v>
      </c>
      <c r="BJ28" s="155" t="str">
        <f t="shared" si="20"/>
        <v>21#5@15</v>
      </c>
      <c r="BK28" s="197">
        <f t="shared" si="21"/>
        <v>0.67731514716439345</v>
      </c>
      <c r="BL28" s="350"/>
      <c r="BM28" s="155">
        <f t="shared" si="22"/>
        <v>0</v>
      </c>
      <c r="BN28" s="153">
        <f t="shared" si="23"/>
        <v>0</v>
      </c>
      <c r="BO28" s="153">
        <f t="shared" si="24"/>
        <v>0</v>
      </c>
      <c r="BP28" s="153">
        <f t="shared" si="25"/>
        <v>9.2317499999999999</v>
      </c>
      <c r="BQ28" s="144">
        <v>10</v>
      </c>
      <c r="BR28" s="155" t="s">
        <v>191</v>
      </c>
      <c r="BS28" s="144">
        <v>6</v>
      </c>
      <c r="BT28" s="153">
        <f t="shared" si="26"/>
        <v>28.4</v>
      </c>
      <c r="BU28" s="153">
        <f t="shared" si="27"/>
        <v>1073.5199999999998</v>
      </c>
      <c r="BV28" s="53" t="str">
        <f t="shared" si="28"/>
        <v>OK</v>
      </c>
      <c r="BW28" s="122"/>
      <c r="BX28" s="350"/>
      <c r="BY28" s="153">
        <f t="shared" si="29"/>
        <v>28.4</v>
      </c>
      <c r="BZ28" s="153">
        <f t="shared" si="30"/>
        <v>1073.5199999999998</v>
      </c>
      <c r="CA28" s="155" t="str">
        <f t="shared" si="31"/>
        <v>OK</v>
      </c>
      <c r="CB28" s="153">
        <f t="shared" si="32"/>
        <v>70.284265887509136</v>
      </c>
      <c r="CC28" s="53" t="str">
        <f t="shared" si="33"/>
        <v>OK</v>
      </c>
      <c r="CE28" s="114"/>
      <c r="CF28" s="114"/>
      <c r="CG28" s="114"/>
      <c r="CH28" s="114"/>
      <c r="CI28" s="117"/>
      <c r="CJ28" s="350"/>
      <c r="CK28" s="153">
        <f t="shared" si="34"/>
        <v>140.05087551979102</v>
      </c>
      <c r="CL28" s="153">
        <f t="shared" si="56"/>
        <v>0</v>
      </c>
      <c r="CM28" s="150">
        <f t="shared" si="57"/>
        <v>0</v>
      </c>
      <c r="CN28" s="150">
        <f t="shared" si="35"/>
        <v>0</v>
      </c>
      <c r="CO28" s="53" t="str">
        <f t="shared" si="36"/>
        <v>OK</v>
      </c>
      <c r="CP28" s="158">
        <f t="shared" si="37"/>
        <v>9.2317499999999999</v>
      </c>
      <c r="CQ28" s="144">
        <v>10</v>
      </c>
      <c r="CR28" s="155" t="s">
        <v>191</v>
      </c>
      <c r="CS28" s="144">
        <v>6</v>
      </c>
      <c r="CU28" s="117"/>
      <c r="CW28" s="350"/>
      <c r="CX28" s="111">
        <f t="shared" si="38"/>
        <v>268</v>
      </c>
      <c r="CY28" s="156">
        <f t="shared" si="39"/>
        <v>3.7</v>
      </c>
      <c r="CZ28" s="156">
        <f t="shared" si="40"/>
        <v>3.7</v>
      </c>
      <c r="DA28" s="140" t="str">
        <f t="shared" si="41"/>
        <v>21#5@15</v>
      </c>
      <c r="DB28" s="140" t="str">
        <f t="shared" si="42"/>
        <v>21#5@15</v>
      </c>
    </row>
    <row r="29" spans="1:106" ht="15" customHeight="1" x14ac:dyDescent="0.25">
      <c r="A29" s="123"/>
      <c r="B29" s="124"/>
      <c r="C29" s="188"/>
      <c r="D29" s="124"/>
      <c r="E29" s="124"/>
      <c r="F29" s="124"/>
      <c r="G29" s="124"/>
      <c r="H29" s="125"/>
      <c r="I29" s="124"/>
      <c r="J29" s="124"/>
      <c r="K29" s="124"/>
      <c r="L29" s="126"/>
      <c r="M29" s="349" t="str">
        <f>Y29</f>
        <v>Z4</v>
      </c>
      <c r="N29" s="143">
        <v>273</v>
      </c>
      <c r="O29" s="144" t="s">
        <v>802</v>
      </c>
      <c r="P29" s="145">
        <v>15.4411</v>
      </c>
      <c r="Q29" s="145">
        <v>20.6752</v>
      </c>
      <c r="R29" s="145">
        <v>809.35180000000003</v>
      </c>
      <c r="S29" s="145">
        <v>97.296000000000006</v>
      </c>
      <c r="T29" s="145">
        <v>52.440100000000001</v>
      </c>
      <c r="U29" s="145">
        <v>0.5</v>
      </c>
      <c r="V29" s="146">
        <f t="shared" si="43"/>
        <v>0.42499999999999999</v>
      </c>
      <c r="W29" s="147">
        <f>(AA29*AC29*U29+W67*X67*(U67-U29))*$T$8</f>
        <v>150.65999999999997</v>
      </c>
      <c r="X29" s="147">
        <f>(AA29*AC29-W67*X67)*(U67-U29)*$T$7</f>
        <v>284.18699999999995</v>
      </c>
      <c r="Y29" s="349" t="s">
        <v>840</v>
      </c>
      <c r="Z29" s="148">
        <f t="shared" si="0"/>
        <v>0.52499999999999991</v>
      </c>
      <c r="AA29" s="149">
        <v>3</v>
      </c>
      <c r="AB29" s="148">
        <f>IF(O29="Medianera",2*N67/(AA29*$T$6),MAX(Z29,AD29*6,1))</f>
        <v>5.8780258846928817</v>
      </c>
      <c r="AC29" s="149">
        <v>3.8</v>
      </c>
      <c r="AD29" s="150">
        <f t="shared" si="47"/>
        <v>6.6968638773803671E-2</v>
      </c>
      <c r="AE29" s="150">
        <f t="shared" si="1"/>
        <v>0.11143428204560236</v>
      </c>
      <c r="AF29" s="53" t="str">
        <f t="shared" si="48"/>
        <v>OK</v>
      </c>
      <c r="AG29" s="53" t="str">
        <f>IF(AE29&gt;AA29/6,"N/C","OK")</f>
        <v>OK</v>
      </c>
      <c r="AH29" s="155" t="s">
        <v>53</v>
      </c>
      <c r="AI29" s="153">
        <f t="shared" si="51"/>
        <v>1.9</v>
      </c>
      <c r="AJ29" s="153">
        <f>IF(OR(AH29="B",AH29="Esquinera"),AA29-W67/2,AA29/2)</f>
        <v>2.8250000000000002</v>
      </c>
      <c r="AK29" s="152">
        <f t="shared" si="53"/>
        <v>1.0275783251942729</v>
      </c>
      <c r="AL29" s="150">
        <f t="shared" si="54"/>
        <v>28.371489025146928</v>
      </c>
      <c r="AM29" s="150">
        <f t="shared" si="55"/>
        <v>25.351264872365959</v>
      </c>
      <c r="AN29" s="349" t="str">
        <f>Y29</f>
        <v>Z4</v>
      </c>
      <c r="AO29" s="153">
        <f t="shared" si="2"/>
        <v>1249.7240249342105</v>
      </c>
      <c r="AP29" s="153">
        <f t="shared" si="3"/>
        <v>2158.3197365702317</v>
      </c>
      <c r="AQ29" s="153">
        <f t="shared" si="4"/>
        <v>3072.853291615178</v>
      </c>
      <c r="AR29" s="153">
        <f t="shared" si="5"/>
        <v>2560.3596874999807</v>
      </c>
      <c r="AS29" s="53" t="str">
        <f t="shared" si="6"/>
        <v>OK</v>
      </c>
      <c r="AT29" s="153">
        <f t="shared" si="7"/>
        <v>0.5</v>
      </c>
      <c r="AU29" s="150">
        <f t="shared" si="8"/>
        <v>373.25963999999993</v>
      </c>
      <c r="AV29" s="153">
        <f t="shared" si="9"/>
        <v>302.8641815789473</v>
      </c>
      <c r="AW29" s="154">
        <f t="shared" si="10"/>
        <v>860.19989500987504</v>
      </c>
      <c r="AX29" s="153">
        <f t="shared" si="11"/>
        <v>1089.5865336791751</v>
      </c>
      <c r="AY29" s="53" t="str">
        <f t="shared" si="12"/>
        <v>OK</v>
      </c>
      <c r="AZ29" s="349" t="str">
        <f>AN29</f>
        <v>Z4</v>
      </c>
      <c r="BA29" s="153">
        <f t="shared" si="13"/>
        <v>447.3800530416666</v>
      </c>
      <c r="BB29" s="153">
        <f t="shared" si="14"/>
        <v>917.34984604212048</v>
      </c>
      <c r="BC29" s="150">
        <f t="shared" si="15"/>
        <v>2.2279647739285205E-3</v>
      </c>
      <c r="BD29" s="148">
        <f t="shared" si="16"/>
        <v>28.406550867588631</v>
      </c>
      <c r="BE29" s="144">
        <v>5</v>
      </c>
      <c r="BF29" s="144">
        <v>17</v>
      </c>
      <c r="BG29" s="155">
        <f t="shared" si="17"/>
        <v>33.83</v>
      </c>
      <c r="BH29" s="53" t="str">
        <f t="shared" si="18"/>
        <v>OK</v>
      </c>
      <c r="BI29" s="148">
        <f t="shared" si="19"/>
        <v>0.17</v>
      </c>
      <c r="BJ29" s="155" t="str">
        <f t="shared" si="20"/>
        <v>17#5@15</v>
      </c>
      <c r="BK29" s="197">
        <f t="shared" si="21"/>
        <v>0.83968521630471871</v>
      </c>
      <c r="BL29" s="349" t="str">
        <f>AZ29</f>
        <v>Z4</v>
      </c>
      <c r="BM29" s="155">
        <f t="shared" si="22"/>
        <v>1.2250000000000001</v>
      </c>
      <c r="BN29" s="153">
        <f t="shared" si="23"/>
        <v>138.6464</v>
      </c>
      <c r="BO29" s="153">
        <f t="shared" si="24"/>
        <v>875.31420869565193</v>
      </c>
      <c r="BP29" s="153">
        <f t="shared" si="25"/>
        <v>23.156460547504022</v>
      </c>
      <c r="BQ29" s="144">
        <v>10</v>
      </c>
      <c r="BR29" s="155" t="s">
        <v>191</v>
      </c>
      <c r="BS29" s="144">
        <v>6</v>
      </c>
      <c r="BT29" s="153">
        <f t="shared" si="26"/>
        <v>28.4</v>
      </c>
      <c r="BU29" s="153">
        <f t="shared" si="27"/>
        <v>1073.5199999999998</v>
      </c>
      <c r="BV29" s="53" t="str">
        <f t="shared" si="28"/>
        <v>OK</v>
      </c>
      <c r="BW29" s="122"/>
      <c r="BX29" s="349" t="str">
        <f>BL29</f>
        <v>Z4</v>
      </c>
      <c r="BY29" s="153">
        <f t="shared" si="29"/>
        <v>28.4</v>
      </c>
      <c r="BZ29" s="153">
        <f t="shared" si="30"/>
        <v>1073.5199999999998</v>
      </c>
      <c r="CA29" s="155" t="str">
        <f t="shared" si="31"/>
        <v>OK</v>
      </c>
      <c r="CB29" s="153">
        <f t="shared" si="32"/>
        <v>113.65495468679471</v>
      </c>
      <c r="CC29" s="53" t="str">
        <f t="shared" si="33"/>
        <v>OK</v>
      </c>
      <c r="CE29" s="114"/>
      <c r="CF29" s="114"/>
      <c r="CG29" s="114"/>
      <c r="CH29" s="114"/>
      <c r="CI29" s="117"/>
      <c r="CJ29" s="349" t="str">
        <f>BX29</f>
        <v>Z4</v>
      </c>
      <c r="CK29" s="153">
        <f t="shared" si="34"/>
        <v>161.75731794960623</v>
      </c>
      <c r="CL29" s="153">
        <f t="shared" si="56"/>
        <v>574.42138440474605</v>
      </c>
      <c r="CM29" s="150">
        <f t="shared" si="57"/>
        <v>0</v>
      </c>
      <c r="CN29" s="150">
        <f t="shared" si="35"/>
        <v>0</v>
      </c>
      <c r="CO29" s="53" t="str">
        <f t="shared" si="36"/>
        <v>OK</v>
      </c>
      <c r="CP29" s="158">
        <f t="shared" si="37"/>
        <v>23.156460547504022</v>
      </c>
      <c r="CQ29" s="144">
        <v>10</v>
      </c>
      <c r="CR29" s="155" t="s">
        <v>191</v>
      </c>
      <c r="CS29" s="144">
        <v>6</v>
      </c>
      <c r="CU29" s="117"/>
      <c r="CW29" s="349" t="str">
        <f t="shared" ref="CW29" si="65">AZ29</f>
        <v>Z4</v>
      </c>
      <c r="CX29" s="111">
        <f t="shared" si="38"/>
        <v>273</v>
      </c>
      <c r="CY29" s="156">
        <f t="shared" si="39"/>
        <v>3</v>
      </c>
      <c r="CZ29" s="156">
        <f t="shared" si="40"/>
        <v>3.8</v>
      </c>
      <c r="DA29" s="140" t="str">
        <f t="shared" si="41"/>
        <v>17#5@15</v>
      </c>
      <c r="DB29" s="140" t="str">
        <f t="shared" si="42"/>
        <v>17#5@20</v>
      </c>
    </row>
    <row r="30" spans="1:106" ht="15" customHeight="1" x14ac:dyDescent="0.25">
      <c r="A30" s="123"/>
      <c r="B30" s="124"/>
      <c r="C30" s="188"/>
      <c r="D30" s="124"/>
      <c r="E30" s="124"/>
      <c r="F30" s="124"/>
      <c r="G30" s="124"/>
      <c r="H30" s="125"/>
      <c r="I30" s="124"/>
      <c r="J30" s="124"/>
      <c r="K30" s="124"/>
      <c r="L30" s="126"/>
      <c r="M30" s="350"/>
      <c r="N30" s="143">
        <v>273</v>
      </c>
      <c r="O30" s="144" t="s">
        <v>802</v>
      </c>
      <c r="P30" s="145">
        <v>-15.580500000000001</v>
      </c>
      <c r="Q30" s="145">
        <v>-21.007999999999999</v>
      </c>
      <c r="R30" s="145">
        <v>808.36670000000004</v>
      </c>
      <c r="S30" s="145">
        <v>-95.925600000000003</v>
      </c>
      <c r="T30" s="145">
        <v>-52.985999999999997</v>
      </c>
      <c r="U30" s="145">
        <v>0.5</v>
      </c>
      <c r="V30" s="146">
        <f t="shared" si="43"/>
        <v>0.42499999999999999</v>
      </c>
      <c r="W30" s="147">
        <f>(AA30*AC30*U30+W68*X68*(U68-U30))*$T$8</f>
        <v>150.65999999999997</v>
      </c>
      <c r="X30" s="147">
        <f>(AA30*AC30-W68*X68)*(U68-U30)*$T$7</f>
        <v>284.18699999999995</v>
      </c>
      <c r="Y30" s="350"/>
      <c r="Z30" s="148">
        <f t="shared" si="0"/>
        <v>0.52499999999999991</v>
      </c>
      <c r="AA30" s="149">
        <v>3</v>
      </c>
      <c r="AB30" s="148">
        <f>IF(O30="Medianera",2*N68/(AA30*$T$6),MAX(Z30,AD30*6,1))</f>
        <v>5.8733719312418655</v>
      </c>
      <c r="AC30" s="149">
        <v>3.8</v>
      </c>
      <c r="AD30" s="150">
        <f t="shared" si="47"/>
        <v>-6.7685064924879759E-2</v>
      </c>
      <c r="AE30" s="150">
        <f t="shared" si="1"/>
        <v>-0.11095566273119416</v>
      </c>
      <c r="AF30" s="53" t="str">
        <f t="shared" si="48"/>
        <v>OK</v>
      </c>
      <c r="AG30" s="53" t="str">
        <f>IF(AE30&gt;AA30/6,"N/C","OK")</f>
        <v>OK</v>
      </c>
      <c r="AH30" s="155" t="s">
        <v>53</v>
      </c>
      <c r="AI30" s="153">
        <f t="shared" si="51"/>
        <v>1.9</v>
      </c>
      <c r="AJ30" s="153">
        <f>IF(OR(AH30="B",AH30="Esquinera"),AA30-W68/2,AA30/2)</f>
        <v>2.8250000000000002</v>
      </c>
      <c r="AK30" s="152">
        <f t="shared" si="53"/>
        <v>1.0268991742529885</v>
      </c>
      <c r="AL30" s="150">
        <f t="shared" si="54"/>
        <v>-28.071185306665718</v>
      </c>
      <c r="AM30" s="150">
        <f t="shared" si="55"/>
        <v>-25.46062030960929</v>
      </c>
      <c r="AN30" s="350"/>
      <c r="AO30" s="153">
        <f t="shared" si="2"/>
        <v>1248.7345503125</v>
      </c>
      <c r="AP30" s="153">
        <f t="shared" si="3"/>
        <v>2158.3197365702317</v>
      </c>
      <c r="AQ30" s="153">
        <f t="shared" si="4"/>
        <v>3072.853291615178</v>
      </c>
      <c r="AR30" s="153">
        <f t="shared" si="5"/>
        <v>2560.3596874999807</v>
      </c>
      <c r="AS30" s="53" t="str">
        <f t="shared" si="6"/>
        <v>OK</v>
      </c>
      <c r="AT30" s="153">
        <f t="shared" si="7"/>
        <v>0.5</v>
      </c>
      <c r="AU30" s="150">
        <f t="shared" si="8"/>
        <v>372.96410999999995</v>
      </c>
      <c r="AV30" s="153">
        <f t="shared" si="9"/>
        <v>302.62438750000001</v>
      </c>
      <c r="AW30" s="154">
        <f t="shared" si="10"/>
        <v>860.19989500987504</v>
      </c>
      <c r="AX30" s="153">
        <f t="shared" si="11"/>
        <v>1089.5865336791751</v>
      </c>
      <c r="AY30" s="53" t="str">
        <f t="shared" si="12"/>
        <v>OK</v>
      </c>
      <c r="AZ30" s="350"/>
      <c r="BA30" s="153">
        <f t="shared" si="13"/>
        <v>279.62250867708332</v>
      </c>
      <c r="BB30" s="153">
        <f t="shared" si="14"/>
        <v>573.36410852663505</v>
      </c>
      <c r="BC30" s="150">
        <f t="shared" si="15"/>
        <v>1.8E-3</v>
      </c>
      <c r="BD30" s="148">
        <f t="shared" si="16"/>
        <v>22.950000000000003</v>
      </c>
      <c r="BE30" s="144">
        <v>5</v>
      </c>
      <c r="BF30" s="144">
        <v>17</v>
      </c>
      <c r="BG30" s="155">
        <f t="shared" si="17"/>
        <v>33.83</v>
      </c>
      <c r="BH30" s="53" t="str">
        <f t="shared" si="18"/>
        <v>OK</v>
      </c>
      <c r="BI30" s="148">
        <f t="shared" si="19"/>
        <v>0.17</v>
      </c>
      <c r="BJ30" s="155" t="str">
        <f t="shared" si="20"/>
        <v>17#5@15</v>
      </c>
      <c r="BK30" s="197">
        <f t="shared" si="21"/>
        <v>0.67839195979899514</v>
      </c>
      <c r="BL30" s="350"/>
      <c r="BM30" s="155">
        <f t="shared" si="22"/>
        <v>1.2250000000000001</v>
      </c>
      <c r="BN30" s="153">
        <f t="shared" si="23"/>
        <v>-137.94159999999999</v>
      </c>
      <c r="BO30" s="153">
        <f t="shared" si="24"/>
        <v>1034.8984072463768</v>
      </c>
      <c r="BP30" s="153">
        <f t="shared" si="25"/>
        <v>27.378264741967641</v>
      </c>
      <c r="BQ30" s="144">
        <v>10</v>
      </c>
      <c r="BR30" s="155" t="s">
        <v>191</v>
      </c>
      <c r="BS30" s="144">
        <v>6</v>
      </c>
      <c r="BT30" s="153">
        <f t="shared" si="26"/>
        <v>28.4</v>
      </c>
      <c r="BU30" s="153">
        <f t="shared" si="27"/>
        <v>1073.5199999999998</v>
      </c>
      <c r="BV30" s="53" t="str">
        <f t="shared" si="28"/>
        <v>OK</v>
      </c>
      <c r="BW30" s="122"/>
      <c r="BX30" s="350"/>
      <c r="BY30" s="153">
        <f t="shared" si="29"/>
        <v>28.4</v>
      </c>
      <c r="BZ30" s="153">
        <f t="shared" si="30"/>
        <v>1073.5199999999998</v>
      </c>
      <c r="CA30" s="155" t="str">
        <f t="shared" si="31"/>
        <v>OK</v>
      </c>
      <c r="CB30" s="153">
        <f t="shared" si="32"/>
        <v>114.04781828598674</v>
      </c>
      <c r="CC30" s="53" t="str">
        <f t="shared" si="33"/>
        <v>OK</v>
      </c>
      <c r="CE30" s="114"/>
      <c r="CF30" s="114"/>
      <c r="CG30" s="114"/>
      <c r="CH30" s="114"/>
      <c r="CI30" s="117"/>
      <c r="CJ30" s="350"/>
      <c r="CK30" s="153">
        <f t="shared" si="34"/>
        <v>161.58156645966767</v>
      </c>
      <c r="CL30" s="153">
        <f t="shared" si="56"/>
        <v>573.99386391816961</v>
      </c>
      <c r="CM30" s="150">
        <f t="shared" si="57"/>
        <v>0</v>
      </c>
      <c r="CN30" s="150">
        <f t="shared" si="35"/>
        <v>0</v>
      </c>
      <c r="CO30" s="53" t="str">
        <f t="shared" si="36"/>
        <v>OK</v>
      </c>
      <c r="CP30" s="158">
        <f t="shared" si="37"/>
        <v>27.378264741967641</v>
      </c>
      <c r="CQ30" s="144">
        <v>10</v>
      </c>
      <c r="CR30" s="155" t="s">
        <v>191</v>
      </c>
      <c r="CS30" s="144">
        <v>6</v>
      </c>
      <c r="CU30" s="117"/>
      <c r="CW30" s="350"/>
      <c r="CX30" s="111">
        <f t="shared" si="38"/>
        <v>273</v>
      </c>
      <c r="CY30" s="156">
        <f t="shared" si="39"/>
        <v>3</v>
      </c>
      <c r="CZ30" s="156">
        <f t="shared" si="40"/>
        <v>3.8</v>
      </c>
      <c r="DA30" s="140" t="str">
        <f t="shared" si="41"/>
        <v>17#5@15</v>
      </c>
      <c r="DB30" s="140" t="str">
        <f t="shared" si="42"/>
        <v>17#5@20</v>
      </c>
    </row>
    <row r="31" spans="1:106" ht="15" customHeight="1" x14ac:dyDescent="0.25">
      <c r="A31" s="123"/>
      <c r="B31" s="124"/>
      <c r="C31" s="188"/>
      <c r="D31" s="124"/>
      <c r="E31" s="124"/>
      <c r="F31" s="124"/>
      <c r="G31" s="124"/>
      <c r="H31" s="125"/>
      <c r="I31" s="124"/>
      <c r="J31" s="124"/>
      <c r="K31" s="124"/>
      <c r="L31" s="126"/>
      <c r="M31" s="349" t="str">
        <f>Y31</f>
        <v>Z1</v>
      </c>
      <c r="N31" s="143">
        <v>278</v>
      </c>
      <c r="O31" s="144" t="s">
        <v>803</v>
      </c>
      <c r="P31" s="145">
        <v>-4.9703999999999997</v>
      </c>
      <c r="Q31" s="145">
        <v>20.769400000000001</v>
      </c>
      <c r="R31" s="145">
        <v>469.56360000000001</v>
      </c>
      <c r="S31" s="145">
        <v>98.700299999999999</v>
      </c>
      <c r="T31" s="145">
        <v>17.002500000000001</v>
      </c>
      <c r="U31" s="145">
        <v>0.5</v>
      </c>
      <c r="V31" s="146">
        <f t="shared" si="43"/>
        <v>0.42499999999999999</v>
      </c>
      <c r="W31" s="147">
        <f>(AA31*AC31*U31+W69*X69*(U69-U31))*$T$8</f>
        <v>169.38</v>
      </c>
      <c r="X31" s="147">
        <f>(AA31*AC31-W69*X69)*(U69-U31)*$T$7</f>
        <v>324.435</v>
      </c>
      <c r="Y31" s="349" t="s">
        <v>698</v>
      </c>
      <c r="Z31" s="148">
        <f>IF(O31="Medianera",3*W69/2,MAX(6*AE31,SQRT(N69/$T$6),1))</f>
        <v>2.612853049042632</v>
      </c>
      <c r="AA31" s="149">
        <v>3.6</v>
      </c>
      <c r="AB31" s="148">
        <f t="shared" si="46"/>
        <v>2.612853049042632</v>
      </c>
      <c r="AC31" s="149">
        <v>3.6</v>
      </c>
      <c r="AD31" s="150">
        <f t="shared" si="47"/>
        <v>7.3301399885777009E-3</v>
      </c>
      <c r="AE31" s="150">
        <f t="shared" si="1"/>
        <v>0.14557008013256678</v>
      </c>
      <c r="AF31" s="53" t="str">
        <f t="shared" si="48"/>
        <v>OK</v>
      </c>
      <c r="AG31" s="53" t="str">
        <f t="shared" si="49"/>
        <v>OK</v>
      </c>
      <c r="AH31" s="155" t="str">
        <f t="shared" si="50"/>
        <v>Esquinera</v>
      </c>
      <c r="AI31" s="153">
        <f t="shared" si="51"/>
        <v>3.4250000000000003</v>
      </c>
      <c r="AJ31" s="153">
        <f>IF(OR(AH31="B",AH31="Esquinera"),AA31-W69/2,AA31/2)</f>
        <v>3.05</v>
      </c>
      <c r="AK31" s="152">
        <f t="shared" si="53"/>
        <v>0.66101473736469951</v>
      </c>
      <c r="AL31" s="150">
        <f t="shared" si="54"/>
        <v>467.24892093971698</v>
      </c>
      <c r="AM31" s="150">
        <f t="shared" si="55"/>
        <v>20.952107721740937</v>
      </c>
      <c r="AN31" s="349" t="str">
        <f>Y31</f>
        <v>Z1</v>
      </c>
      <c r="AO31" s="153">
        <f>N69/(AA31*AC31)*(AA31*AC31-(W69-V31)*(X69-V31))</f>
        <v>967.14179765624999</v>
      </c>
      <c r="AP31" s="153">
        <f t="shared" si="3"/>
        <v>2158.3197365702317</v>
      </c>
      <c r="AQ31" s="153">
        <f t="shared" si="4"/>
        <v>2477.8816975666809</v>
      </c>
      <c r="AR31" s="153">
        <f t="shared" si="5"/>
        <v>2560.3596874999807</v>
      </c>
      <c r="AS31" s="53" t="str">
        <f t="shared" si="6"/>
        <v>OK</v>
      </c>
      <c r="AT31" s="153">
        <f t="shared" si="7"/>
        <v>0.5</v>
      </c>
      <c r="AU31" s="150">
        <f>+N69/AA31*((AA31-W69)/2-V31)</f>
        <v>220.77426249999999</v>
      </c>
      <c r="AV31" s="153">
        <f t="shared" si="9"/>
        <v>321.12619999999998</v>
      </c>
      <c r="AW31" s="154">
        <f t="shared" si="10"/>
        <v>1032.2398740118501</v>
      </c>
      <c r="AX31" s="153">
        <f t="shared" si="11"/>
        <v>1032.2398740118501</v>
      </c>
      <c r="AY31" s="53" t="str">
        <f t="shared" si="12"/>
        <v>OK</v>
      </c>
      <c r="AZ31" s="349" t="str">
        <f>AN31</f>
        <v>Z1</v>
      </c>
      <c r="BA31" s="153">
        <f>SUM(N69/(2*AA31)*(AA31/2-W69/2)^2,P69)</f>
        <v>216.12823645833333</v>
      </c>
      <c r="BB31" s="153">
        <f t="shared" si="14"/>
        <v>369.30793533826022</v>
      </c>
      <c r="BC31" s="150">
        <f t="shared" si="15"/>
        <v>1.8E-3</v>
      </c>
      <c r="BD31" s="148">
        <f t="shared" si="16"/>
        <v>27.54</v>
      </c>
      <c r="BE31" s="144">
        <v>6</v>
      </c>
      <c r="BF31" s="144">
        <v>23</v>
      </c>
      <c r="BG31" s="155">
        <f t="shared" si="17"/>
        <v>65.319999999999993</v>
      </c>
      <c r="BH31" s="53" t="str">
        <f t="shared" si="18"/>
        <v>OK</v>
      </c>
      <c r="BI31" s="148">
        <f t="shared" si="19"/>
        <v>0.15</v>
      </c>
      <c r="BJ31" s="155" t="str">
        <f t="shared" si="20"/>
        <v>23#6@15</v>
      </c>
      <c r="BK31" s="197">
        <f t="shared" si="21"/>
        <v>0.42161665646050217</v>
      </c>
      <c r="BL31" s="349" t="str">
        <f>AZ31</f>
        <v>Z1</v>
      </c>
      <c r="BM31" s="155">
        <f t="shared" si="22"/>
        <v>1.2250000000000001</v>
      </c>
      <c r="BN31" s="153">
        <f t="shared" si="23"/>
        <v>140.23910000000001</v>
      </c>
      <c r="BO31" s="153">
        <f>IF(AT69="SÍ",(N69*(AA31-W69)-2*BN31)/(2*(BM31+U31)),0)</f>
        <v>616.80240579710141</v>
      </c>
      <c r="BP31" s="153">
        <f t="shared" si="25"/>
        <v>16.31752396288628</v>
      </c>
      <c r="BQ31" s="144">
        <v>10</v>
      </c>
      <c r="BR31" s="155" t="s">
        <v>191</v>
      </c>
      <c r="BS31" s="144">
        <v>6</v>
      </c>
      <c r="BT31" s="153">
        <f t="shared" si="26"/>
        <v>28.4</v>
      </c>
      <c r="BU31" s="153">
        <f t="shared" si="27"/>
        <v>1073.5199999999998</v>
      </c>
      <c r="BV31" s="53" t="str">
        <f t="shared" si="28"/>
        <v>OK</v>
      </c>
      <c r="BW31" s="122"/>
      <c r="BX31" s="349" t="str">
        <f>BL31</f>
        <v>Z1</v>
      </c>
      <c r="BY31" s="153">
        <f t="shared" si="29"/>
        <v>28.4</v>
      </c>
      <c r="BZ31" s="153">
        <f t="shared" si="30"/>
        <v>1073.5199999999998</v>
      </c>
      <c r="CA31" s="155" t="str">
        <f t="shared" si="31"/>
        <v>OK</v>
      </c>
      <c r="CB31" s="153">
        <f t="shared" si="32"/>
        <v>109.00905405056909</v>
      </c>
      <c r="CC31" s="53" t="str">
        <f t="shared" si="33"/>
        <v>OK</v>
      </c>
      <c r="CE31" s="114"/>
      <c r="CF31" s="114"/>
      <c r="CG31" s="114"/>
      <c r="CH31" s="114"/>
      <c r="CI31" s="117"/>
      <c r="CJ31" s="349" t="str">
        <f>BX31</f>
        <v>Z1</v>
      </c>
      <c r="CK31" s="153">
        <f t="shared" si="34"/>
        <v>140.41678238622333</v>
      </c>
      <c r="CL31" s="153">
        <f>IF(AT69="SÍ",(N69*(AA31-W69)/2*SQRT(2)/2-CK31)/(BM31+U31+BP69*BR69^2*BM31^2*AA31^4/(36*10^3*$O$8*V69)),0)</f>
        <v>319.38709308769018</v>
      </c>
      <c r="CM31" s="150">
        <f t="shared" si="57"/>
        <v>325.8891133434222</v>
      </c>
      <c r="CN31" s="150">
        <f t="shared" si="35"/>
        <v>-177.21957630638519</v>
      </c>
      <c r="CO31" s="53" t="str">
        <f t="shared" si="36"/>
        <v>N/C</v>
      </c>
      <c r="CP31" s="158">
        <f t="shared" si="37"/>
        <v>16.31752396288628</v>
      </c>
      <c r="CQ31" s="144">
        <v>10</v>
      </c>
      <c r="CR31" s="155" t="s">
        <v>191</v>
      </c>
      <c r="CS31" s="144">
        <v>6</v>
      </c>
      <c r="CU31" s="117"/>
      <c r="CW31" s="349" t="str">
        <f t="shared" ref="CW31" si="66">AZ31</f>
        <v>Z1</v>
      </c>
      <c r="CX31" s="111">
        <f t="shared" si="38"/>
        <v>278</v>
      </c>
      <c r="CY31" s="156">
        <f t="shared" si="39"/>
        <v>3.6</v>
      </c>
      <c r="CZ31" s="156">
        <f t="shared" si="40"/>
        <v>3.6</v>
      </c>
      <c r="DA31" s="140" t="str">
        <f t="shared" si="41"/>
        <v>23#6@15</v>
      </c>
      <c r="DB31" s="140" t="str">
        <f t="shared" si="42"/>
        <v>23#5@15</v>
      </c>
    </row>
    <row r="32" spans="1:106" ht="15" customHeight="1" x14ac:dyDescent="0.25">
      <c r="A32" s="123"/>
      <c r="B32" s="124"/>
      <c r="C32" s="188"/>
      <c r="D32" s="124"/>
      <c r="E32" s="124"/>
      <c r="F32" s="124"/>
      <c r="G32" s="124"/>
      <c r="H32" s="125"/>
      <c r="I32" s="124"/>
      <c r="J32" s="124"/>
      <c r="K32" s="124"/>
      <c r="L32" s="126"/>
      <c r="M32" s="350"/>
      <c r="N32" s="143">
        <v>278</v>
      </c>
      <c r="O32" s="144" t="s">
        <v>803</v>
      </c>
      <c r="P32" s="145">
        <v>-30.336600000000001</v>
      </c>
      <c r="Q32" s="145">
        <v>-21.773599999999998</v>
      </c>
      <c r="R32" s="145">
        <v>441.03050000000002</v>
      </c>
      <c r="S32" s="145">
        <v>-97.218299999999999</v>
      </c>
      <c r="T32" s="145">
        <v>-77.280199999999994</v>
      </c>
      <c r="U32" s="145">
        <v>0.5</v>
      </c>
      <c r="V32" s="146">
        <f t="shared" si="43"/>
        <v>0.42499999999999999</v>
      </c>
      <c r="W32" s="147">
        <f t="shared" si="44"/>
        <v>169.38</v>
      </c>
      <c r="X32" s="147">
        <f t="shared" si="45"/>
        <v>324.435</v>
      </c>
      <c r="Y32" s="350"/>
      <c r="Z32" s="148">
        <f t="shared" si="0"/>
        <v>2.5738688178779205</v>
      </c>
      <c r="AA32" s="149">
        <v>3.6</v>
      </c>
      <c r="AB32" s="148">
        <f t="shared" si="46"/>
        <v>2.5738688178779205</v>
      </c>
      <c r="AC32" s="149">
        <v>3.6</v>
      </c>
      <c r="AD32" s="150">
        <f t="shared" si="47"/>
        <v>-0.14756812756760343</v>
      </c>
      <c r="AE32" s="150">
        <f t="shared" si="1"/>
        <v>-0.1505762182093191</v>
      </c>
      <c r="AF32" s="53" t="str">
        <f t="shared" si="48"/>
        <v>OK</v>
      </c>
      <c r="AG32" s="53" t="str">
        <f t="shared" si="49"/>
        <v>OK</v>
      </c>
      <c r="AH32" s="155" t="str">
        <f t="shared" si="50"/>
        <v>Esquinera</v>
      </c>
      <c r="AI32" s="153">
        <f t="shared" si="51"/>
        <v>3.4250000000000003</v>
      </c>
      <c r="AJ32" s="153">
        <f t="shared" si="52"/>
        <v>3.05</v>
      </c>
      <c r="AK32" s="152">
        <f t="shared" si="53"/>
        <v>0.76517840574837437</v>
      </c>
      <c r="AL32" s="150">
        <f t="shared" si="54"/>
        <v>-23.209618882173256</v>
      </c>
      <c r="AM32" s="150">
        <f t="shared" si="55"/>
        <v>-20.255522660026777</v>
      </c>
      <c r="AN32" s="350"/>
      <c r="AO32" s="153">
        <f t="shared" si="2"/>
        <v>938.497240234375</v>
      </c>
      <c r="AP32" s="153">
        <f t="shared" si="3"/>
        <v>2158.3197365702317</v>
      </c>
      <c r="AQ32" s="153">
        <f t="shared" si="4"/>
        <v>2477.8816975666809</v>
      </c>
      <c r="AR32" s="153">
        <f t="shared" si="5"/>
        <v>2560.3596874999807</v>
      </c>
      <c r="AS32" s="53" t="str">
        <f t="shared" si="6"/>
        <v>OK</v>
      </c>
      <c r="AT32" s="153">
        <f t="shared" si="7"/>
        <v>0.5</v>
      </c>
      <c r="AU32" s="150">
        <f t="shared" si="8"/>
        <v>214.23542708333329</v>
      </c>
      <c r="AV32" s="153">
        <f t="shared" si="9"/>
        <v>311.6151666666666</v>
      </c>
      <c r="AW32" s="154">
        <f t="shared" si="10"/>
        <v>1032.2398740118501</v>
      </c>
      <c r="AX32" s="153">
        <f t="shared" si="11"/>
        <v>1032.2398740118501</v>
      </c>
      <c r="AY32" s="53" t="str">
        <f t="shared" si="12"/>
        <v>OK</v>
      </c>
      <c r="AZ32" s="350"/>
      <c r="BA32" s="153">
        <f t="shared" si="13"/>
        <v>64.921057465277755</v>
      </c>
      <c r="BB32" s="153">
        <f t="shared" si="14"/>
        <v>110.93349987659063</v>
      </c>
      <c r="BC32" s="150">
        <f t="shared" si="15"/>
        <v>1.8E-3</v>
      </c>
      <c r="BD32" s="148">
        <f t="shared" si="16"/>
        <v>27.54</v>
      </c>
      <c r="BE32" s="144">
        <v>6</v>
      </c>
      <c r="BF32" s="144">
        <v>23</v>
      </c>
      <c r="BG32" s="155">
        <f t="shared" si="17"/>
        <v>65.319999999999993</v>
      </c>
      <c r="BH32" s="53" t="str">
        <f t="shared" si="18"/>
        <v>OK</v>
      </c>
      <c r="BI32" s="148">
        <f t="shared" si="19"/>
        <v>0.15</v>
      </c>
      <c r="BJ32" s="155" t="str">
        <f t="shared" si="20"/>
        <v>23#6@15</v>
      </c>
      <c r="BK32" s="197">
        <f t="shared" si="21"/>
        <v>0.42161665646050217</v>
      </c>
      <c r="BL32" s="350"/>
      <c r="BM32" s="155">
        <f t="shared" si="22"/>
        <v>1.2250000000000001</v>
      </c>
      <c r="BN32" s="153">
        <f t="shared" si="23"/>
        <v>-140.7655</v>
      </c>
      <c r="BO32" s="153">
        <f t="shared" si="24"/>
        <v>759.02746376811569</v>
      </c>
      <c r="BP32" s="153">
        <f t="shared" si="25"/>
        <v>20.080091634077135</v>
      </c>
      <c r="BQ32" s="144">
        <v>10</v>
      </c>
      <c r="BR32" s="155" t="s">
        <v>191</v>
      </c>
      <c r="BS32" s="144">
        <v>6</v>
      </c>
      <c r="BT32" s="153">
        <f t="shared" si="26"/>
        <v>28.4</v>
      </c>
      <c r="BU32" s="153">
        <f t="shared" si="27"/>
        <v>1073.5199999999998</v>
      </c>
      <c r="BV32" s="53" t="str">
        <f t="shared" si="28"/>
        <v>OK</v>
      </c>
      <c r="BW32" s="122"/>
      <c r="BX32" s="350"/>
      <c r="BY32" s="153">
        <f t="shared" si="29"/>
        <v>28.4</v>
      </c>
      <c r="BZ32" s="153">
        <f t="shared" si="30"/>
        <v>1073.5199999999998</v>
      </c>
      <c r="CA32" s="155" t="str">
        <f t="shared" si="31"/>
        <v>OK</v>
      </c>
      <c r="CB32" s="153">
        <f t="shared" si="32"/>
        <v>109.97457488671176</v>
      </c>
      <c r="CC32" s="53" t="str">
        <f t="shared" si="33"/>
        <v>OK</v>
      </c>
      <c r="CE32" s="114"/>
      <c r="CF32" s="114"/>
      <c r="CG32" s="114"/>
      <c r="CH32" s="114"/>
      <c r="CI32" s="117"/>
      <c r="CJ32" s="350"/>
      <c r="CK32" s="153">
        <f t="shared" si="34"/>
        <v>197.09405511534337</v>
      </c>
      <c r="CL32" s="153">
        <f t="shared" si="56"/>
        <v>282.60323993140111</v>
      </c>
      <c r="CM32" s="150">
        <f t="shared" si="57"/>
        <v>294.71593856295607</v>
      </c>
      <c r="CN32" s="150">
        <f t="shared" si="35"/>
        <v>-150.44965769875853</v>
      </c>
      <c r="CO32" s="53" t="str">
        <f t="shared" si="36"/>
        <v>N/C</v>
      </c>
      <c r="CP32" s="158">
        <f t="shared" si="37"/>
        <v>20.080091634077135</v>
      </c>
      <c r="CQ32" s="144">
        <v>10</v>
      </c>
      <c r="CR32" s="155" t="s">
        <v>191</v>
      </c>
      <c r="CS32" s="144">
        <v>6</v>
      </c>
      <c r="CU32" s="117"/>
      <c r="CW32" s="350"/>
      <c r="CX32" s="111">
        <f t="shared" si="38"/>
        <v>278</v>
      </c>
      <c r="CY32" s="156">
        <f t="shared" si="39"/>
        <v>3.6</v>
      </c>
      <c r="CZ32" s="156">
        <f t="shared" si="40"/>
        <v>3.6</v>
      </c>
      <c r="DA32" s="140" t="str">
        <f t="shared" si="41"/>
        <v>23#6@15</v>
      </c>
      <c r="DB32" s="140" t="str">
        <f t="shared" si="42"/>
        <v>23#5@15</v>
      </c>
    </row>
    <row r="33" spans="1:106" ht="15" customHeight="1" x14ac:dyDescent="0.25">
      <c r="A33" s="123"/>
      <c r="B33" s="124"/>
      <c r="C33" s="188"/>
      <c r="D33" s="124"/>
      <c r="E33" s="124"/>
      <c r="F33" s="124"/>
      <c r="G33" s="124"/>
      <c r="H33" s="125"/>
      <c r="I33" s="124"/>
      <c r="J33" s="124"/>
      <c r="K33" s="124"/>
      <c r="L33" s="126"/>
      <c r="M33" s="349" t="str">
        <f>Y33</f>
        <v>Z2</v>
      </c>
      <c r="N33" s="143">
        <v>283</v>
      </c>
      <c r="O33" s="144" t="s">
        <v>802</v>
      </c>
      <c r="P33" s="145">
        <v>61.618000000000002</v>
      </c>
      <c r="Q33" s="145">
        <v>7.1501000000000001</v>
      </c>
      <c r="R33" s="145">
        <v>348.40140000000002</v>
      </c>
      <c r="S33" s="145">
        <v>3.9824999999999999</v>
      </c>
      <c r="T33" s="145">
        <v>338.41950000000003</v>
      </c>
      <c r="U33" s="145">
        <v>0.5</v>
      </c>
      <c r="V33" s="146">
        <f t="shared" ref="V33:V36" si="67">+U33-0.075</f>
        <v>0.42499999999999999</v>
      </c>
      <c r="W33" s="147">
        <f t="shared" ref="W33:W36" si="68">(AA33*AC33*U33+W71*X71*(U71-U33))*$T$8</f>
        <v>219.78000000000003</v>
      </c>
      <c r="X33" s="147">
        <f t="shared" ref="X33:X36" si="69">(AA33*AC33-W71*X71)*(U71-U33)*$T$7</f>
        <v>432.79499999999996</v>
      </c>
      <c r="Y33" s="349" t="s">
        <v>838</v>
      </c>
      <c r="Z33" s="148">
        <f t="shared" ref="Z33:Z36" si="70">IF(O33="Medianera",3*W71/2,MAX(6*AE33,SQRT(N71/$T$6),1))</f>
        <v>1.6500000000000001</v>
      </c>
      <c r="AA33" s="149">
        <v>4.4000000000000004</v>
      </c>
      <c r="AB33" s="148">
        <f t="shared" ref="AB33:AB36" si="71">IF(O33="Medianera",2*N71/(AA33*$T$6),MAX(Z33,AD33*6,1))</f>
        <v>3.2242902689849462</v>
      </c>
      <c r="AC33" s="149">
        <v>3.9</v>
      </c>
      <c r="AD33" s="150">
        <f t="shared" ref="AD33:AD36" si="72">P71/N71</f>
        <v>0.46120517926296767</v>
      </c>
      <c r="AE33" s="150">
        <f t="shared" ref="AE33:AE36" si="73">O71/N71</f>
        <v>1.8264866184657298E-2</v>
      </c>
      <c r="AF33" s="53" t="str">
        <f t="shared" ref="AF33:AF36" si="74">IF(AD33&gt;AC33/6,"N/C","OK")</f>
        <v>OK</v>
      </c>
      <c r="AG33" s="53" t="str">
        <f t="shared" ref="AG33:AG36" si="75">IF(AE33&gt;AA33/6,"N/C","OK")</f>
        <v>OK</v>
      </c>
      <c r="AH33" s="155" t="s">
        <v>147</v>
      </c>
      <c r="AI33" s="153">
        <f t="shared" ref="AI33:AI36" si="76">IF(OR(AH33="L",AH33="Esquinera"),AC33-X71/2,AC33/2)</f>
        <v>3.7250000000000001</v>
      </c>
      <c r="AJ33" s="153">
        <f t="shared" ref="AJ33:AJ36" si="77">IF(OR(AH33="B",AH33="Esquinera"),AA33-W71/2,AA33/2)</f>
        <v>2.2000000000000002</v>
      </c>
      <c r="AK33" s="152">
        <f t="shared" si="53"/>
        <v>0.71697181289644973</v>
      </c>
      <c r="AL33" s="150">
        <f t="shared" si="54"/>
        <v>8.0766655872181747</v>
      </c>
      <c r="AM33" s="150">
        <f t="shared" si="55"/>
        <v>120.44982852642119</v>
      </c>
      <c r="AN33" s="349" t="str">
        <f t="shared" ref="AN33" si="78">Y33</f>
        <v>Z2</v>
      </c>
      <c r="AO33" s="153">
        <f t="shared" ref="AO33:AO36" si="79">N71/(AA33*AC33)*(AA33*AC33-(W71-V33)*(X71-V33))</f>
        <v>1003.9294553758741</v>
      </c>
      <c r="AP33" s="153">
        <f t="shared" ref="AP33:AP36" si="80">0.75*0.17*(1+2/R71)*SQRT($O$6)*T71*V33*(1000^2)/(10^3)</f>
        <v>2158.3197365702317</v>
      </c>
      <c r="AQ33" s="153">
        <f t="shared" ref="AQ33:AQ36" si="81">0.75*0.083*(Q71*V33/T71+2)*SQRT($O$6)*T71*V33*(1000^2)/(10^3)</f>
        <v>3072.853291615178</v>
      </c>
      <c r="AR33" s="153">
        <f t="shared" ref="AR33:AR36" si="82">0.75*0.33*SQRT($O$6)*T71*V33*(1000^2)/(10^3)</f>
        <v>2560.3596874999807</v>
      </c>
      <c r="AS33" s="53" t="str">
        <f t="shared" ref="AS33:AS36" si="83">IF(AO33&lt;MIN(AP33:AR33),"OK","N/C")</f>
        <v>OK</v>
      </c>
      <c r="AT33" s="153">
        <f t="shared" ref="AT33:AT36" si="84">IF(AS33&lt;&gt;"OK",AO33*10^3/(1000^2*0.75*0.33*SQRT($O$6)*T71)+0.075,V33+0.075)</f>
        <v>0.5</v>
      </c>
      <c r="AU33" s="150">
        <f t="shared" ref="AU33:AU36" si="85">+N71/AA33*((AA33-W71)/2-V33)</f>
        <v>278.68092954545455</v>
      </c>
      <c r="AV33" s="153">
        <f t="shared" ref="AV33:AV36" si="86">+N71/AC33*((AC33-X71)/2-V33)</f>
        <v>346.49183076923072</v>
      </c>
      <c r="AW33" s="154">
        <f t="shared" ref="AW33:AW36" si="87">0.75*0.17*SQRT($O$6)*AA33*V33*(1000^2/10^3)</f>
        <v>1261.6265126811504</v>
      </c>
      <c r="AX33" s="153">
        <f t="shared" ref="AX33:AX36" si="88">0.75*0.17*SQRT($O$6)*AC33*V33*(1000^2/10^3)</f>
        <v>1118.2598635128377</v>
      </c>
      <c r="AY33" s="53" t="str">
        <f t="shared" ref="AY33:AY36" si="89">IF(AND(AU33&lt;AW33,AV33&lt;AX33),"OK","N/C")</f>
        <v>OK</v>
      </c>
      <c r="AZ33" s="349" t="str">
        <f>AN33</f>
        <v>Z2</v>
      </c>
      <c r="BA33" s="153">
        <f t="shared" ref="BA33:BA36" si="90">SUM(N71/(2*AA33)*(AA33/2-W71/2)^2,P71)</f>
        <v>771.33257375000005</v>
      </c>
      <c r="BB33" s="153">
        <f t="shared" ref="BB33:BB36" si="91">BA33/(0.9*AA33*V33^2)</f>
        <v>1078.3720579497397</v>
      </c>
      <c r="BC33" s="150">
        <f t="shared" ref="BC33:BC36" si="92">MAX(0.85*$O$6/$O$7*(1-SQRT(1-2*BB33/(0.85*$O$6*10^3))),0.0018)</f>
        <v>2.6285150917597969E-3</v>
      </c>
      <c r="BD33" s="148">
        <f t="shared" ref="BD33:BD36" si="93">+BC33*AA33*V33*100^2</f>
        <v>49.153232215908204</v>
      </c>
      <c r="BE33" s="144">
        <v>6</v>
      </c>
      <c r="BF33" s="144">
        <v>25</v>
      </c>
      <c r="BG33" s="155">
        <f t="shared" ref="BG33:BG36" si="94">VLOOKUP(BE33,$N$91:$T$102,7,)*BF33</f>
        <v>71</v>
      </c>
      <c r="BH33" s="53" t="str">
        <f t="shared" ref="BH33:BH36" si="95">IF(BG33&gt;=BD33,"OK","N/C")</f>
        <v>OK</v>
      </c>
      <c r="BI33" s="148">
        <f t="shared" ref="BI33:BI36" si="96">ROUND((AA33-2*0.075)/BF33,2)</f>
        <v>0.17</v>
      </c>
      <c r="BJ33" s="155" t="str">
        <f t="shared" ref="BJ33:BJ36" si="97">BF33&amp;"#"&amp;BE33&amp;"@"&amp;ROUNDDOWN(BI33*100/5,0)*5</f>
        <v>25#6@15</v>
      </c>
      <c r="BK33" s="197">
        <f t="shared" ref="BK33:BK36" si="98">BD33/BG33</f>
        <v>0.69229904529448172</v>
      </c>
      <c r="BL33" s="349" t="str">
        <f>AZ33</f>
        <v>Z2</v>
      </c>
      <c r="BM33" s="155">
        <f t="shared" ref="BM33:BM36" si="99">IF(AT71="SÍ",U71-U33-AX71/2,0)</f>
        <v>1.2250000000000001</v>
      </c>
      <c r="BN33" s="153">
        <f t="shared" ref="BN33:BN36" si="100">IF(AT71="SÍ",O71,0)</f>
        <v>18.282699999999998</v>
      </c>
      <c r="BO33" s="153">
        <f t="shared" ref="BO33:BO36" si="101">IF(AT71="SÍ",(N71*(AA33-W71)-2*BN33)/(2*(BM33+U33)),0)</f>
        <v>946.85702028985509</v>
      </c>
      <c r="BP33" s="153">
        <f t="shared" ref="BP33:BP36" si="102">MAX(0.0033*2*AY71*(AW71-0.04)*100^2,0.0033*AY71*AW71*100^2,BO33*100^2/(0.9*10^3*$O$7))</f>
        <v>25.049127520895638</v>
      </c>
      <c r="BQ33" s="144">
        <v>10</v>
      </c>
      <c r="BR33" s="155" t="s">
        <v>191</v>
      </c>
      <c r="BS33" s="144">
        <v>6</v>
      </c>
      <c r="BT33" s="153">
        <f t="shared" ref="BT33:BT36" si="103">BQ33*VLOOKUP(BS33,$N$91:$T$102,7,)</f>
        <v>28.4</v>
      </c>
      <c r="BU33" s="153">
        <f t="shared" ref="BU33:BU36" si="104">0.9*$O$7*BT33*10^3/(100^2)</f>
        <v>1073.5199999999998</v>
      </c>
      <c r="BV33" s="53" t="str">
        <f t="shared" ref="BV33:BV36" si="105">IF(AND(BU33&gt;=BO33,BT33&gt;=BP33),"OK","N/C")</f>
        <v>OK</v>
      </c>
      <c r="BW33" s="122"/>
      <c r="BX33" s="349" t="str">
        <f>BL33</f>
        <v>Z2</v>
      </c>
      <c r="BY33" s="153">
        <f t="shared" ref="BY33:BY36" si="106">BU71*VLOOKUP(BW71,$N$91:$T$102,7,)</f>
        <v>28.4</v>
      </c>
      <c r="BZ33" s="153">
        <f t="shared" ref="BZ33:BZ36" si="107">0.9*$O$7*BY33*10^3/(100^2)</f>
        <v>1073.5199999999998</v>
      </c>
      <c r="CA33" s="155" t="str">
        <f t="shared" ref="CA33:CA36" si="108">IF(AND(BZ33&gt;=BS71,BY33&gt;=BT71),"OK","N/C")</f>
        <v>OK</v>
      </c>
      <c r="CB33" s="153">
        <f t="shared" ref="CB33:CB36" si="109">N71/(AA33*AC33)+BP71*BR71^2*BM33^2*AA33*BS71/(6*10^3*$O$8*V71)</f>
        <v>93.775448621970185</v>
      </c>
      <c r="CC33" s="53" t="str">
        <f t="shared" ref="CC33:CC36" si="110">IF(AND(CB33&lt;=$T$6,CB33&gt;0),"OK","N/C")</f>
        <v>OK</v>
      </c>
      <c r="CE33" s="114"/>
      <c r="CF33" s="114"/>
      <c r="CG33" s="114"/>
      <c r="CH33" s="114"/>
      <c r="CI33" s="117"/>
      <c r="CJ33" s="349" t="str">
        <f>BX33</f>
        <v>Z2</v>
      </c>
      <c r="CK33" s="153">
        <f t="shared" ref="CK33:CK36" si="111">SQRT(O71^2+P71^2)</f>
        <v>462.0173782440873</v>
      </c>
      <c r="CL33" s="153">
        <f t="shared" ref="CL33:CL36" si="112">IF(AT71="SÍ",(N71*(AA33-W71)/2*SQRT(2)/2-CK33)/(BM33+U33+BP71*BR71^2*BM33^2*AA33^4/(36*10^3*$O$8*V71)),0)</f>
        <v>244.08577804946577</v>
      </c>
      <c r="CM33" s="150">
        <f t="shared" ref="CM33:CM36" si="113">IF(O33="Esquinera",N71/(AA33^2)+BP71*AA33*SQRT(2)*BR71^2*AC33^2*CL33/(6*10^3*$O$8*V71),0)</f>
        <v>0</v>
      </c>
      <c r="CN33" s="150">
        <f t="shared" ref="CN33:CN36" si="114">IF(O33="Esquinera",N71/(AA33^2)-BP71*AA33*SQRT(2)*BR71^2*AC33^2*CL33/(6*10^3*$O$8*V71),0)</f>
        <v>0</v>
      </c>
      <c r="CO33" s="53" t="str">
        <f t="shared" ref="CO33:CO36" si="115">IF(AND(CM33&lt;=$T$6,CN33&gt;=0),"OK","N/C")</f>
        <v>OK</v>
      </c>
      <c r="CP33" s="158">
        <f t="shared" ref="CP33:CP36" si="116">BT71</f>
        <v>25.049127520895638</v>
      </c>
      <c r="CQ33" s="144">
        <v>10</v>
      </c>
      <c r="CR33" s="155" t="s">
        <v>191</v>
      </c>
      <c r="CS33" s="144">
        <v>6</v>
      </c>
      <c r="CU33" s="117"/>
      <c r="CW33" s="349" t="str">
        <f t="shared" ref="CW33" si="117">AZ33</f>
        <v>Z2</v>
      </c>
      <c r="CX33" s="111">
        <f t="shared" ref="CX33:CX36" si="118">N33</f>
        <v>283</v>
      </c>
      <c r="CY33" s="156">
        <f t="shared" ref="CY33:CY36" si="119">AA33</f>
        <v>4.4000000000000004</v>
      </c>
      <c r="CZ33" s="156">
        <f t="shared" ref="CZ33:CZ36" si="120">AC33</f>
        <v>3.9</v>
      </c>
      <c r="DA33" s="140" t="str">
        <f t="shared" ref="DA33:DA36" si="121">BJ33</f>
        <v>25#6@15</v>
      </c>
      <c r="DB33" s="140" t="str">
        <f t="shared" ref="DB33:DB36" si="122">BJ71</f>
        <v>23#5@15</v>
      </c>
    </row>
    <row r="34" spans="1:106" ht="15" customHeight="1" x14ac:dyDescent="0.25">
      <c r="A34" s="123"/>
      <c r="B34" s="124"/>
      <c r="C34" s="188"/>
      <c r="D34" s="124"/>
      <c r="E34" s="124"/>
      <c r="F34" s="124"/>
      <c r="G34" s="124"/>
      <c r="H34" s="125"/>
      <c r="I34" s="124"/>
      <c r="J34" s="124"/>
      <c r="K34" s="124"/>
      <c r="L34" s="126"/>
      <c r="M34" s="350"/>
      <c r="N34" s="143">
        <v>283</v>
      </c>
      <c r="O34" s="144" t="s">
        <v>802</v>
      </c>
      <c r="P34" s="145">
        <v>-112.0235</v>
      </c>
      <c r="Q34" s="145">
        <v>1.5266</v>
      </c>
      <c r="R34" s="145">
        <v>295.04109999999997</v>
      </c>
      <c r="S34" s="145">
        <v>-18.546600000000002</v>
      </c>
      <c r="T34" s="145">
        <v>-427.84780000000001</v>
      </c>
      <c r="U34" s="145">
        <v>0.5</v>
      </c>
      <c r="V34" s="146">
        <f t="shared" si="67"/>
        <v>0.42499999999999999</v>
      </c>
      <c r="W34" s="147">
        <f t="shared" si="68"/>
        <v>219.78000000000003</v>
      </c>
      <c r="X34" s="147">
        <f t="shared" si="69"/>
        <v>432.79499999999996</v>
      </c>
      <c r="Y34" s="350"/>
      <c r="Z34" s="148">
        <f t="shared" si="70"/>
        <v>1.6500000000000001</v>
      </c>
      <c r="AA34" s="149">
        <v>4.4000000000000004</v>
      </c>
      <c r="AB34" s="148">
        <f t="shared" si="71"/>
        <v>3.052408997817996</v>
      </c>
      <c r="AC34" s="149">
        <v>3.9</v>
      </c>
      <c r="AD34" s="150">
        <f t="shared" si="72"/>
        <v>-0.68793132577633498</v>
      </c>
      <c r="AE34" s="150">
        <f t="shared" si="73"/>
        <v>-1.6349869952610559E-2</v>
      </c>
      <c r="AF34" s="53" t="str">
        <f t="shared" si="74"/>
        <v>OK</v>
      </c>
      <c r="AG34" s="53" t="str">
        <f t="shared" si="75"/>
        <v>OK</v>
      </c>
      <c r="AH34" s="155" t="s">
        <v>147</v>
      </c>
      <c r="AI34" s="153">
        <f t="shared" si="76"/>
        <v>3.7250000000000001</v>
      </c>
      <c r="AJ34" s="153">
        <f t="shared" si="77"/>
        <v>2.2000000000000002</v>
      </c>
      <c r="AK34" s="152">
        <f t="shared" si="53"/>
        <v>0.81423055529694455</v>
      </c>
      <c r="AL34" s="150">
        <f t="shared" si="54"/>
        <v>-5.4147846746131432</v>
      </c>
      <c r="AM34" s="150">
        <f t="shared" si="55"/>
        <v>-134.55764519085545</v>
      </c>
      <c r="AN34" s="350"/>
      <c r="AO34" s="153">
        <f t="shared" si="79"/>
        <v>950.41173316215031</v>
      </c>
      <c r="AP34" s="153">
        <f t="shared" si="80"/>
        <v>2158.3197365702317</v>
      </c>
      <c r="AQ34" s="153">
        <f t="shared" si="81"/>
        <v>3072.853291615178</v>
      </c>
      <c r="AR34" s="153">
        <f t="shared" si="82"/>
        <v>2560.3596874999807</v>
      </c>
      <c r="AS34" s="53" t="str">
        <f t="shared" si="83"/>
        <v>OK</v>
      </c>
      <c r="AT34" s="153">
        <f t="shared" si="84"/>
        <v>0.5</v>
      </c>
      <c r="AU34" s="150">
        <f t="shared" si="85"/>
        <v>263.82493693181817</v>
      </c>
      <c r="AV34" s="153">
        <f t="shared" si="86"/>
        <v>328.02095769230766</v>
      </c>
      <c r="AW34" s="154">
        <f t="shared" si="87"/>
        <v>1261.6265126811504</v>
      </c>
      <c r="AX34" s="153">
        <f t="shared" si="88"/>
        <v>1118.2598635128377</v>
      </c>
      <c r="AY34" s="53" t="str">
        <f t="shared" si="89"/>
        <v>OK</v>
      </c>
      <c r="AZ34" s="350"/>
      <c r="BA34" s="153">
        <f t="shared" si="90"/>
        <v>-358.72606906250002</v>
      </c>
      <c r="BB34" s="153">
        <f t="shared" si="91"/>
        <v>-501.52188887141313</v>
      </c>
      <c r="BC34" s="150">
        <f t="shared" si="92"/>
        <v>1.8E-3</v>
      </c>
      <c r="BD34" s="148">
        <f t="shared" si="93"/>
        <v>33.660000000000004</v>
      </c>
      <c r="BE34" s="144">
        <v>6</v>
      </c>
      <c r="BF34" s="144">
        <v>25</v>
      </c>
      <c r="BG34" s="155">
        <f t="shared" si="94"/>
        <v>71</v>
      </c>
      <c r="BH34" s="53" t="str">
        <f t="shared" si="95"/>
        <v>OK</v>
      </c>
      <c r="BI34" s="148">
        <f t="shared" si="96"/>
        <v>0.17</v>
      </c>
      <c r="BJ34" s="155" t="str">
        <f t="shared" si="97"/>
        <v>25#6@15</v>
      </c>
      <c r="BK34" s="197">
        <f t="shared" si="98"/>
        <v>0.47408450704225358</v>
      </c>
      <c r="BL34" s="350"/>
      <c r="BM34" s="155">
        <f t="shared" si="99"/>
        <v>1.2250000000000001</v>
      </c>
      <c r="BN34" s="153">
        <f t="shared" si="100"/>
        <v>-15.493400000000001</v>
      </c>
      <c r="BO34" s="153">
        <f t="shared" si="101"/>
        <v>915.39708115942028</v>
      </c>
      <c r="BP34" s="153">
        <f t="shared" si="102"/>
        <v>24.216853998926464</v>
      </c>
      <c r="BQ34" s="144">
        <v>10</v>
      </c>
      <c r="BR34" s="155" t="s">
        <v>191</v>
      </c>
      <c r="BS34" s="144">
        <v>6</v>
      </c>
      <c r="BT34" s="153">
        <f t="shared" si="103"/>
        <v>28.4</v>
      </c>
      <c r="BU34" s="153">
        <f t="shared" si="104"/>
        <v>1073.5199999999998</v>
      </c>
      <c r="BV34" s="53" t="str">
        <f t="shared" si="105"/>
        <v>OK</v>
      </c>
      <c r="BW34" s="122"/>
      <c r="BX34" s="350"/>
      <c r="BY34" s="153">
        <f t="shared" si="106"/>
        <v>28.4</v>
      </c>
      <c r="BZ34" s="153">
        <f t="shared" si="107"/>
        <v>1073.5199999999998</v>
      </c>
      <c r="CA34" s="155" t="str">
        <f t="shared" si="108"/>
        <v>OK</v>
      </c>
      <c r="CB34" s="153">
        <f t="shared" si="109"/>
        <v>121.21113686245488</v>
      </c>
      <c r="CC34" s="53" t="str">
        <f t="shared" si="110"/>
        <v>OK</v>
      </c>
      <c r="CE34" s="114"/>
      <c r="CF34" s="114"/>
      <c r="CG34" s="114"/>
      <c r="CH34" s="114"/>
      <c r="CI34" s="117"/>
      <c r="CJ34" s="350"/>
      <c r="CK34" s="153">
        <f t="shared" si="111"/>
        <v>652.07888764366544</v>
      </c>
      <c r="CL34" s="153">
        <f t="shared" si="112"/>
        <v>156.83282105227843</v>
      </c>
      <c r="CM34" s="150">
        <f t="shared" si="113"/>
        <v>0</v>
      </c>
      <c r="CN34" s="150">
        <f t="shared" si="114"/>
        <v>0</v>
      </c>
      <c r="CO34" s="53" t="str">
        <f t="shared" si="115"/>
        <v>OK</v>
      </c>
      <c r="CP34" s="158">
        <f t="shared" si="116"/>
        <v>24.216853998926464</v>
      </c>
      <c r="CQ34" s="144">
        <v>10</v>
      </c>
      <c r="CR34" s="155" t="s">
        <v>191</v>
      </c>
      <c r="CS34" s="144">
        <v>6</v>
      </c>
      <c r="CU34" s="117"/>
      <c r="CW34" s="350"/>
      <c r="CX34" s="111">
        <f t="shared" si="118"/>
        <v>283</v>
      </c>
      <c r="CY34" s="156">
        <f t="shared" si="119"/>
        <v>4.4000000000000004</v>
      </c>
      <c r="CZ34" s="156">
        <f t="shared" si="120"/>
        <v>3.9</v>
      </c>
      <c r="DA34" s="140" t="str">
        <f t="shared" si="121"/>
        <v>25#6@15</v>
      </c>
      <c r="DB34" s="140" t="str">
        <f t="shared" si="122"/>
        <v>23#5@15</v>
      </c>
    </row>
    <row r="35" spans="1:106" ht="15" customHeight="1" x14ac:dyDescent="0.25">
      <c r="A35" s="123"/>
      <c r="B35" s="124"/>
      <c r="C35" s="188"/>
      <c r="D35" s="124"/>
      <c r="E35" s="124"/>
      <c r="F35" s="124"/>
      <c r="G35" s="124"/>
      <c r="H35" s="125"/>
      <c r="I35" s="124"/>
      <c r="J35" s="124"/>
      <c r="K35" s="124"/>
      <c r="L35" s="126"/>
      <c r="M35" s="349" t="str">
        <f>Y35</f>
        <v>Z1</v>
      </c>
      <c r="N35" s="143">
        <v>288</v>
      </c>
      <c r="O35" s="144" t="s">
        <v>803</v>
      </c>
      <c r="P35" s="145">
        <v>93.5655</v>
      </c>
      <c r="Q35" s="145">
        <v>7.8818000000000001</v>
      </c>
      <c r="R35" s="145">
        <v>537.91679999999997</v>
      </c>
      <c r="S35" s="145">
        <v>2.0383</v>
      </c>
      <c r="T35" s="145">
        <v>394.84620000000001</v>
      </c>
      <c r="U35" s="145">
        <v>0.5</v>
      </c>
      <c r="V35" s="146">
        <f t="shared" si="67"/>
        <v>0.42499999999999999</v>
      </c>
      <c r="W35" s="147">
        <f t="shared" si="68"/>
        <v>169.38</v>
      </c>
      <c r="X35" s="147">
        <f t="shared" si="69"/>
        <v>324.435</v>
      </c>
      <c r="Y35" s="349" t="s">
        <v>698</v>
      </c>
      <c r="Z35" s="148">
        <f t="shared" si="70"/>
        <v>2.7039577156246661</v>
      </c>
      <c r="AA35" s="149">
        <v>3.6</v>
      </c>
      <c r="AB35" s="148">
        <f t="shared" si="71"/>
        <v>3.3844679402146958</v>
      </c>
      <c r="AC35" s="149">
        <v>3.6</v>
      </c>
      <c r="AD35" s="150">
        <f t="shared" si="72"/>
        <v>0.56407799003578263</v>
      </c>
      <c r="AE35" s="150">
        <f t="shared" si="73"/>
        <v>1.7254387235132229E-2</v>
      </c>
      <c r="AF35" s="53" t="str">
        <f t="shared" si="74"/>
        <v>OK</v>
      </c>
      <c r="AG35" s="53" t="str">
        <f t="shared" si="75"/>
        <v>OK</v>
      </c>
      <c r="AH35" s="155" t="str">
        <f t="shared" si="50"/>
        <v>Esquinera</v>
      </c>
      <c r="AI35" s="153">
        <f t="shared" si="76"/>
        <v>3.4250000000000003</v>
      </c>
      <c r="AJ35" s="153">
        <f t="shared" si="77"/>
        <v>3.05</v>
      </c>
      <c r="AK35" s="152">
        <f t="shared" si="53"/>
        <v>1.1107482733024951</v>
      </c>
      <c r="AL35" s="150">
        <f t="shared" si="54"/>
        <v>6.0718554180473054</v>
      </c>
      <c r="AM35" s="150">
        <f t="shared" si="55"/>
        <v>176.76663670731776</v>
      </c>
      <c r="AN35" s="349" t="str">
        <f t="shared" ref="AN35" si="123">Y35</f>
        <v>Z1</v>
      </c>
      <c r="AO35" s="153">
        <f t="shared" si="79"/>
        <v>1035.7620023437498</v>
      </c>
      <c r="AP35" s="153">
        <f t="shared" si="80"/>
        <v>2158.3197365702317</v>
      </c>
      <c r="AQ35" s="153">
        <f t="shared" si="81"/>
        <v>2477.8816975666809</v>
      </c>
      <c r="AR35" s="153">
        <f t="shared" si="82"/>
        <v>2560.3596874999807</v>
      </c>
      <c r="AS35" s="53" t="str">
        <f t="shared" si="83"/>
        <v>OK</v>
      </c>
      <c r="AT35" s="153">
        <f t="shared" si="84"/>
        <v>0.5</v>
      </c>
      <c r="AU35" s="150">
        <f t="shared" si="85"/>
        <v>236.4385375</v>
      </c>
      <c r="AV35" s="153">
        <f t="shared" si="86"/>
        <v>343.91059999999999</v>
      </c>
      <c r="AW35" s="154">
        <f t="shared" si="87"/>
        <v>1032.2398740118501</v>
      </c>
      <c r="AX35" s="153">
        <f t="shared" si="88"/>
        <v>1032.2398740118501</v>
      </c>
      <c r="AY35" s="53" t="str">
        <f t="shared" si="89"/>
        <v>OK</v>
      </c>
      <c r="AZ35" s="349" t="str">
        <f>AN35</f>
        <v>Z1</v>
      </c>
      <c r="BA35" s="153">
        <f t="shared" si="90"/>
        <v>805.87733020833343</v>
      </c>
      <c r="BB35" s="153">
        <f t="shared" si="91"/>
        <v>1377.0384556509607</v>
      </c>
      <c r="BC35" s="150">
        <f t="shared" si="92"/>
        <v>3.3794326831130196E-3</v>
      </c>
      <c r="BD35" s="148">
        <f t="shared" si="93"/>
        <v>51.705320051629201</v>
      </c>
      <c r="BE35" s="144">
        <v>6</v>
      </c>
      <c r="BF35" s="144">
        <v>23</v>
      </c>
      <c r="BG35" s="155">
        <f t="shared" si="94"/>
        <v>65.319999999999993</v>
      </c>
      <c r="BH35" s="53" t="str">
        <f t="shared" si="95"/>
        <v>OK</v>
      </c>
      <c r="BI35" s="148">
        <f t="shared" si="96"/>
        <v>0.15</v>
      </c>
      <c r="BJ35" s="155" t="str">
        <f t="shared" si="97"/>
        <v>23#6@15</v>
      </c>
      <c r="BK35" s="197">
        <f t="shared" si="98"/>
        <v>0.79156950477080845</v>
      </c>
      <c r="BL35" s="349" t="str">
        <f>AZ35</f>
        <v>Z1</v>
      </c>
      <c r="BM35" s="155">
        <f t="shared" si="99"/>
        <v>1.2250000000000001</v>
      </c>
      <c r="BN35" s="153">
        <f t="shared" si="100"/>
        <v>17.8019</v>
      </c>
      <c r="BO35" s="153">
        <f t="shared" si="101"/>
        <v>737.3117971014492</v>
      </c>
      <c r="BP35" s="153">
        <f t="shared" si="102"/>
        <v>19.505603097921938</v>
      </c>
      <c r="BQ35" s="144">
        <v>10</v>
      </c>
      <c r="BR35" s="155" t="s">
        <v>191</v>
      </c>
      <c r="BS35" s="144">
        <v>6</v>
      </c>
      <c r="BT35" s="153">
        <f t="shared" si="103"/>
        <v>28.4</v>
      </c>
      <c r="BU35" s="153">
        <f t="shared" si="104"/>
        <v>1073.5199999999998</v>
      </c>
      <c r="BV35" s="53" t="str">
        <f t="shared" si="105"/>
        <v>OK</v>
      </c>
      <c r="BW35" s="122"/>
      <c r="BX35" s="349" t="str">
        <f>BL35</f>
        <v>Z1</v>
      </c>
      <c r="BY35" s="153">
        <f t="shared" si="106"/>
        <v>28.4</v>
      </c>
      <c r="BZ35" s="153">
        <f t="shared" si="107"/>
        <v>1073.5199999999998</v>
      </c>
      <c r="CA35" s="155" t="str">
        <f t="shared" si="108"/>
        <v>OK</v>
      </c>
      <c r="CB35" s="153">
        <f t="shared" si="109"/>
        <v>100.10621909492761</v>
      </c>
      <c r="CC35" s="53" t="str">
        <f t="shared" si="110"/>
        <v>OK</v>
      </c>
      <c r="CE35" s="114"/>
      <c r="CF35" s="114"/>
      <c r="CG35" s="114"/>
      <c r="CH35" s="114"/>
      <c r="CI35" s="117"/>
      <c r="CJ35" s="349" t="str">
        <f>BX35</f>
        <v>Z1</v>
      </c>
      <c r="CK35" s="153">
        <f t="shared" si="111"/>
        <v>582.24940443374442</v>
      </c>
      <c r="CL35" s="153">
        <f t="shared" si="112"/>
        <v>148.07523049177445</v>
      </c>
      <c r="CM35" s="150">
        <f t="shared" si="113"/>
        <v>196.23533743284247</v>
      </c>
      <c r="CN35" s="150">
        <f t="shared" si="114"/>
        <v>-37.017467062472136</v>
      </c>
      <c r="CO35" s="53" t="str">
        <f t="shared" si="115"/>
        <v>N/C</v>
      </c>
      <c r="CP35" s="158">
        <f t="shared" si="116"/>
        <v>19.505603097921938</v>
      </c>
      <c r="CQ35" s="144">
        <v>10</v>
      </c>
      <c r="CR35" s="155" t="s">
        <v>191</v>
      </c>
      <c r="CS35" s="144">
        <v>6</v>
      </c>
      <c r="CU35" s="117"/>
      <c r="CW35" s="349" t="str">
        <f t="shared" ref="CW35" si="124">AZ35</f>
        <v>Z1</v>
      </c>
      <c r="CX35" s="111">
        <f t="shared" si="118"/>
        <v>288</v>
      </c>
      <c r="CY35" s="156">
        <f t="shared" si="119"/>
        <v>3.6</v>
      </c>
      <c r="CZ35" s="156">
        <f t="shared" si="120"/>
        <v>3.6</v>
      </c>
      <c r="DA35" s="140" t="str">
        <f t="shared" si="121"/>
        <v>23#6@15</v>
      </c>
      <c r="DB35" s="140" t="str">
        <f t="shared" si="122"/>
        <v>23#5@15</v>
      </c>
    </row>
    <row r="36" spans="1:106" ht="15" customHeight="1" x14ac:dyDescent="0.25">
      <c r="A36" s="123"/>
      <c r="B36" s="124"/>
      <c r="C36" s="188"/>
      <c r="D36" s="124"/>
      <c r="E36" s="124"/>
      <c r="F36" s="124"/>
      <c r="G36" s="124"/>
      <c r="H36" s="125"/>
      <c r="I36" s="124"/>
      <c r="J36" s="124"/>
      <c r="K36" s="124"/>
      <c r="L36" s="126"/>
      <c r="M36" s="350"/>
      <c r="N36" s="143">
        <v>288</v>
      </c>
      <c r="O36" s="144" t="s">
        <v>803</v>
      </c>
      <c r="P36" s="145">
        <v>-93.958799999999997</v>
      </c>
      <c r="Q36" s="145">
        <v>2.7212999999999998</v>
      </c>
      <c r="R36" s="145">
        <v>527.74099999999999</v>
      </c>
      <c r="S36" s="145">
        <v>-19.813700000000001</v>
      </c>
      <c r="T36" s="145">
        <v>-397.51909999999998</v>
      </c>
      <c r="U36" s="145">
        <v>0.5</v>
      </c>
      <c r="V36" s="146">
        <f t="shared" si="67"/>
        <v>0.42499999999999999</v>
      </c>
      <c r="W36" s="147">
        <f t="shared" si="68"/>
        <v>169.38</v>
      </c>
      <c r="X36" s="147">
        <f t="shared" si="69"/>
        <v>324.435</v>
      </c>
      <c r="Y36" s="350"/>
      <c r="Z36" s="148">
        <f t="shared" si="70"/>
        <v>2.6905903301408824</v>
      </c>
      <c r="AA36" s="149">
        <v>3.6</v>
      </c>
      <c r="AB36" s="148">
        <f t="shared" si="71"/>
        <v>2.6905903301408824</v>
      </c>
      <c r="AC36" s="149">
        <v>3.6</v>
      </c>
      <c r="AD36" s="150">
        <f t="shared" si="72"/>
        <v>-0.57308331603945351</v>
      </c>
      <c r="AE36" s="150">
        <f t="shared" si="73"/>
        <v>-1.4067853353120144E-2</v>
      </c>
      <c r="AF36" s="53" t="str">
        <f t="shared" si="74"/>
        <v>OK</v>
      </c>
      <c r="AG36" s="53" t="str">
        <f t="shared" si="75"/>
        <v>OK</v>
      </c>
      <c r="AH36" s="155" t="str">
        <f t="shared" si="50"/>
        <v>Esquinera</v>
      </c>
      <c r="AI36" s="153">
        <f t="shared" si="76"/>
        <v>3.4250000000000003</v>
      </c>
      <c r="AJ36" s="153">
        <f t="shared" si="77"/>
        <v>3.05</v>
      </c>
      <c r="AK36" s="152">
        <f t="shared" si="53"/>
        <v>1.1052103079168465</v>
      </c>
      <c r="AL36" s="150">
        <f t="shared" si="54"/>
        <v>-5.9764433968693806</v>
      </c>
      <c r="AM36" s="150">
        <f t="shared" si="55"/>
        <v>-216.80635441963383</v>
      </c>
      <c r="AN36" s="350"/>
      <c r="AO36" s="153">
        <f t="shared" si="79"/>
        <v>1025.5464531250002</v>
      </c>
      <c r="AP36" s="153">
        <f t="shared" si="80"/>
        <v>2158.3197365702317</v>
      </c>
      <c r="AQ36" s="153">
        <f t="shared" si="81"/>
        <v>2477.8816975666809</v>
      </c>
      <c r="AR36" s="153">
        <f t="shared" si="82"/>
        <v>2560.3596874999807</v>
      </c>
      <c r="AS36" s="53" t="str">
        <f t="shared" si="83"/>
        <v>OK</v>
      </c>
      <c r="AT36" s="153">
        <f t="shared" si="84"/>
        <v>0.5</v>
      </c>
      <c r="AU36" s="150">
        <f t="shared" si="85"/>
        <v>234.10658333333333</v>
      </c>
      <c r="AV36" s="153">
        <f t="shared" si="86"/>
        <v>340.51866666666666</v>
      </c>
      <c r="AW36" s="154">
        <f t="shared" si="87"/>
        <v>1032.2398740118501</v>
      </c>
      <c r="AX36" s="153">
        <f t="shared" si="88"/>
        <v>1032.2398740118501</v>
      </c>
      <c r="AY36" s="53" t="str">
        <f t="shared" si="89"/>
        <v>OK</v>
      </c>
      <c r="AZ36" s="350"/>
      <c r="BA36" s="153">
        <f t="shared" si="90"/>
        <v>-363.74485972222215</v>
      </c>
      <c r="BB36" s="153">
        <f t="shared" si="91"/>
        <v>-621.54702844584926</v>
      </c>
      <c r="BC36" s="150">
        <f t="shared" si="92"/>
        <v>1.8E-3</v>
      </c>
      <c r="BD36" s="148">
        <f t="shared" si="93"/>
        <v>27.54</v>
      </c>
      <c r="BE36" s="144">
        <v>6</v>
      </c>
      <c r="BF36" s="144">
        <v>23</v>
      </c>
      <c r="BG36" s="155">
        <f t="shared" si="94"/>
        <v>65.319999999999993</v>
      </c>
      <c r="BH36" s="53" t="str">
        <f t="shared" si="95"/>
        <v>OK</v>
      </c>
      <c r="BI36" s="148">
        <f t="shared" si="96"/>
        <v>0.15</v>
      </c>
      <c r="BJ36" s="155" t="str">
        <f t="shared" si="97"/>
        <v>23#6@15</v>
      </c>
      <c r="BK36" s="197">
        <f t="shared" si="98"/>
        <v>0.42161665646050217</v>
      </c>
      <c r="BL36" s="350"/>
      <c r="BM36" s="155">
        <f t="shared" si="99"/>
        <v>1.2250000000000001</v>
      </c>
      <c r="BN36" s="153">
        <f t="shared" si="100"/>
        <v>-14.371100000000002</v>
      </c>
      <c r="BO36" s="153">
        <f t="shared" si="101"/>
        <v>748.58904347826092</v>
      </c>
      <c r="BP36" s="153">
        <f t="shared" si="102"/>
        <v>19.803942949160341</v>
      </c>
      <c r="BQ36" s="144">
        <v>10</v>
      </c>
      <c r="BR36" s="155" t="s">
        <v>191</v>
      </c>
      <c r="BS36" s="144">
        <v>6</v>
      </c>
      <c r="BT36" s="153">
        <f t="shared" si="103"/>
        <v>28.4</v>
      </c>
      <c r="BU36" s="153">
        <f t="shared" si="104"/>
        <v>1073.5199999999998</v>
      </c>
      <c r="BV36" s="53" t="str">
        <f t="shared" si="105"/>
        <v>OK</v>
      </c>
      <c r="BW36" s="122"/>
      <c r="BX36" s="350"/>
      <c r="BY36" s="153">
        <f t="shared" si="106"/>
        <v>28.4</v>
      </c>
      <c r="BZ36" s="153">
        <f t="shared" si="107"/>
        <v>1073.5199999999998</v>
      </c>
      <c r="CA36" s="155" t="str">
        <f t="shared" si="108"/>
        <v>OK</v>
      </c>
      <c r="CB36" s="153">
        <f t="shared" si="109"/>
        <v>132.76531979914787</v>
      </c>
      <c r="CC36" s="53" t="str">
        <f t="shared" si="110"/>
        <v>OK</v>
      </c>
      <c r="CE36" s="114"/>
      <c r="CF36" s="114"/>
      <c r="CG36" s="114"/>
      <c r="CH36" s="114"/>
      <c r="CI36" s="117"/>
      <c r="CJ36" s="350"/>
      <c r="CK36" s="153">
        <f t="shared" si="111"/>
        <v>585.61306186090144</v>
      </c>
      <c r="CL36" s="153">
        <f t="shared" si="112"/>
        <v>142.52473112566167</v>
      </c>
      <c r="CM36" s="150">
        <f t="shared" si="113"/>
        <v>191.07850626415157</v>
      </c>
      <c r="CN36" s="150">
        <f t="shared" si="114"/>
        <v>-33.430975399954036</v>
      </c>
      <c r="CO36" s="53" t="str">
        <f t="shared" si="115"/>
        <v>N/C</v>
      </c>
      <c r="CP36" s="158">
        <f t="shared" si="116"/>
        <v>19.803942949160341</v>
      </c>
      <c r="CQ36" s="144">
        <v>10</v>
      </c>
      <c r="CR36" s="155" t="s">
        <v>191</v>
      </c>
      <c r="CS36" s="144">
        <v>6</v>
      </c>
      <c r="CU36" s="117"/>
      <c r="CW36" s="350"/>
      <c r="CX36" s="111">
        <f t="shared" si="118"/>
        <v>288</v>
      </c>
      <c r="CY36" s="156">
        <f t="shared" si="119"/>
        <v>3.6</v>
      </c>
      <c r="CZ36" s="156">
        <f t="shared" si="120"/>
        <v>3.6</v>
      </c>
      <c r="DA36" s="140" t="str">
        <f t="shared" si="121"/>
        <v>23#6@15</v>
      </c>
      <c r="DB36" s="140" t="str">
        <f t="shared" si="122"/>
        <v>23#5@15</v>
      </c>
    </row>
    <row r="37" spans="1:106" ht="15" customHeight="1" x14ac:dyDescent="0.25">
      <c r="A37" s="123"/>
      <c r="B37" s="124"/>
      <c r="C37" s="188"/>
      <c r="D37" s="124"/>
      <c r="E37" s="124"/>
      <c r="F37" s="124"/>
      <c r="G37" s="124"/>
      <c r="H37" s="125"/>
      <c r="I37" s="124"/>
      <c r="J37" s="124"/>
      <c r="K37" s="124"/>
      <c r="L37" s="126"/>
      <c r="M37" s="349">
        <f>Y37</f>
        <v>0</v>
      </c>
      <c r="N37" s="143"/>
      <c r="O37" s="144"/>
      <c r="P37" s="145"/>
      <c r="Q37" s="145"/>
      <c r="R37" s="145"/>
      <c r="S37" s="145"/>
      <c r="T37" s="145"/>
      <c r="U37" s="145"/>
      <c r="V37" s="146"/>
      <c r="W37" s="147"/>
      <c r="X37" s="147"/>
      <c r="Y37" s="349"/>
      <c r="Z37" s="148"/>
      <c r="AA37" s="149"/>
      <c r="AB37" s="148"/>
      <c r="AC37" s="149"/>
      <c r="AD37" s="150"/>
      <c r="AE37" s="150"/>
      <c r="AF37" s="53"/>
      <c r="AG37" s="53"/>
      <c r="AH37" s="155"/>
      <c r="AI37" s="153"/>
      <c r="AJ37" s="153"/>
      <c r="AK37" s="203"/>
      <c r="AL37" s="203"/>
      <c r="AM37" s="203"/>
      <c r="AN37" s="349"/>
      <c r="AO37" s="153"/>
      <c r="AP37" s="153"/>
      <c r="AQ37" s="153"/>
      <c r="AR37" s="153"/>
      <c r="AS37" s="53"/>
      <c r="AT37" s="153"/>
      <c r="AU37" s="150"/>
      <c r="AV37" s="153"/>
      <c r="AW37" s="154"/>
      <c r="AX37" s="153"/>
      <c r="AY37" s="53"/>
      <c r="AZ37" s="349"/>
      <c r="BA37" s="153"/>
      <c r="BB37" s="153"/>
      <c r="BC37" s="150"/>
      <c r="BD37" s="148"/>
      <c r="BE37" s="144"/>
      <c r="BF37" s="144"/>
      <c r="BG37" s="155"/>
      <c r="BH37" s="53"/>
      <c r="BI37" s="148"/>
      <c r="BJ37" s="155"/>
      <c r="BK37" s="197"/>
      <c r="BL37" s="349"/>
      <c r="BM37" s="155"/>
      <c r="BN37" s="153"/>
      <c r="BO37" s="153"/>
      <c r="BP37" s="153"/>
      <c r="BQ37" s="144"/>
      <c r="BR37" s="155"/>
      <c r="BS37" s="144"/>
      <c r="BT37" s="153"/>
      <c r="BU37" s="153"/>
      <c r="BV37" s="53"/>
      <c r="BW37" s="122"/>
      <c r="BX37" s="349"/>
      <c r="BY37" s="153"/>
      <c r="BZ37" s="153"/>
      <c r="CA37" s="155"/>
      <c r="CB37" s="153"/>
      <c r="CC37" s="53"/>
      <c r="CE37" s="114"/>
      <c r="CF37" s="114"/>
      <c r="CG37" s="114"/>
      <c r="CH37" s="114"/>
      <c r="CI37" s="117"/>
      <c r="CJ37" s="349"/>
      <c r="CK37" s="153"/>
      <c r="CL37" s="153"/>
      <c r="CM37" s="150"/>
      <c r="CN37" s="150"/>
      <c r="CO37" s="53"/>
      <c r="CP37" s="158"/>
      <c r="CQ37" s="144"/>
      <c r="CR37" s="155"/>
      <c r="CS37" s="144"/>
      <c r="CU37" s="117"/>
      <c r="CW37" s="349"/>
      <c r="CX37" s="111"/>
      <c r="CY37" s="156"/>
      <c r="CZ37" s="156"/>
      <c r="DA37" s="140"/>
      <c r="DB37" s="140"/>
    </row>
    <row r="38" spans="1:106" ht="15" customHeight="1" x14ac:dyDescent="0.25">
      <c r="A38" s="123"/>
      <c r="B38" s="124"/>
      <c r="C38" s="188"/>
      <c r="D38" s="124"/>
      <c r="E38" s="124"/>
      <c r="F38" s="124"/>
      <c r="G38" s="124"/>
      <c r="H38" s="125"/>
      <c r="I38" s="124"/>
      <c r="J38" s="124"/>
      <c r="K38" s="124"/>
      <c r="L38" s="126"/>
      <c r="M38" s="350"/>
      <c r="N38" s="143"/>
      <c r="O38" s="144"/>
      <c r="P38" s="145"/>
      <c r="Q38" s="145"/>
      <c r="R38" s="145"/>
      <c r="S38" s="145"/>
      <c r="T38" s="145"/>
      <c r="U38" s="145"/>
      <c r="V38" s="146"/>
      <c r="W38" s="147"/>
      <c r="X38" s="147"/>
      <c r="Y38" s="350"/>
      <c r="Z38" s="148"/>
      <c r="AA38" s="149"/>
      <c r="AB38" s="148"/>
      <c r="AC38" s="149"/>
      <c r="AD38" s="150"/>
      <c r="AE38" s="150"/>
      <c r="AF38" s="53"/>
      <c r="AG38" s="53"/>
      <c r="AH38" s="155"/>
      <c r="AI38" s="153"/>
      <c r="AJ38" s="153"/>
      <c r="AK38" s="158"/>
      <c r="AL38" s="158"/>
      <c r="AM38" s="158"/>
      <c r="AN38" s="350"/>
      <c r="AO38" s="153"/>
      <c r="AP38" s="153"/>
      <c r="AQ38" s="153"/>
      <c r="AR38" s="153"/>
      <c r="AS38" s="53"/>
      <c r="AT38" s="153"/>
      <c r="AU38" s="150"/>
      <c r="AV38" s="153"/>
      <c r="AW38" s="154"/>
      <c r="AX38" s="153"/>
      <c r="AY38" s="53"/>
      <c r="AZ38" s="350"/>
      <c r="BA38" s="153"/>
      <c r="BB38" s="153"/>
      <c r="BC38" s="150"/>
      <c r="BD38" s="148"/>
      <c r="BE38" s="144"/>
      <c r="BF38" s="144"/>
      <c r="BG38" s="155"/>
      <c r="BH38" s="53"/>
      <c r="BI38" s="148"/>
      <c r="BJ38" s="155"/>
      <c r="BK38" s="197"/>
      <c r="BL38" s="350"/>
      <c r="BM38" s="155"/>
      <c r="BN38" s="153"/>
      <c r="BO38" s="153"/>
      <c r="BP38" s="153"/>
      <c r="BQ38" s="144"/>
      <c r="BR38" s="155"/>
      <c r="BS38" s="144"/>
      <c r="BT38" s="153"/>
      <c r="BU38" s="153"/>
      <c r="BV38" s="53"/>
      <c r="BW38" s="122"/>
      <c r="BX38" s="350"/>
      <c r="BY38" s="153"/>
      <c r="BZ38" s="153"/>
      <c r="CA38" s="155"/>
      <c r="CB38" s="153"/>
      <c r="CC38" s="53"/>
      <c r="CE38" s="114"/>
      <c r="CF38" s="114"/>
      <c r="CG38" s="114"/>
      <c r="CH38" s="114"/>
      <c r="CI38" s="117"/>
      <c r="CJ38" s="350"/>
      <c r="CK38" s="153"/>
      <c r="CL38" s="153"/>
      <c r="CM38" s="150"/>
      <c r="CN38" s="150"/>
      <c r="CO38" s="53"/>
      <c r="CP38" s="158"/>
      <c r="CQ38" s="144"/>
      <c r="CR38" s="155"/>
      <c r="CS38" s="144"/>
      <c r="CU38" s="117"/>
      <c r="CW38" s="350"/>
      <c r="CX38" s="111"/>
      <c r="CY38" s="156"/>
      <c r="CZ38" s="156"/>
      <c r="DA38" s="140"/>
      <c r="DB38" s="140"/>
    </row>
    <row r="39" spans="1:106" ht="15" customHeight="1" x14ac:dyDescent="0.25">
      <c r="A39" s="123"/>
      <c r="B39" s="124"/>
      <c r="C39" s="188"/>
      <c r="D39" s="124"/>
      <c r="E39" s="124"/>
      <c r="F39" s="124"/>
      <c r="G39" s="124"/>
      <c r="H39" s="125"/>
      <c r="I39" s="124"/>
      <c r="J39" s="124"/>
      <c r="K39" s="124"/>
      <c r="L39" s="126"/>
      <c r="M39" s="349">
        <f>Y39</f>
        <v>0</v>
      </c>
      <c r="N39" s="143"/>
      <c r="O39" s="144"/>
      <c r="P39" s="145"/>
      <c r="Q39" s="145"/>
      <c r="R39" s="145"/>
      <c r="S39" s="145"/>
      <c r="T39" s="145"/>
      <c r="U39" s="145"/>
      <c r="V39" s="146"/>
      <c r="W39" s="147"/>
      <c r="X39" s="147"/>
      <c r="Y39" s="349"/>
      <c r="Z39" s="148"/>
      <c r="AA39" s="149"/>
      <c r="AB39" s="148"/>
      <c r="AC39" s="149"/>
      <c r="AD39" s="150"/>
      <c r="AE39" s="150"/>
      <c r="AF39" s="53"/>
      <c r="AG39" s="53"/>
      <c r="AH39" s="155"/>
      <c r="AI39" s="153"/>
      <c r="AJ39" s="153"/>
      <c r="AK39" s="152"/>
      <c r="AL39" s="150"/>
      <c r="AM39" s="150"/>
      <c r="AN39" s="349"/>
      <c r="AO39" s="153"/>
      <c r="AP39" s="153"/>
      <c r="AQ39" s="153"/>
      <c r="AR39" s="153"/>
      <c r="AS39" s="53"/>
      <c r="AT39" s="153"/>
      <c r="AU39" s="150"/>
      <c r="AV39" s="153"/>
      <c r="AW39" s="154"/>
      <c r="AX39" s="153"/>
      <c r="AY39" s="53"/>
      <c r="AZ39" s="349"/>
      <c r="BA39" s="153"/>
      <c r="BB39" s="153"/>
      <c r="BC39" s="150"/>
      <c r="BD39" s="148"/>
      <c r="BE39" s="144"/>
      <c r="BF39" s="144"/>
      <c r="BG39" s="155"/>
      <c r="BH39" s="53"/>
      <c r="BI39" s="148"/>
      <c r="BJ39" s="155"/>
      <c r="BK39" s="197"/>
      <c r="BL39" s="349"/>
      <c r="BM39" s="155"/>
      <c r="BN39" s="153"/>
      <c r="BO39" s="153"/>
      <c r="BP39" s="153"/>
      <c r="BQ39" s="144"/>
      <c r="BR39" s="155"/>
      <c r="BS39" s="144"/>
      <c r="BT39" s="153"/>
      <c r="BU39" s="153"/>
      <c r="BV39" s="53"/>
      <c r="BW39" s="122"/>
      <c r="BX39" s="349"/>
      <c r="BY39" s="153"/>
      <c r="BZ39" s="153"/>
      <c r="CA39" s="155"/>
      <c r="CB39" s="153"/>
      <c r="CC39" s="53"/>
      <c r="CE39" s="114"/>
      <c r="CF39" s="114"/>
      <c r="CG39" s="114"/>
      <c r="CH39" s="114"/>
      <c r="CI39" s="117"/>
      <c r="CJ39" s="349"/>
      <c r="CK39" s="153"/>
      <c r="CL39" s="153"/>
      <c r="CM39" s="150"/>
      <c r="CN39" s="150"/>
      <c r="CO39" s="53"/>
      <c r="CP39" s="158"/>
      <c r="CQ39" s="144"/>
      <c r="CR39" s="155"/>
      <c r="CS39" s="144"/>
      <c r="CU39" s="117"/>
      <c r="CW39" s="349"/>
      <c r="CX39" s="111"/>
      <c r="CY39" s="156"/>
      <c r="CZ39" s="156"/>
      <c r="DA39" s="140"/>
      <c r="DB39" s="140"/>
    </row>
    <row r="40" spans="1:106" ht="15" customHeight="1" x14ac:dyDescent="0.25">
      <c r="A40" s="123"/>
      <c r="B40" s="124"/>
      <c r="C40" s="188"/>
      <c r="D40" s="124"/>
      <c r="E40" s="124"/>
      <c r="F40" s="124"/>
      <c r="G40" s="124"/>
      <c r="H40" s="125"/>
      <c r="I40" s="124"/>
      <c r="J40" s="124"/>
      <c r="K40" s="124"/>
      <c r="L40" s="126"/>
      <c r="M40" s="350"/>
      <c r="N40" s="143"/>
      <c r="O40" s="144"/>
      <c r="P40" s="145"/>
      <c r="Q40" s="145"/>
      <c r="R40" s="145"/>
      <c r="S40" s="145"/>
      <c r="T40" s="145"/>
      <c r="U40" s="145"/>
      <c r="V40" s="146"/>
      <c r="W40" s="147"/>
      <c r="X40" s="147"/>
      <c r="Y40" s="350"/>
      <c r="Z40" s="148"/>
      <c r="AA40" s="149"/>
      <c r="AB40" s="148"/>
      <c r="AC40" s="149"/>
      <c r="AD40" s="150"/>
      <c r="AE40" s="150"/>
      <c r="AF40" s="53"/>
      <c r="AG40" s="53"/>
      <c r="AH40" s="155"/>
      <c r="AI40" s="153"/>
      <c r="AJ40" s="153"/>
      <c r="AK40" s="152"/>
      <c r="AL40" s="150"/>
      <c r="AM40" s="150"/>
      <c r="AN40" s="350"/>
      <c r="AO40" s="153"/>
      <c r="AP40" s="153"/>
      <c r="AQ40" s="153"/>
      <c r="AR40" s="153"/>
      <c r="AS40" s="53"/>
      <c r="AT40" s="153"/>
      <c r="AU40" s="150"/>
      <c r="AV40" s="153"/>
      <c r="AW40" s="154"/>
      <c r="AX40" s="153"/>
      <c r="AY40" s="53"/>
      <c r="AZ40" s="350"/>
      <c r="BA40" s="153"/>
      <c r="BB40" s="153"/>
      <c r="BC40" s="150"/>
      <c r="BD40" s="148"/>
      <c r="BE40" s="144"/>
      <c r="BF40" s="144"/>
      <c r="BG40" s="155"/>
      <c r="BH40" s="53"/>
      <c r="BI40" s="148"/>
      <c r="BJ40" s="155"/>
      <c r="BK40" s="197"/>
      <c r="BL40" s="350"/>
      <c r="BM40" s="155"/>
      <c r="BN40" s="153"/>
      <c r="BO40" s="153"/>
      <c r="BP40" s="153"/>
      <c r="BQ40" s="144"/>
      <c r="BR40" s="155"/>
      <c r="BS40" s="144"/>
      <c r="BT40" s="153"/>
      <c r="BU40" s="153"/>
      <c r="BV40" s="53"/>
      <c r="BW40" s="122"/>
      <c r="BX40" s="350"/>
      <c r="BY40" s="153"/>
      <c r="BZ40" s="153"/>
      <c r="CA40" s="155"/>
      <c r="CB40" s="153"/>
      <c r="CC40" s="53"/>
      <c r="CE40" s="114"/>
      <c r="CF40" s="114"/>
      <c r="CG40" s="114"/>
      <c r="CH40" s="114"/>
      <c r="CI40" s="117"/>
      <c r="CJ40" s="350"/>
      <c r="CK40" s="153"/>
      <c r="CL40" s="153"/>
      <c r="CM40" s="150"/>
      <c r="CN40" s="150"/>
      <c r="CO40" s="53"/>
      <c r="CP40" s="158"/>
      <c r="CQ40" s="144"/>
      <c r="CR40" s="155"/>
      <c r="CS40" s="144"/>
      <c r="CU40" s="117"/>
      <c r="CW40" s="350"/>
      <c r="CX40" s="111"/>
      <c r="CY40" s="156"/>
      <c r="CZ40" s="156"/>
      <c r="DA40" s="140"/>
      <c r="DB40" s="140"/>
    </row>
    <row r="41" spans="1:106" ht="15" customHeight="1" x14ac:dyDescent="0.25">
      <c r="A41" s="123"/>
      <c r="L41" s="126"/>
      <c r="M41" s="349">
        <f>Y41</f>
        <v>0</v>
      </c>
      <c r="N41" s="143"/>
      <c r="O41" s="144"/>
      <c r="P41" s="145"/>
      <c r="Q41" s="145"/>
      <c r="R41" s="145"/>
      <c r="S41" s="145"/>
      <c r="T41" s="145"/>
      <c r="U41" s="145"/>
      <c r="V41" s="146"/>
      <c r="W41" s="147"/>
      <c r="X41" s="147"/>
      <c r="Y41" s="349"/>
      <c r="Z41" s="148"/>
      <c r="AA41" s="149"/>
      <c r="AB41" s="148"/>
      <c r="AC41" s="149"/>
      <c r="AD41" s="150"/>
      <c r="AE41" s="150"/>
      <c r="AF41" s="53"/>
      <c r="AG41" s="53"/>
      <c r="AH41" s="155"/>
      <c r="AI41" s="153"/>
      <c r="AJ41" s="153"/>
      <c r="AK41" s="152"/>
      <c r="AL41" s="150"/>
      <c r="AM41" s="150"/>
      <c r="AN41" s="349"/>
      <c r="AO41" s="153"/>
      <c r="AP41" s="153"/>
      <c r="AQ41" s="153"/>
      <c r="AR41" s="153"/>
      <c r="AS41" s="53"/>
      <c r="AT41" s="153"/>
      <c r="AU41" s="150"/>
      <c r="AV41" s="153"/>
      <c r="AW41" s="154"/>
      <c r="AX41" s="153"/>
      <c r="AY41" s="53"/>
      <c r="AZ41" s="349"/>
      <c r="BA41" s="153"/>
      <c r="BB41" s="153"/>
      <c r="BC41" s="150"/>
      <c r="BD41" s="148"/>
      <c r="BE41" s="144"/>
      <c r="BF41" s="144"/>
      <c r="BG41" s="155"/>
      <c r="BH41" s="53"/>
      <c r="BI41" s="148"/>
      <c r="BJ41" s="155"/>
      <c r="BK41" s="197"/>
      <c r="BL41" s="349"/>
      <c r="BM41" s="155"/>
      <c r="BN41" s="153"/>
      <c r="BO41" s="153"/>
      <c r="BP41" s="153"/>
      <c r="BQ41" s="144"/>
      <c r="BR41" s="155"/>
      <c r="BS41" s="144"/>
      <c r="BT41" s="153"/>
      <c r="BU41" s="153"/>
      <c r="BV41" s="53"/>
      <c r="BW41" s="122"/>
      <c r="BX41" s="349"/>
      <c r="BY41" s="153"/>
      <c r="BZ41" s="153"/>
      <c r="CA41" s="155"/>
      <c r="CB41" s="153"/>
      <c r="CC41" s="53"/>
      <c r="CE41" s="166"/>
      <c r="CF41" s="114"/>
      <c r="CG41" s="114"/>
      <c r="CH41" s="114"/>
      <c r="CI41" s="117"/>
      <c r="CJ41" s="349"/>
      <c r="CK41" s="153"/>
      <c r="CL41" s="153"/>
      <c r="CM41" s="150"/>
      <c r="CN41" s="150"/>
      <c r="CO41" s="53"/>
      <c r="CP41" s="158"/>
      <c r="CQ41" s="144"/>
      <c r="CR41" s="155"/>
      <c r="CS41" s="144"/>
      <c r="CU41" s="117"/>
      <c r="CW41" s="349"/>
      <c r="CX41" s="111"/>
      <c r="CY41" s="156"/>
      <c r="CZ41" s="156"/>
      <c r="DA41" s="140"/>
      <c r="DB41" s="140"/>
    </row>
    <row r="42" spans="1:106" ht="15" customHeight="1" x14ac:dyDescent="0.25">
      <c r="A42" s="123"/>
      <c r="L42" s="126"/>
      <c r="M42" s="350"/>
      <c r="N42" s="143"/>
      <c r="O42" s="144"/>
      <c r="P42" s="145"/>
      <c r="Q42" s="145"/>
      <c r="R42" s="145"/>
      <c r="S42" s="145"/>
      <c r="T42" s="145"/>
      <c r="U42" s="145"/>
      <c r="V42" s="146"/>
      <c r="W42" s="147"/>
      <c r="X42" s="147"/>
      <c r="Y42" s="350"/>
      <c r="Z42" s="148"/>
      <c r="AA42" s="149"/>
      <c r="AB42" s="148"/>
      <c r="AC42" s="149"/>
      <c r="AD42" s="150"/>
      <c r="AE42" s="150"/>
      <c r="AF42" s="53"/>
      <c r="AG42" s="53"/>
      <c r="AH42" s="155"/>
      <c r="AI42" s="153"/>
      <c r="AJ42" s="153"/>
      <c r="AK42" s="152"/>
      <c r="AL42" s="150"/>
      <c r="AM42" s="150"/>
      <c r="AN42" s="350"/>
      <c r="AO42" s="153"/>
      <c r="AP42" s="153"/>
      <c r="AQ42" s="153"/>
      <c r="AR42" s="153"/>
      <c r="AS42" s="53"/>
      <c r="AT42" s="153"/>
      <c r="AU42" s="150"/>
      <c r="AV42" s="153"/>
      <c r="AW42" s="154"/>
      <c r="AX42" s="153"/>
      <c r="AY42" s="53"/>
      <c r="AZ42" s="350"/>
      <c r="BA42" s="153"/>
      <c r="BB42" s="153"/>
      <c r="BC42" s="150"/>
      <c r="BD42" s="148"/>
      <c r="BE42" s="144"/>
      <c r="BF42" s="144"/>
      <c r="BG42" s="155"/>
      <c r="BH42" s="53"/>
      <c r="BI42" s="148"/>
      <c r="BJ42" s="155"/>
      <c r="BK42" s="197"/>
      <c r="BL42" s="350"/>
      <c r="BM42" s="155"/>
      <c r="BN42" s="153"/>
      <c r="BO42" s="153"/>
      <c r="BP42" s="153"/>
      <c r="BQ42" s="144"/>
      <c r="BR42" s="155"/>
      <c r="BS42" s="144"/>
      <c r="BT42" s="153"/>
      <c r="BU42" s="153"/>
      <c r="BV42" s="53"/>
      <c r="BW42" s="122"/>
      <c r="BX42" s="350"/>
      <c r="BY42" s="153"/>
      <c r="BZ42" s="153"/>
      <c r="CA42" s="155"/>
      <c r="CB42" s="153"/>
      <c r="CC42" s="53"/>
      <c r="CE42" s="166"/>
      <c r="CF42" s="114"/>
      <c r="CG42" s="114"/>
      <c r="CH42" s="114"/>
      <c r="CI42" s="117"/>
      <c r="CJ42" s="350"/>
      <c r="CK42" s="153"/>
      <c r="CL42" s="153"/>
      <c r="CM42" s="150"/>
      <c r="CN42" s="150"/>
      <c r="CO42" s="53"/>
      <c r="CP42" s="158"/>
      <c r="CQ42" s="144"/>
      <c r="CR42" s="155"/>
      <c r="CS42" s="144"/>
      <c r="CU42" s="117"/>
      <c r="CW42" s="350"/>
      <c r="CX42" s="111"/>
      <c r="CY42" s="156"/>
      <c r="CZ42" s="156"/>
      <c r="DA42" s="140"/>
      <c r="DB42" s="140"/>
    </row>
    <row r="43" spans="1:106" ht="15" customHeight="1" x14ac:dyDescent="0.25">
      <c r="A43" s="123"/>
      <c r="B43" s="124"/>
      <c r="C43" s="188"/>
      <c r="D43" s="124"/>
      <c r="E43" s="124"/>
      <c r="F43" s="124"/>
      <c r="G43" s="124"/>
      <c r="H43" s="125"/>
      <c r="I43" s="124"/>
      <c r="J43" s="124"/>
      <c r="K43" s="124"/>
      <c r="L43" s="126"/>
      <c r="M43" s="349">
        <f>Y43</f>
        <v>0</v>
      </c>
      <c r="N43" s="143"/>
      <c r="O43" s="144"/>
      <c r="P43" s="145"/>
      <c r="Q43" s="145"/>
      <c r="R43" s="145"/>
      <c r="S43" s="145"/>
      <c r="T43" s="145"/>
      <c r="U43" s="145"/>
      <c r="V43" s="146"/>
      <c r="W43" s="147"/>
      <c r="X43" s="147"/>
      <c r="Y43" s="349"/>
      <c r="Z43" s="148"/>
      <c r="AA43" s="149"/>
      <c r="AB43" s="148"/>
      <c r="AC43" s="149"/>
      <c r="AD43" s="150"/>
      <c r="AE43" s="150"/>
      <c r="AF43" s="53"/>
      <c r="AG43" s="53"/>
      <c r="AH43" s="155"/>
      <c r="AI43" s="153"/>
      <c r="AJ43" s="153"/>
      <c r="AK43" s="152"/>
      <c r="AL43" s="150"/>
      <c r="AM43" s="150"/>
      <c r="AN43" s="349"/>
      <c r="AO43" s="153"/>
      <c r="AP43" s="153"/>
      <c r="AQ43" s="153"/>
      <c r="AR43" s="153"/>
      <c r="AS43" s="53"/>
      <c r="AT43" s="153"/>
      <c r="AU43" s="150"/>
      <c r="AV43" s="153"/>
      <c r="AW43" s="154"/>
      <c r="AX43" s="153"/>
      <c r="AY43" s="53"/>
      <c r="AZ43" s="349"/>
      <c r="BA43" s="153"/>
      <c r="BB43" s="153"/>
      <c r="BC43" s="150"/>
      <c r="BD43" s="148"/>
      <c r="BE43" s="144"/>
      <c r="BF43" s="144"/>
      <c r="BG43" s="155"/>
      <c r="BH43" s="53"/>
      <c r="BI43" s="148"/>
      <c r="BJ43" s="155"/>
      <c r="BK43" s="197"/>
      <c r="BL43" s="349"/>
      <c r="BM43" s="155"/>
      <c r="BN43" s="153"/>
      <c r="BO43" s="153"/>
      <c r="BP43" s="153"/>
      <c r="BQ43" s="144"/>
      <c r="BR43" s="155"/>
      <c r="BS43" s="144"/>
      <c r="BT43" s="153"/>
      <c r="BU43" s="153"/>
      <c r="BV43" s="53"/>
      <c r="BW43" s="122"/>
      <c r="BX43" s="349"/>
      <c r="BY43" s="153"/>
      <c r="BZ43" s="153"/>
      <c r="CA43" s="155"/>
      <c r="CB43" s="153"/>
      <c r="CC43" s="53"/>
      <c r="CE43" s="351"/>
      <c r="CF43" s="351"/>
      <c r="CG43" s="351"/>
      <c r="CH43" s="351"/>
      <c r="CI43" s="352"/>
      <c r="CJ43" s="349"/>
      <c r="CK43" s="153"/>
      <c r="CL43" s="153"/>
      <c r="CM43" s="150"/>
      <c r="CN43" s="150"/>
      <c r="CO43" s="53"/>
      <c r="CP43" s="158"/>
      <c r="CQ43" s="144"/>
      <c r="CR43" s="155"/>
      <c r="CS43" s="144"/>
      <c r="CU43" s="117"/>
      <c r="CW43" s="349"/>
      <c r="CX43" s="111"/>
      <c r="CY43" s="156"/>
      <c r="CZ43" s="156"/>
      <c r="DA43" s="140"/>
      <c r="DB43" s="140"/>
    </row>
    <row r="44" spans="1:106" ht="15" customHeight="1" x14ac:dyDescent="0.25">
      <c r="A44" s="123"/>
      <c r="B44" s="124"/>
      <c r="C44" s="188"/>
      <c r="D44" s="124"/>
      <c r="E44" s="124"/>
      <c r="F44" s="124"/>
      <c r="G44" s="124"/>
      <c r="H44" s="125"/>
      <c r="I44" s="124"/>
      <c r="J44" s="124"/>
      <c r="K44" s="124"/>
      <c r="L44" s="126"/>
      <c r="M44" s="350"/>
      <c r="N44" s="143"/>
      <c r="O44" s="144"/>
      <c r="P44" s="145"/>
      <c r="Q44" s="145"/>
      <c r="R44" s="145"/>
      <c r="S44" s="145"/>
      <c r="T44" s="145"/>
      <c r="U44" s="145"/>
      <c r="V44" s="146"/>
      <c r="W44" s="147"/>
      <c r="X44" s="147"/>
      <c r="Y44" s="350"/>
      <c r="Z44" s="148"/>
      <c r="AA44" s="149"/>
      <c r="AB44" s="148"/>
      <c r="AC44" s="149"/>
      <c r="AD44" s="150"/>
      <c r="AE44" s="150"/>
      <c r="AF44" s="53"/>
      <c r="AG44" s="53"/>
      <c r="AH44" s="155"/>
      <c r="AI44" s="153"/>
      <c r="AJ44" s="153"/>
      <c r="AK44" s="152"/>
      <c r="AL44" s="150"/>
      <c r="AM44" s="150"/>
      <c r="AN44" s="350"/>
      <c r="AO44" s="153"/>
      <c r="AP44" s="153"/>
      <c r="AQ44" s="153"/>
      <c r="AR44" s="153"/>
      <c r="AS44" s="53"/>
      <c r="AT44" s="153"/>
      <c r="AU44" s="150"/>
      <c r="AV44" s="153"/>
      <c r="AW44" s="154"/>
      <c r="AX44" s="153"/>
      <c r="AY44" s="53"/>
      <c r="AZ44" s="350"/>
      <c r="BA44" s="153"/>
      <c r="BB44" s="153"/>
      <c r="BC44" s="150"/>
      <c r="BD44" s="148"/>
      <c r="BE44" s="144"/>
      <c r="BF44" s="144"/>
      <c r="BG44" s="155"/>
      <c r="BH44" s="53"/>
      <c r="BI44" s="148"/>
      <c r="BJ44" s="155"/>
      <c r="BK44" s="197"/>
      <c r="BL44" s="350"/>
      <c r="BM44" s="155"/>
      <c r="BN44" s="153"/>
      <c r="BO44" s="153"/>
      <c r="BP44" s="153"/>
      <c r="BQ44" s="144"/>
      <c r="BR44" s="155"/>
      <c r="BS44" s="144"/>
      <c r="BT44" s="153"/>
      <c r="BU44" s="153"/>
      <c r="BV44" s="53"/>
      <c r="BW44" s="122"/>
      <c r="BX44" s="350"/>
      <c r="BY44" s="153"/>
      <c r="BZ44" s="153"/>
      <c r="CA44" s="155"/>
      <c r="CB44" s="153"/>
      <c r="CC44" s="53"/>
      <c r="CE44" s="351"/>
      <c r="CF44" s="351"/>
      <c r="CG44" s="351"/>
      <c r="CH44" s="351"/>
      <c r="CI44" s="352"/>
      <c r="CJ44" s="350"/>
      <c r="CK44" s="153"/>
      <c r="CL44" s="153"/>
      <c r="CM44" s="150"/>
      <c r="CN44" s="150"/>
      <c r="CO44" s="53"/>
      <c r="CP44" s="158"/>
      <c r="CQ44" s="144"/>
      <c r="CR44" s="155"/>
      <c r="CS44" s="144"/>
      <c r="CU44" s="117"/>
      <c r="CW44" s="350"/>
      <c r="CX44" s="111"/>
      <c r="CY44" s="156"/>
      <c r="CZ44" s="156"/>
      <c r="DA44" s="140"/>
      <c r="DB44" s="140"/>
    </row>
    <row r="45" spans="1:106" ht="15" customHeight="1" x14ac:dyDescent="0.25">
      <c r="A45" s="123"/>
      <c r="B45" s="124"/>
      <c r="C45" s="188"/>
      <c r="D45" s="124"/>
      <c r="E45" s="124"/>
      <c r="F45" s="124"/>
      <c r="G45" s="124"/>
      <c r="H45" s="125"/>
      <c r="I45" s="124"/>
      <c r="J45" s="124"/>
      <c r="K45" s="124"/>
      <c r="L45" s="126"/>
      <c r="M45" s="159"/>
      <c r="W45" s="160"/>
      <c r="X45" s="122"/>
      <c r="Y45" s="116"/>
      <c r="Z45" s="114"/>
      <c r="AA45" s="114"/>
      <c r="AB45" s="114"/>
      <c r="AC45" s="114"/>
      <c r="AD45" s="114"/>
      <c r="AJ45" s="122"/>
      <c r="AN45" s="116"/>
      <c r="AQ45" s="114"/>
      <c r="AR45" s="114"/>
      <c r="AS45" s="114"/>
      <c r="AT45" s="114"/>
      <c r="AU45" s="114"/>
      <c r="AV45" s="114"/>
      <c r="AW45" s="114"/>
      <c r="AX45" s="114"/>
      <c r="AY45" s="117"/>
      <c r="AZ45" s="116"/>
      <c r="BC45" s="114"/>
      <c r="BD45" s="114"/>
      <c r="BE45" s="114"/>
      <c r="BF45" s="114"/>
      <c r="BG45" s="114"/>
      <c r="BH45" s="114"/>
      <c r="BI45" s="114"/>
      <c r="BJ45" s="114"/>
      <c r="BK45" s="122"/>
      <c r="BL45" s="198"/>
      <c r="BS45" s="112"/>
      <c r="BT45" s="112"/>
      <c r="BU45" s="112"/>
      <c r="BV45" s="112"/>
      <c r="BW45" s="122"/>
      <c r="BX45" s="121"/>
      <c r="CI45" s="122"/>
      <c r="CU45" s="117"/>
    </row>
    <row r="46" spans="1:106" ht="15" customHeight="1" x14ac:dyDescent="0.25">
      <c r="A46" s="123"/>
      <c r="B46" s="124"/>
      <c r="C46" s="188"/>
      <c r="D46" s="124"/>
      <c r="E46" s="124"/>
      <c r="F46" s="124"/>
      <c r="G46" s="124"/>
      <c r="H46" s="125"/>
      <c r="I46" s="124"/>
      <c r="J46" s="124"/>
      <c r="K46" s="124"/>
      <c r="L46" s="126"/>
      <c r="M46" s="159"/>
      <c r="W46" s="160"/>
      <c r="X46" s="122"/>
      <c r="Y46" s="116"/>
      <c r="Z46" s="114"/>
      <c r="AA46" s="114"/>
      <c r="AB46" s="114"/>
      <c r="AC46" s="114"/>
      <c r="AD46" s="114"/>
      <c r="AJ46" s="122"/>
      <c r="AN46" s="116"/>
      <c r="AQ46" s="114"/>
      <c r="AR46" s="114"/>
      <c r="AS46" s="114"/>
      <c r="AT46" s="114"/>
      <c r="AU46" s="114"/>
      <c r="AV46" s="114"/>
      <c r="AW46" s="114"/>
      <c r="AX46" s="114"/>
      <c r="AY46" s="117"/>
      <c r="AZ46" s="116"/>
      <c r="BC46" s="114"/>
      <c r="BD46" s="114"/>
      <c r="BE46" s="114"/>
      <c r="BF46" s="114"/>
      <c r="BG46" s="114"/>
      <c r="BH46" s="114"/>
      <c r="BI46" s="114"/>
      <c r="BJ46" s="114"/>
      <c r="BK46" s="122"/>
      <c r="BL46" s="121"/>
      <c r="BS46" s="112"/>
      <c r="BT46" s="112"/>
      <c r="BU46" s="112"/>
      <c r="BV46" s="112"/>
      <c r="BW46" s="122"/>
      <c r="BX46" s="121"/>
      <c r="CI46" s="122"/>
      <c r="CU46" s="117"/>
    </row>
    <row r="47" spans="1:106" s="125" customFormat="1" ht="15" customHeight="1" x14ac:dyDescent="0.2">
      <c r="A47" s="123"/>
      <c r="B47" s="124"/>
      <c r="C47" s="188"/>
      <c r="D47" s="124"/>
      <c r="E47" s="124"/>
      <c r="F47" s="124"/>
      <c r="G47" s="124"/>
      <c r="I47" s="124"/>
      <c r="J47" s="124"/>
      <c r="K47" s="124"/>
      <c r="L47" s="126"/>
      <c r="M47" s="331" t="s">
        <v>638</v>
      </c>
      <c r="N47" s="338" t="s">
        <v>701</v>
      </c>
      <c r="O47" s="338"/>
      <c r="P47" s="338"/>
      <c r="Q47" s="338" t="s">
        <v>702</v>
      </c>
      <c r="R47" s="338"/>
      <c r="S47" s="338"/>
      <c r="T47" s="338"/>
      <c r="U47" s="338"/>
      <c r="V47" s="338"/>
      <c r="W47" s="331" t="s">
        <v>703</v>
      </c>
      <c r="X47" s="331"/>
      <c r="Y47" s="353" t="s">
        <v>638</v>
      </c>
      <c r="Z47" s="332" t="s">
        <v>651</v>
      </c>
      <c r="AA47" s="333"/>
      <c r="AB47" s="333"/>
      <c r="AC47" s="333"/>
      <c r="AD47" s="333"/>
      <c r="AE47" s="333"/>
      <c r="AF47" s="336"/>
      <c r="AG47" s="338" t="s">
        <v>760</v>
      </c>
      <c r="AH47" s="338"/>
      <c r="AI47" s="338"/>
      <c r="AJ47" s="338"/>
      <c r="AK47" s="132"/>
      <c r="AL47" s="132"/>
      <c r="AM47" s="132"/>
      <c r="AN47" s="331" t="s">
        <v>638</v>
      </c>
      <c r="AO47" s="155"/>
      <c r="AP47" s="155"/>
      <c r="AQ47" s="153"/>
      <c r="AR47" s="153"/>
      <c r="AS47" s="150"/>
      <c r="AT47" s="148"/>
      <c r="AU47" s="144"/>
      <c r="AV47" s="144"/>
      <c r="AW47" s="155"/>
      <c r="AX47" s="155"/>
      <c r="AY47" s="148"/>
      <c r="AZ47" s="331" t="s">
        <v>638</v>
      </c>
      <c r="BA47" s="338" t="s">
        <v>641</v>
      </c>
      <c r="BB47" s="338"/>
      <c r="BC47" s="338"/>
      <c r="BD47" s="338"/>
      <c r="BE47" s="338"/>
      <c r="BF47" s="338"/>
      <c r="BG47" s="338"/>
      <c r="BH47" s="338"/>
      <c r="BI47" s="338"/>
      <c r="BJ47" s="338"/>
      <c r="BK47" s="122"/>
      <c r="BL47" s="339" t="s">
        <v>642</v>
      </c>
      <c r="BM47" s="359" t="s">
        <v>643</v>
      </c>
      <c r="BN47" s="360"/>
      <c r="BO47" s="360"/>
      <c r="BP47" s="360"/>
      <c r="BQ47" s="360"/>
      <c r="BR47" s="360"/>
      <c r="BS47" s="360"/>
      <c r="BT47" s="360"/>
      <c r="BU47" s="360"/>
      <c r="BV47" s="360"/>
      <c r="BW47" s="346"/>
      <c r="BX47" s="196"/>
      <c r="CI47" s="161"/>
      <c r="CJ47" s="336" t="s">
        <v>642</v>
      </c>
      <c r="CK47" s="343" t="s">
        <v>644</v>
      </c>
      <c r="CL47" s="344"/>
      <c r="CM47" s="345"/>
      <c r="CU47" s="161"/>
    </row>
    <row r="48" spans="1:106" s="125" customFormat="1" ht="15" customHeight="1" x14ac:dyDescent="0.2">
      <c r="A48" s="123"/>
      <c r="B48" s="124"/>
      <c r="C48" s="188"/>
      <c r="D48" s="124"/>
      <c r="E48" s="124"/>
      <c r="F48" s="124"/>
      <c r="G48" s="124"/>
      <c r="I48" s="124"/>
      <c r="J48" s="124"/>
      <c r="K48" s="124"/>
      <c r="L48" s="126"/>
      <c r="M48" s="331"/>
      <c r="N48" s="338"/>
      <c r="O48" s="338"/>
      <c r="P48" s="338"/>
      <c r="Q48" s="338"/>
      <c r="R48" s="338"/>
      <c r="S48" s="338"/>
      <c r="T48" s="338"/>
      <c r="U48" s="338"/>
      <c r="V48" s="338"/>
      <c r="W48" s="331"/>
      <c r="X48" s="331"/>
      <c r="Y48" s="354"/>
      <c r="Z48" s="334"/>
      <c r="AA48" s="335"/>
      <c r="AB48" s="335"/>
      <c r="AC48" s="335"/>
      <c r="AD48" s="335"/>
      <c r="AE48" s="335"/>
      <c r="AF48" s="337"/>
      <c r="AG48" s="359" t="s">
        <v>704</v>
      </c>
      <c r="AH48" s="346"/>
      <c r="AI48" s="359" t="s">
        <v>705</v>
      </c>
      <c r="AJ48" s="346"/>
      <c r="AK48" s="135"/>
      <c r="AL48" s="135"/>
      <c r="AM48" s="135"/>
      <c r="AN48" s="331"/>
      <c r="AO48" s="338" t="s">
        <v>706</v>
      </c>
      <c r="AP48" s="338"/>
      <c r="AQ48" s="338"/>
      <c r="AR48" s="338"/>
      <c r="AS48" s="338"/>
      <c r="AT48" s="338" t="s">
        <v>700</v>
      </c>
      <c r="AU48" s="338"/>
      <c r="AV48" s="338"/>
      <c r="AW48" s="338"/>
      <c r="AX48" s="338"/>
      <c r="AY48" s="162"/>
      <c r="AZ48" s="331"/>
      <c r="BA48" s="338" t="s">
        <v>707</v>
      </c>
      <c r="BB48" s="338"/>
      <c r="BC48" s="338"/>
      <c r="BD48" s="338"/>
      <c r="BE48" s="338"/>
      <c r="BF48" s="338"/>
      <c r="BG48" s="338"/>
      <c r="BH48" s="338"/>
      <c r="BI48" s="338"/>
      <c r="BJ48" s="338"/>
      <c r="BK48" s="122"/>
      <c r="BL48" s="340"/>
      <c r="BM48" s="338" t="s">
        <v>655</v>
      </c>
      <c r="BN48" s="338"/>
      <c r="BO48" s="338"/>
      <c r="BP48" s="338"/>
      <c r="BQ48" s="338"/>
      <c r="BR48" s="338"/>
      <c r="BS48" s="338"/>
      <c r="BT48" s="338"/>
      <c r="BU48" s="338" t="s">
        <v>656</v>
      </c>
      <c r="BV48" s="338"/>
      <c r="BW48" s="338"/>
      <c r="BX48" s="196"/>
      <c r="CI48" s="161"/>
      <c r="CJ48" s="355"/>
      <c r="CK48" s="341" t="s">
        <v>656</v>
      </c>
      <c r="CL48" s="341"/>
      <c r="CM48" s="341"/>
      <c r="CU48" s="161"/>
    </row>
    <row r="49" spans="1:99" s="125" customFormat="1" ht="15" customHeight="1" x14ac:dyDescent="0.2">
      <c r="A49" s="123"/>
      <c r="B49" s="124"/>
      <c r="C49" s="188"/>
      <c r="D49" s="124"/>
      <c r="E49" s="124"/>
      <c r="F49" s="124"/>
      <c r="G49" s="124"/>
      <c r="I49" s="124"/>
      <c r="J49" s="124"/>
      <c r="K49" s="124"/>
      <c r="L49" s="126"/>
      <c r="M49" s="331"/>
      <c r="N49" s="132" t="s">
        <v>661</v>
      </c>
      <c r="O49" s="138" t="s">
        <v>662</v>
      </c>
      <c r="P49" s="141" t="s">
        <v>663</v>
      </c>
      <c r="Q49" s="338" t="s">
        <v>709</v>
      </c>
      <c r="R49" s="338" t="s">
        <v>710</v>
      </c>
      <c r="S49" s="338" t="s">
        <v>711</v>
      </c>
      <c r="T49" s="132" t="s">
        <v>712</v>
      </c>
      <c r="U49" s="132" t="s">
        <v>696</v>
      </c>
      <c r="V49" s="132" t="s">
        <v>713</v>
      </c>
      <c r="W49" s="132" t="s">
        <v>125</v>
      </c>
      <c r="X49" s="132" t="s">
        <v>312</v>
      </c>
      <c r="Y49" s="354"/>
      <c r="Z49" s="132" t="s">
        <v>672</v>
      </c>
      <c r="AA49" s="132" t="s">
        <v>673</v>
      </c>
      <c r="AB49" s="135" t="s">
        <v>674</v>
      </c>
      <c r="AC49" s="132" t="s">
        <v>675</v>
      </c>
      <c r="AD49" s="338" t="s">
        <v>676</v>
      </c>
      <c r="AE49" s="332" t="s">
        <v>714</v>
      </c>
      <c r="AF49" s="336"/>
      <c r="AG49" s="132" t="s">
        <v>715</v>
      </c>
      <c r="AH49" s="338" t="s">
        <v>716</v>
      </c>
      <c r="AI49" s="132" t="s">
        <v>715</v>
      </c>
      <c r="AJ49" s="338" t="s">
        <v>716</v>
      </c>
      <c r="AK49" s="132"/>
      <c r="AL49" s="132"/>
      <c r="AM49" s="132"/>
      <c r="AN49" s="331"/>
      <c r="AO49" s="132" t="s">
        <v>717</v>
      </c>
      <c r="AP49" s="132" t="s">
        <v>718</v>
      </c>
      <c r="AQ49" s="132" t="s">
        <v>719</v>
      </c>
      <c r="AR49" s="132" t="s">
        <v>720</v>
      </c>
      <c r="AS49" s="338" t="s">
        <v>660</v>
      </c>
      <c r="AT49" s="356" t="s">
        <v>721</v>
      </c>
      <c r="AU49" s="132" t="s">
        <v>804</v>
      </c>
      <c r="AV49" s="357" t="s">
        <v>805</v>
      </c>
      <c r="AW49" s="132" t="s">
        <v>722</v>
      </c>
      <c r="AX49" s="132" t="s">
        <v>723</v>
      </c>
      <c r="AY49" s="132" t="s">
        <v>667</v>
      </c>
      <c r="AZ49" s="331"/>
      <c r="BA49" s="142" t="s">
        <v>724</v>
      </c>
      <c r="BB49" s="142" t="s">
        <v>413</v>
      </c>
      <c r="BC49" s="341" t="s">
        <v>414</v>
      </c>
      <c r="BD49" s="142" t="s">
        <v>725</v>
      </c>
      <c r="BE49" s="341" t="s">
        <v>394</v>
      </c>
      <c r="BF49" s="341" t="s">
        <v>416</v>
      </c>
      <c r="BG49" s="142" t="s">
        <v>686</v>
      </c>
      <c r="BH49" s="341" t="s">
        <v>660</v>
      </c>
      <c r="BI49" s="142" t="s">
        <v>687</v>
      </c>
      <c r="BJ49" s="342" t="s">
        <v>688</v>
      </c>
      <c r="BK49" s="122"/>
      <c r="BL49" s="340"/>
      <c r="BM49" s="338" t="s">
        <v>689</v>
      </c>
      <c r="BN49" s="132" t="s">
        <v>690</v>
      </c>
      <c r="BO49" s="132" t="s">
        <v>171</v>
      </c>
      <c r="BP49" s="132" t="s">
        <v>171</v>
      </c>
      <c r="BQ49" s="331" t="s">
        <v>691</v>
      </c>
      <c r="BR49" s="338" t="s">
        <v>692</v>
      </c>
      <c r="BS49" s="132" t="s">
        <v>693</v>
      </c>
      <c r="BT49" s="132" t="s">
        <v>694</v>
      </c>
      <c r="BU49" s="338" t="s">
        <v>416</v>
      </c>
      <c r="BV49" s="338" t="s">
        <v>695</v>
      </c>
      <c r="BW49" s="338"/>
      <c r="BX49" s="196"/>
      <c r="CI49" s="161"/>
      <c r="CJ49" s="355"/>
      <c r="CK49" s="132" t="s">
        <v>727</v>
      </c>
      <c r="CL49" s="132" t="s">
        <v>139</v>
      </c>
      <c r="CM49" s="338" t="s">
        <v>660</v>
      </c>
      <c r="CU49" s="161"/>
    </row>
    <row r="50" spans="1:99" s="125" customFormat="1" ht="15" customHeight="1" x14ac:dyDescent="0.2">
      <c r="A50" s="123"/>
      <c r="B50" s="124"/>
      <c r="C50" s="188"/>
      <c r="D50" s="124"/>
      <c r="E50" s="124"/>
      <c r="F50" s="124"/>
      <c r="G50" s="124"/>
      <c r="I50" s="124"/>
      <c r="J50" s="124"/>
      <c r="K50" s="124"/>
      <c r="L50" s="126"/>
      <c r="M50" s="331"/>
      <c r="N50" s="132" t="s">
        <v>95</v>
      </c>
      <c r="O50" s="138" t="s">
        <v>411</v>
      </c>
      <c r="P50" s="141" t="s">
        <v>411</v>
      </c>
      <c r="Q50" s="338"/>
      <c r="R50" s="338"/>
      <c r="S50" s="338"/>
      <c r="T50" s="132" t="s">
        <v>101</v>
      </c>
      <c r="U50" s="132" t="s">
        <v>101</v>
      </c>
      <c r="V50" s="132" t="s">
        <v>728</v>
      </c>
      <c r="W50" s="132" t="s">
        <v>101</v>
      </c>
      <c r="X50" s="132" t="s">
        <v>101</v>
      </c>
      <c r="Y50" s="354"/>
      <c r="Z50" s="132" t="s">
        <v>634</v>
      </c>
      <c r="AA50" s="132" t="s">
        <v>634</v>
      </c>
      <c r="AB50" s="135" t="s">
        <v>634</v>
      </c>
      <c r="AC50" s="132" t="s">
        <v>634</v>
      </c>
      <c r="AD50" s="338"/>
      <c r="AE50" s="334"/>
      <c r="AF50" s="337"/>
      <c r="AG50" s="133" t="s">
        <v>411</v>
      </c>
      <c r="AH50" s="339"/>
      <c r="AI50" s="133" t="s">
        <v>411</v>
      </c>
      <c r="AJ50" s="339"/>
      <c r="AK50" s="133"/>
      <c r="AL50" s="133"/>
      <c r="AM50" s="133"/>
      <c r="AN50" s="331"/>
      <c r="AO50" s="132" t="s">
        <v>403</v>
      </c>
      <c r="AP50" s="132" t="s">
        <v>403</v>
      </c>
      <c r="AQ50" s="132" t="s">
        <v>101</v>
      </c>
      <c r="AR50" s="132" t="s">
        <v>95</v>
      </c>
      <c r="AS50" s="338"/>
      <c r="AT50" s="356"/>
      <c r="AU50" s="132" t="s">
        <v>101</v>
      </c>
      <c r="AV50" s="358"/>
      <c r="AW50" s="132" t="s">
        <v>101</v>
      </c>
      <c r="AX50" s="132" t="s">
        <v>101</v>
      </c>
      <c r="AY50" s="132" t="s">
        <v>101</v>
      </c>
      <c r="AZ50" s="331"/>
      <c r="BA50" s="132" t="s">
        <v>411</v>
      </c>
      <c r="BB50" s="132" t="s">
        <v>634</v>
      </c>
      <c r="BC50" s="338"/>
      <c r="BD50" s="132" t="s">
        <v>309</v>
      </c>
      <c r="BE50" s="338"/>
      <c r="BF50" s="338"/>
      <c r="BG50" s="132" t="s">
        <v>309</v>
      </c>
      <c r="BH50" s="338"/>
      <c r="BI50" s="132" t="s">
        <v>101</v>
      </c>
      <c r="BJ50" s="331"/>
      <c r="BK50" s="122"/>
      <c r="BL50" s="341"/>
      <c r="BM50" s="338"/>
      <c r="BN50" s="132" t="s">
        <v>697</v>
      </c>
      <c r="BO50" s="132" t="s">
        <v>697</v>
      </c>
      <c r="BP50" s="132" t="s">
        <v>636</v>
      </c>
      <c r="BQ50" s="331"/>
      <c r="BR50" s="338"/>
      <c r="BS50" s="132" t="s">
        <v>95</v>
      </c>
      <c r="BT50" s="132" t="s">
        <v>309</v>
      </c>
      <c r="BU50" s="338"/>
      <c r="BV50" s="338"/>
      <c r="BW50" s="338"/>
      <c r="BX50" s="196"/>
      <c r="CI50" s="161"/>
      <c r="CJ50" s="337"/>
      <c r="CK50" s="132" t="s">
        <v>309</v>
      </c>
      <c r="CL50" s="132" t="s">
        <v>95</v>
      </c>
      <c r="CM50" s="338"/>
      <c r="CU50" s="161"/>
    </row>
    <row r="51" spans="1:99" ht="15" customHeight="1" x14ac:dyDescent="0.25">
      <c r="A51" s="123"/>
      <c r="B51" s="124"/>
      <c r="C51" s="188"/>
      <c r="D51" s="124"/>
      <c r="E51" s="124"/>
      <c r="F51" s="124"/>
      <c r="G51" s="124"/>
      <c r="H51" s="125"/>
      <c r="I51" s="124"/>
      <c r="J51" s="124"/>
      <c r="K51" s="124"/>
      <c r="L51" s="126"/>
      <c r="M51" s="349" t="str">
        <f>M13</f>
        <v>Z1</v>
      </c>
      <c r="N51" s="147">
        <f t="shared" ref="N51:N70" si="125">R13+W13+X13</f>
        <v>841.74779999999987</v>
      </c>
      <c r="O51" s="147">
        <f>S13+Q13*U51</f>
        <v>18.526199999999999</v>
      </c>
      <c r="P51" s="147">
        <f t="shared" ref="P51:P70" si="126">+T13+P13*U51</f>
        <v>649.3338</v>
      </c>
      <c r="Q51" s="143">
        <f t="shared" ref="Q51:Q70" si="127">IF(O13="Central",40,IF(O13="Medianera",30,IF(O13="Esquinera",20,"Def. Posición")))</f>
        <v>20</v>
      </c>
      <c r="R51" s="163">
        <f t="shared" ref="R51:R70" si="128">MAX(W51:X51)/MIN(W51:X51)</f>
        <v>3.1428571428571432</v>
      </c>
      <c r="S51" s="163">
        <f>MAX(AA13,AC13)/MIN(AA13,AC13)</f>
        <v>1</v>
      </c>
      <c r="T51" s="155">
        <f>2*(W51+X51+2*V13)</f>
        <v>4.6000000000000005</v>
      </c>
      <c r="U51" s="164">
        <v>2</v>
      </c>
      <c r="V51" s="165">
        <f t="shared" ref="V51:V70" si="129">W51*X51^3/12</f>
        <v>3.9302083333333324E-3</v>
      </c>
      <c r="W51" s="144">
        <v>1.1000000000000001</v>
      </c>
      <c r="X51" s="144">
        <v>0.35</v>
      </c>
      <c r="Y51" s="349" t="str">
        <f>M51</f>
        <v>Z1</v>
      </c>
      <c r="Z51" s="150">
        <f>N51/(AA13*AC13)*(1+6*AD13/AC13+6*AE13/AA13)</f>
        <v>150.83702160493829</v>
      </c>
      <c r="AA51" s="150">
        <f>N51/(AA13*AC13)*(1+6*AD13/AC13-6*AE13/AA13)</f>
        <v>146.0720524691358</v>
      </c>
      <c r="AB51" s="151">
        <f>N51/(AA13*AC13)*(1-6*AD13/AC13+6*AE13/AA13)</f>
        <v>-16.172700617283962</v>
      </c>
      <c r="AC51" s="150">
        <f>N51/(AA13*AC13)*(1-6*AD13/AC13-6*AE13/AA13)</f>
        <v>-20.937669753086432</v>
      </c>
      <c r="AD51" s="152">
        <f>MAX(Z51:AC51)/$T$6</f>
        <v>1.0689094669161472</v>
      </c>
      <c r="AE51" s="361" t="str">
        <f>IF(AND(AD13&lt;AC13/6,AE13&lt;AA13/6),"Zapata a compresión","Hay tensiones en la zapata")</f>
        <v>Hay tensiones en la zapata</v>
      </c>
      <c r="AF51" s="361"/>
      <c r="AG51" s="148">
        <f t="shared" ref="AG51:AG70" si="130">N51*AI13</f>
        <v>2882.9862149999999</v>
      </c>
      <c r="AH51" s="150">
        <f t="shared" ref="AH51:AH70" si="131">AG51/P51</f>
        <v>4.4399139779879011</v>
      </c>
      <c r="AI51" s="148">
        <f t="shared" ref="AI51:AI70" si="132">N51*AJ13</f>
        <v>2567.3307899999995</v>
      </c>
      <c r="AJ51" s="150">
        <f t="shared" ref="AJ51:AJ70" si="133">AI51/O51</f>
        <v>138.57838034783171</v>
      </c>
      <c r="AK51" s="204"/>
      <c r="AL51" s="204"/>
      <c r="AM51" s="204"/>
      <c r="AN51" s="349" t="str">
        <f>Y51</f>
        <v>Z1</v>
      </c>
      <c r="AO51" s="155">
        <f t="shared" ref="AO51:AO70" si="134">W51*X51</f>
        <v>0.38500000000000001</v>
      </c>
      <c r="AP51" s="155">
        <f t="shared" ref="AP51:AP70" si="135">(4*U13+W51)*(4*U13+X51)</f>
        <v>7.2850000000000001</v>
      </c>
      <c r="AQ51" s="150">
        <f t="shared" ref="AQ51:AQ70" si="136">MIN(SQRT(AP51/AO51),2)</f>
        <v>2</v>
      </c>
      <c r="AR51" s="150">
        <f t="shared" ref="AR51:AR70" si="137">0.65*0.85*$O$6*AO51*AQ51*10^3</f>
        <v>11911.9</v>
      </c>
      <c r="AS51" s="53" t="str">
        <f t="shared" ref="AS51:AS70" si="138">IF(AR51&gt;=N51,"OK","N/C")</f>
        <v>OK</v>
      </c>
      <c r="AT51" s="155" t="str">
        <f t="shared" ref="AT51:AT70" si="139">IF(O13&lt;&gt;"Central","SÍ","NO")</f>
        <v>SÍ</v>
      </c>
      <c r="AU51" s="144">
        <v>10.125</v>
      </c>
      <c r="AV51" s="143" t="s">
        <v>730</v>
      </c>
      <c r="AW51" s="163">
        <f t="shared" ref="AW51:AW70" si="140">MAX(AU51/(IF(AV51="DES",20,IF(AV51="DMO",30,40))),0.3)</f>
        <v>0.50624999999999998</v>
      </c>
      <c r="AX51" s="144">
        <v>0.55000000000000004</v>
      </c>
      <c r="AY51" s="144">
        <v>0.3</v>
      </c>
      <c r="AZ51" s="349" t="str">
        <f>AN51</f>
        <v>Z1</v>
      </c>
      <c r="BA51" s="153">
        <f t="shared" ref="BA51:BA70" si="141">SUM(N51/(2*AC13)*(AC13/2-X51/2)^2,O51)</f>
        <v>327.2401283854166</v>
      </c>
      <c r="BB51" s="153">
        <f t="shared" ref="BB51:BB70" si="142">BA51/(0.9*AC13*V13^2)</f>
        <v>559.16976955088489</v>
      </c>
      <c r="BC51" s="150">
        <f t="shared" ref="BC51:BC70" si="143">MAX(0.85*$O$6/$O$7*(1-SQRT(1-2*BB51/(0.85*$O$6*10^3))),0.0018)</f>
        <v>1.8E-3</v>
      </c>
      <c r="BD51" s="148">
        <f t="shared" ref="BD51:BD70" si="144">+BC51*AC13*V13*100^2</f>
        <v>27.54</v>
      </c>
      <c r="BE51" s="144">
        <v>5</v>
      </c>
      <c r="BF51" s="144">
        <v>23</v>
      </c>
      <c r="BG51" s="155">
        <f t="shared" ref="BG51:BG70" si="145">VLOOKUP(BE51,$N$91:$T$102,7,)*BF51</f>
        <v>45.77</v>
      </c>
      <c r="BH51" s="53" t="str">
        <f t="shared" ref="BH51:BH70" si="146">IF(BG51&gt;=BD51,"OK","N/C")</f>
        <v>OK</v>
      </c>
      <c r="BI51" s="148">
        <f t="shared" ref="BI51:BI70" si="147">ROUND((AC13-2*0.075)/BF51,2)</f>
        <v>0.15</v>
      </c>
      <c r="BJ51" s="155" t="str">
        <f t="shared" ref="BJ51:BJ70" si="148">BF51&amp;"#"&amp;BE51&amp;"@"&amp;ROUNDDOWN(BI51*100/5,0)*5</f>
        <v>23#5@15</v>
      </c>
      <c r="BK51" s="197">
        <f t="shared" ref="BK51:BK70" si="149">BD51/BG51</f>
        <v>0.6017041730391085</v>
      </c>
      <c r="BL51" s="349" t="str">
        <f>AZ51</f>
        <v>Z1</v>
      </c>
      <c r="BM51" s="153">
        <f t="shared" ref="BM51:BM70" si="150">(1+0.5*AA13/AC13)/1.5</f>
        <v>1</v>
      </c>
      <c r="BN51" s="157">
        <v>0.85</v>
      </c>
      <c r="BO51" s="153">
        <f t="shared" ref="BO51:BO70" si="151">BM51*BN51/0.67</f>
        <v>1.2686567164179103</v>
      </c>
      <c r="BP51" s="153">
        <f t="shared" ref="BP51:BP70" si="152">BO51*9.81*(100)^3/(10^3)</f>
        <v>12445.5223880597</v>
      </c>
      <c r="BQ51" s="155" t="s">
        <v>699</v>
      </c>
      <c r="BR51" s="155">
        <f t="shared" ref="BR51:BR70" si="153">IF(BQ51="Empotrado",0.75,1)</f>
        <v>0.75</v>
      </c>
      <c r="BS51" s="153">
        <f t="shared" ref="BS51:BS70" si="154">IF(AT51="SÍ",(N51*(AA13-W51)/2-P51)/(BM13+U13+BP51*BR51^2*BM13^2*AA13^3*AC13/(36*10^3*$O$8*V51)),0)</f>
        <v>180.93913683831249</v>
      </c>
      <c r="BT51" s="153">
        <f t="shared" ref="BT51:BT70" si="155">BP13</f>
        <v>15.852443064182193</v>
      </c>
      <c r="BU51" s="144">
        <v>10</v>
      </c>
      <c r="BV51" s="155" t="s">
        <v>191</v>
      </c>
      <c r="BW51" s="144">
        <v>6</v>
      </c>
      <c r="BX51" s="121"/>
      <c r="CI51" s="122"/>
      <c r="CJ51" s="349" t="str">
        <f>CJ13</f>
        <v>Z1</v>
      </c>
      <c r="CK51" s="153">
        <f t="shared" ref="CK51:CK70" si="156">CQ13*VLOOKUP(CS13,$N$91:$T$102,7,)</f>
        <v>28.4</v>
      </c>
      <c r="CL51" s="153">
        <f t="shared" ref="CL51:CL70" si="157">0.9*$O$7*CK51*10^3/(100^2)</f>
        <v>1073.5199999999998</v>
      </c>
      <c r="CM51" s="53" t="str">
        <f t="shared" ref="CM51:CM70" si="158">IF(AND(CL51&gt;=CL13,CK51&gt;=CP13),"OK","N/C")</f>
        <v>OK</v>
      </c>
      <c r="CU51" s="117"/>
    </row>
    <row r="52" spans="1:99" ht="15" customHeight="1" x14ac:dyDescent="0.25">
      <c r="A52" s="123"/>
      <c r="B52" s="124"/>
      <c r="C52" s="188"/>
      <c r="D52" s="124"/>
      <c r="E52" s="124"/>
      <c r="F52" s="124"/>
      <c r="G52" s="124"/>
      <c r="H52" s="125"/>
      <c r="I52" s="124"/>
      <c r="J52" s="124"/>
      <c r="K52" s="124"/>
      <c r="L52" s="126"/>
      <c r="M52" s="350"/>
      <c r="N52" s="147">
        <f t="shared" si="125"/>
        <v>788.43229999999994</v>
      </c>
      <c r="O52" s="147">
        <f t="shared" ref="O52:O70" si="159">S14+Q14*U52</f>
        <v>-15.450000000000001</v>
      </c>
      <c r="P52" s="147">
        <f t="shared" si="126"/>
        <v>-465.92200000000003</v>
      </c>
      <c r="Q52" s="143">
        <f t="shared" si="127"/>
        <v>20</v>
      </c>
      <c r="R52" s="163">
        <f t="shared" si="128"/>
        <v>3.1428571428571432</v>
      </c>
      <c r="S52" s="163">
        <f t="shared" ref="S52:S70" si="160">MAX(AA14,AC14)/MIN(AA14,AC14)</f>
        <v>1</v>
      </c>
      <c r="T52" s="155">
        <f>2*(W52+X52+2*V14)</f>
        <v>4.6000000000000005</v>
      </c>
      <c r="U52" s="164">
        <v>2</v>
      </c>
      <c r="V52" s="165">
        <f t="shared" si="129"/>
        <v>3.9302083333333324E-3</v>
      </c>
      <c r="W52" s="144">
        <v>1.1000000000000001</v>
      </c>
      <c r="X52" s="144">
        <v>0.35</v>
      </c>
      <c r="Y52" s="350"/>
      <c r="Z52" s="150">
        <f t="shared" ref="Z52:Z70" si="161">N52/(AA14*AC14)*(1+6*AD14/AC14+6*AE14/AA14)</f>
        <v>-1.0690097736625566</v>
      </c>
      <c r="AA52" s="150">
        <f t="shared" ref="AA52:AA70" si="162">N52/(AA14*AC14)*(1+6*AD14/AC14-6*AE14/AA14)</f>
        <v>2.9047556584362089</v>
      </c>
      <c r="AB52" s="151">
        <f t="shared" ref="AB52:AB70" si="163">N52/(AA14*AC14)*(1-6*AD14/AC14+6*AE14/AA14)</f>
        <v>118.76689557613169</v>
      </c>
      <c r="AC52" s="150">
        <f t="shared" ref="AC52:AC70" si="164">N52/(AA14*AC14)*(1-6*AD14/AC14-6*AE14/AA14)</f>
        <v>122.74066100823045</v>
      </c>
      <c r="AD52" s="152">
        <f t="shared" ref="AD52:AD70" si="165">MAX(Z52:AC52)/$T$6</f>
        <v>0.86980406488580386</v>
      </c>
      <c r="AE52" s="361" t="str">
        <f t="shared" ref="AE52:AE70" si="166">IF(AND(AD14&lt;AC14/6,AE14&lt;AA14/6),"Zapata a compresión","Hay tensiones en la zapata")</f>
        <v>Zapata a compresión</v>
      </c>
      <c r="AF52" s="361"/>
      <c r="AG52" s="148">
        <f t="shared" si="130"/>
        <v>2700.3806275000002</v>
      </c>
      <c r="AH52" s="150">
        <f t="shared" si="131"/>
        <v>-5.795778322337215</v>
      </c>
      <c r="AI52" s="148">
        <f t="shared" si="132"/>
        <v>2404.7185149999996</v>
      </c>
      <c r="AJ52" s="150">
        <f t="shared" si="133"/>
        <v>-155.64521132686079</v>
      </c>
      <c r="AK52" s="205"/>
      <c r="AL52" s="205"/>
      <c r="AM52" s="205"/>
      <c r="AN52" s="350"/>
      <c r="AO52" s="155">
        <f t="shared" si="134"/>
        <v>0.38500000000000001</v>
      </c>
      <c r="AP52" s="155">
        <f t="shared" si="135"/>
        <v>7.2850000000000001</v>
      </c>
      <c r="AQ52" s="150">
        <f t="shared" si="136"/>
        <v>2</v>
      </c>
      <c r="AR52" s="150">
        <f t="shared" si="137"/>
        <v>11911.9</v>
      </c>
      <c r="AS52" s="53" t="str">
        <f t="shared" si="138"/>
        <v>OK</v>
      </c>
      <c r="AT52" s="155" t="str">
        <f t="shared" si="139"/>
        <v>SÍ</v>
      </c>
      <c r="AU52" s="144">
        <v>10.125</v>
      </c>
      <c r="AV52" s="143" t="s">
        <v>730</v>
      </c>
      <c r="AW52" s="163">
        <f t="shared" si="140"/>
        <v>0.50624999999999998</v>
      </c>
      <c r="AX52" s="144">
        <v>0.55000000000000004</v>
      </c>
      <c r="AY52" s="144">
        <v>0.3</v>
      </c>
      <c r="AZ52" s="350"/>
      <c r="BA52" s="153">
        <f t="shared" si="141"/>
        <v>273.71028363715277</v>
      </c>
      <c r="BB52" s="153">
        <f t="shared" si="142"/>
        <v>467.70094175257856</v>
      </c>
      <c r="BC52" s="150">
        <f t="shared" si="143"/>
        <v>1.8E-3</v>
      </c>
      <c r="BD52" s="148">
        <f t="shared" si="144"/>
        <v>27.54</v>
      </c>
      <c r="BE52" s="144">
        <v>5</v>
      </c>
      <c r="BF52" s="144">
        <v>23</v>
      </c>
      <c r="BG52" s="155">
        <f t="shared" si="145"/>
        <v>45.77</v>
      </c>
      <c r="BH52" s="53" t="str">
        <f t="shared" si="146"/>
        <v>OK</v>
      </c>
      <c r="BI52" s="148">
        <f t="shared" si="147"/>
        <v>0.15</v>
      </c>
      <c r="BJ52" s="155" t="str">
        <f t="shared" si="148"/>
        <v>23#5@15</v>
      </c>
      <c r="BK52" s="197">
        <f t="shared" si="149"/>
        <v>0.6017041730391085</v>
      </c>
      <c r="BL52" s="350"/>
      <c r="BM52" s="153">
        <f t="shared" si="150"/>
        <v>1</v>
      </c>
      <c r="BN52" s="157">
        <v>0.85</v>
      </c>
      <c r="BO52" s="153">
        <f t="shared" si="151"/>
        <v>1.2686567164179103</v>
      </c>
      <c r="BP52" s="153">
        <f t="shared" si="152"/>
        <v>12445.5223880597</v>
      </c>
      <c r="BQ52" s="155" t="s">
        <v>699</v>
      </c>
      <c r="BR52" s="155">
        <f t="shared" si="153"/>
        <v>0.75</v>
      </c>
      <c r="BS52" s="153">
        <f t="shared" si="154"/>
        <v>651.91939918668959</v>
      </c>
      <c r="BT52" s="153">
        <f t="shared" si="155"/>
        <v>15.351435856145999</v>
      </c>
      <c r="BU52" s="144">
        <v>10</v>
      </c>
      <c r="BV52" s="155" t="s">
        <v>191</v>
      </c>
      <c r="BW52" s="144">
        <v>6</v>
      </c>
      <c r="BX52" s="121"/>
      <c r="CI52" s="122"/>
      <c r="CJ52" s="350"/>
      <c r="CK52" s="153">
        <f t="shared" si="156"/>
        <v>28.4</v>
      </c>
      <c r="CL52" s="153">
        <f t="shared" si="157"/>
        <v>1073.5199999999998</v>
      </c>
      <c r="CM52" s="53" t="str">
        <f t="shared" si="158"/>
        <v>OK</v>
      </c>
      <c r="CU52" s="117"/>
    </row>
    <row r="53" spans="1:99" ht="15" customHeight="1" x14ac:dyDescent="0.25">
      <c r="A53" s="123"/>
      <c r="B53" s="124"/>
      <c r="C53" s="188"/>
      <c r="D53" s="124"/>
      <c r="E53" s="124"/>
      <c r="F53" s="124"/>
      <c r="G53" s="124"/>
      <c r="H53" s="125"/>
      <c r="I53" s="124"/>
      <c r="J53" s="124"/>
      <c r="K53" s="124"/>
      <c r="L53" s="126"/>
      <c r="M53" s="349" t="str">
        <f>M15</f>
        <v>Z2</v>
      </c>
      <c r="N53" s="147">
        <f t="shared" si="125"/>
        <v>1000.5154</v>
      </c>
      <c r="O53" s="147">
        <f t="shared" si="159"/>
        <v>16.504300000000001</v>
      </c>
      <c r="P53" s="147">
        <f t="shared" si="126"/>
        <v>634.86199999999997</v>
      </c>
      <c r="Q53" s="143">
        <f t="shared" si="127"/>
        <v>30</v>
      </c>
      <c r="R53" s="163">
        <f t="shared" si="128"/>
        <v>3.1428571428571432</v>
      </c>
      <c r="S53" s="163">
        <f t="shared" si="160"/>
        <v>1.1282051282051284</v>
      </c>
      <c r="T53" s="155">
        <f t="shared" ref="T53:T70" si="167">2*(W53+X53+2*V15)</f>
        <v>4.6000000000000005</v>
      </c>
      <c r="U53" s="164">
        <v>2</v>
      </c>
      <c r="V53" s="165">
        <f t="shared" si="129"/>
        <v>3.9302083333333324E-3</v>
      </c>
      <c r="W53" s="144">
        <v>1.1000000000000001</v>
      </c>
      <c r="X53" s="144">
        <v>0.35</v>
      </c>
      <c r="Y53" s="349" t="str">
        <f>M53</f>
        <v>Z2</v>
      </c>
      <c r="Z53" s="150">
        <f t="shared" si="161"/>
        <v>116.53450074983292</v>
      </c>
      <c r="AA53" s="150">
        <f t="shared" si="162"/>
        <v>113.91143971995371</v>
      </c>
      <c r="AB53" s="151">
        <f t="shared" si="163"/>
        <v>2.6987467602327788</v>
      </c>
      <c r="AC53" s="150">
        <f t="shared" si="164"/>
        <v>7.5685730353567196E-2</v>
      </c>
      <c r="AD53" s="152">
        <f t="shared" si="165"/>
        <v>0.82582399034697662</v>
      </c>
      <c r="AE53" s="361" t="str">
        <f t="shared" si="166"/>
        <v>Zapata a compresión</v>
      </c>
      <c r="AF53" s="361"/>
      <c r="AG53" s="148">
        <f t="shared" si="130"/>
        <v>3726.9198650000003</v>
      </c>
      <c r="AH53" s="150">
        <f t="shared" si="131"/>
        <v>5.8704409225942022</v>
      </c>
      <c r="AI53" s="148">
        <f t="shared" si="132"/>
        <v>2201.1338800000003</v>
      </c>
      <c r="AJ53" s="150">
        <f t="shared" si="133"/>
        <v>133.36729700744655</v>
      </c>
      <c r="AK53" s="204"/>
      <c r="AL53" s="204"/>
      <c r="AM53" s="204"/>
      <c r="AN53" s="349" t="str">
        <f>Y53</f>
        <v>Z2</v>
      </c>
      <c r="AO53" s="155">
        <f t="shared" si="134"/>
        <v>0.38500000000000001</v>
      </c>
      <c r="AP53" s="155">
        <f t="shared" si="135"/>
        <v>7.2850000000000001</v>
      </c>
      <c r="AQ53" s="150">
        <f t="shared" si="136"/>
        <v>2</v>
      </c>
      <c r="AR53" s="150">
        <f t="shared" si="137"/>
        <v>11911.9</v>
      </c>
      <c r="AS53" s="53" t="str">
        <f t="shared" si="138"/>
        <v>OK</v>
      </c>
      <c r="AT53" s="155" t="str">
        <f t="shared" si="139"/>
        <v>SÍ</v>
      </c>
      <c r="AU53" s="144">
        <v>10.125</v>
      </c>
      <c r="AV53" s="143" t="s">
        <v>730</v>
      </c>
      <c r="AW53" s="163">
        <f t="shared" si="140"/>
        <v>0.50624999999999998</v>
      </c>
      <c r="AX53" s="144">
        <v>0.55000000000000004</v>
      </c>
      <c r="AY53" s="144">
        <v>0.3</v>
      </c>
      <c r="AZ53" s="349" t="str">
        <f>AN53</f>
        <v>Z2</v>
      </c>
      <c r="BA53" s="153">
        <f t="shared" si="141"/>
        <v>420.63876565705129</v>
      </c>
      <c r="BB53" s="153">
        <f t="shared" si="142"/>
        <v>663.47462519473004</v>
      </c>
      <c r="BC53" s="150">
        <f t="shared" si="143"/>
        <v>1.8E-3</v>
      </c>
      <c r="BD53" s="148">
        <f t="shared" si="144"/>
        <v>29.834999999999997</v>
      </c>
      <c r="BE53" s="144">
        <v>5</v>
      </c>
      <c r="BF53" s="144">
        <v>23</v>
      </c>
      <c r="BG53" s="155">
        <f t="shared" si="145"/>
        <v>45.77</v>
      </c>
      <c r="BH53" s="53" t="str">
        <f t="shared" si="146"/>
        <v>OK</v>
      </c>
      <c r="BI53" s="148">
        <f t="shared" si="147"/>
        <v>0.16</v>
      </c>
      <c r="BJ53" s="155" t="str">
        <f t="shared" si="148"/>
        <v>23#5@15</v>
      </c>
      <c r="BK53" s="197">
        <f t="shared" si="149"/>
        <v>0.65184618745903422</v>
      </c>
      <c r="BL53" s="349" t="str">
        <f>AZ53</f>
        <v>Z2</v>
      </c>
      <c r="BM53" s="153">
        <f t="shared" si="150"/>
        <v>1.0427350427350428</v>
      </c>
      <c r="BN53" s="157">
        <v>0.85</v>
      </c>
      <c r="BO53" s="153">
        <f t="shared" si="151"/>
        <v>1.3228728154101288</v>
      </c>
      <c r="BP53" s="153">
        <f t="shared" si="152"/>
        <v>12977.382319173365</v>
      </c>
      <c r="BQ53" s="155" t="s">
        <v>699</v>
      </c>
      <c r="BR53" s="155">
        <f t="shared" si="153"/>
        <v>0.75</v>
      </c>
      <c r="BS53" s="153">
        <f t="shared" si="154"/>
        <v>368.21689649006225</v>
      </c>
      <c r="BT53" s="153">
        <f t="shared" si="155"/>
        <v>25.064735986504104</v>
      </c>
      <c r="BU53" s="144">
        <v>10</v>
      </c>
      <c r="BV53" s="155" t="s">
        <v>191</v>
      </c>
      <c r="BW53" s="144">
        <v>6</v>
      </c>
      <c r="BX53" s="121"/>
      <c r="CI53" s="122"/>
      <c r="CJ53" s="349" t="str">
        <f>CJ15</f>
        <v>Z2</v>
      </c>
      <c r="CK53" s="153">
        <f t="shared" si="156"/>
        <v>28.4</v>
      </c>
      <c r="CL53" s="153">
        <f t="shared" si="157"/>
        <v>1073.5199999999998</v>
      </c>
      <c r="CM53" s="53" t="str">
        <f t="shared" si="158"/>
        <v>OK</v>
      </c>
      <c r="CU53" s="117"/>
    </row>
    <row r="54" spans="1:99" ht="15" customHeight="1" x14ac:dyDescent="0.25">
      <c r="A54" s="123"/>
      <c r="B54" s="124"/>
      <c r="C54" s="188"/>
      <c r="D54" s="124"/>
      <c r="E54" s="124"/>
      <c r="F54" s="124"/>
      <c r="G54" s="124"/>
      <c r="H54" s="125"/>
      <c r="I54" s="124"/>
      <c r="J54" s="124"/>
      <c r="K54" s="124"/>
      <c r="L54" s="126"/>
      <c r="M54" s="350"/>
      <c r="N54" s="147">
        <f t="shared" si="125"/>
        <v>947.38810000000001</v>
      </c>
      <c r="O54" s="147">
        <f t="shared" si="159"/>
        <v>-19.2956</v>
      </c>
      <c r="P54" s="147">
        <f t="shared" si="126"/>
        <v>-458.24239999999998</v>
      </c>
      <c r="Q54" s="143">
        <f t="shared" si="127"/>
        <v>30</v>
      </c>
      <c r="R54" s="163">
        <f t="shared" si="128"/>
        <v>3.1428571428571432</v>
      </c>
      <c r="S54" s="163">
        <f t="shared" si="160"/>
        <v>1.1282051282051284</v>
      </c>
      <c r="T54" s="155">
        <f t="shared" si="167"/>
        <v>4.6000000000000005</v>
      </c>
      <c r="U54" s="164">
        <v>2</v>
      </c>
      <c r="V54" s="165">
        <f t="shared" si="129"/>
        <v>3.9302083333333324E-3</v>
      </c>
      <c r="W54" s="144">
        <v>1.1000000000000001</v>
      </c>
      <c r="X54" s="144">
        <v>0.35</v>
      </c>
      <c r="Y54" s="350"/>
      <c r="Z54" s="150">
        <f t="shared" si="161"/>
        <v>12.592518093794318</v>
      </c>
      <c r="AA54" s="150">
        <f t="shared" si="162"/>
        <v>15.659205951391264</v>
      </c>
      <c r="AB54" s="151">
        <f t="shared" si="163"/>
        <v>94.758987521802197</v>
      </c>
      <c r="AC54" s="150">
        <f t="shared" si="164"/>
        <v>97.825675379399158</v>
      </c>
      <c r="AD54" s="152">
        <f t="shared" si="165"/>
        <v>0.69324353801137495</v>
      </c>
      <c r="AE54" s="361" t="str">
        <f t="shared" si="166"/>
        <v>Zapata a compresión</v>
      </c>
      <c r="AF54" s="361"/>
      <c r="AG54" s="148">
        <f t="shared" si="130"/>
        <v>3529.0206725000003</v>
      </c>
      <c r="AH54" s="150">
        <f t="shared" si="131"/>
        <v>-7.7012093872151519</v>
      </c>
      <c r="AI54" s="148">
        <f t="shared" si="132"/>
        <v>2084.2538200000004</v>
      </c>
      <c r="AJ54" s="150">
        <f t="shared" si="133"/>
        <v>-108.01705155579512</v>
      </c>
      <c r="AK54" s="205"/>
      <c r="AL54" s="205"/>
      <c r="AM54" s="205"/>
      <c r="AN54" s="350"/>
      <c r="AO54" s="155">
        <f t="shared" si="134"/>
        <v>0.38500000000000001</v>
      </c>
      <c r="AP54" s="155">
        <f t="shared" si="135"/>
        <v>7.2850000000000001</v>
      </c>
      <c r="AQ54" s="150">
        <f t="shared" si="136"/>
        <v>2</v>
      </c>
      <c r="AR54" s="150">
        <f t="shared" si="137"/>
        <v>11911.9</v>
      </c>
      <c r="AS54" s="53" t="str">
        <f t="shared" si="138"/>
        <v>OK</v>
      </c>
      <c r="AT54" s="155" t="str">
        <f t="shared" si="139"/>
        <v>SÍ</v>
      </c>
      <c r="AU54" s="144">
        <v>10.125</v>
      </c>
      <c r="AV54" s="143" t="s">
        <v>730</v>
      </c>
      <c r="AW54" s="163">
        <f t="shared" si="140"/>
        <v>0.50624999999999998</v>
      </c>
      <c r="AX54" s="144">
        <v>0.55000000000000004</v>
      </c>
      <c r="AY54" s="144">
        <v>0.3</v>
      </c>
      <c r="AZ54" s="350"/>
      <c r="BA54" s="153">
        <f t="shared" si="141"/>
        <v>363.37935289262822</v>
      </c>
      <c r="BB54" s="153">
        <f t="shared" si="142"/>
        <v>573.15920368714717</v>
      </c>
      <c r="BC54" s="150">
        <f t="shared" si="143"/>
        <v>1.8E-3</v>
      </c>
      <c r="BD54" s="148">
        <f t="shared" si="144"/>
        <v>29.834999999999997</v>
      </c>
      <c r="BE54" s="144">
        <v>5</v>
      </c>
      <c r="BF54" s="144">
        <v>23</v>
      </c>
      <c r="BG54" s="155">
        <f t="shared" si="145"/>
        <v>45.77</v>
      </c>
      <c r="BH54" s="53" t="str">
        <f t="shared" si="146"/>
        <v>OK</v>
      </c>
      <c r="BI54" s="148">
        <f t="shared" si="147"/>
        <v>0.16</v>
      </c>
      <c r="BJ54" s="155" t="str">
        <f t="shared" si="148"/>
        <v>23#5@15</v>
      </c>
      <c r="BK54" s="197">
        <f t="shared" si="149"/>
        <v>0.65184618745903422</v>
      </c>
      <c r="BL54" s="350"/>
      <c r="BM54" s="153">
        <f t="shared" si="150"/>
        <v>1.0427350427350428</v>
      </c>
      <c r="BN54" s="157">
        <v>0.85</v>
      </c>
      <c r="BO54" s="153">
        <f t="shared" si="151"/>
        <v>1.3228728154101288</v>
      </c>
      <c r="BP54" s="153">
        <f t="shared" si="152"/>
        <v>12977.382319173365</v>
      </c>
      <c r="BQ54" s="155" t="s">
        <v>699</v>
      </c>
      <c r="BR54" s="155">
        <f t="shared" si="153"/>
        <v>0.75</v>
      </c>
      <c r="BS54" s="153">
        <f t="shared" si="154"/>
        <v>732.61239189886533</v>
      </c>
      <c r="BT54" s="153">
        <f t="shared" si="155"/>
        <v>24.269395981903227</v>
      </c>
      <c r="BU54" s="144">
        <v>10</v>
      </c>
      <c r="BV54" s="155" t="s">
        <v>191</v>
      </c>
      <c r="BW54" s="144">
        <v>6</v>
      </c>
      <c r="BX54" s="121"/>
      <c r="CI54" s="122"/>
      <c r="CJ54" s="350"/>
      <c r="CK54" s="153">
        <f t="shared" si="156"/>
        <v>28.4</v>
      </c>
      <c r="CL54" s="153">
        <f t="shared" si="157"/>
        <v>1073.5199999999998</v>
      </c>
      <c r="CM54" s="53" t="str">
        <f t="shared" si="158"/>
        <v>OK</v>
      </c>
      <c r="CU54" s="117"/>
    </row>
    <row r="55" spans="1:99" ht="15" customHeight="1" x14ac:dyDescent="0.25">
      <c r="A55" s="123"/>
      <c r="B55" s="124"/>
      <c r="C55" s="188"/>
      <c r="D55" s="124"/>
      <c r="E55" s="124"/>
      <c r="F55" s="124"/>
      <c r="G55" s="124"/>
      <c r="H55" s="125"/>
      <c r="I55" s="124"/>
      <c r="J55" s="124"/>
      <c r="K55" s="124"/>
      <c r="L55" s="126"/>
      <c r="M55" s="349" t="str">
        <f>M17</f>
        <v>Z1</v>
      </c>
      <c r="N55" s="147">
        <f t="shared" si="125"/>
        <v>1042.2014999999999</v>
      </c>
      <c r="O55" s="147">
        <f t="shared" si="159"/>
        <v>12.536699999999996</v>
      </c>
      <c r="P55" s="147">
        <f t="shared" si="126"/>
        <v>558.51469999999995</v>
      </c>
      <c r="Q55" s="143">
        <f t="shared" si="127"/>
        <v>20</v>
      </c>
      <c r="R55" s="163">
        <f t="shared" si="128"/>
        <v>3.1428571428571432</v>
      </c>
      <c r="S55" s="163">
        <f t="shared" si="160"/>
        <v>1</v>
      </c>
      <c r="T55" s="155">
        <f t="shared" si="167"/>
        <v>4.6000000000000005</v>
      </c>
      <c r="U55" s="164">
        <v>2</v>
      </c>
      <c r="V55" s="165">
        <f t="shared" si="129"/>
        <v>3.9302083333333324E-3</v>
      </c>
      <c r="W55" s="144">
        <v>1.1000000000000001</v>
      </c>
      <c r="X55" s="144">
        <v>0.35</v>
      </c>
      <c r="Y55" s="349" t="str">
        <f>M55</f>
        <v>Z1</v>
      </c>
      <c r="Z55" s="150">
        <f t="shared" si="161"/>
        <v>153.85446244855967</v>
      </c>
      <c r="AA55" s="150">
        <f t="shared" si="162"/>
        <v>150.63000257201645</v>
      </c>
      <c r="AB55" s="151">
        <f t="shared" si="163"/>
        <v>10.203562242798352</v>
      </c>
      <c r="AC55" s="150">
        <f t="shared" si="164"/>
        <v>6.9791023662551419</v>
      </c>
      <c r="AD55" s="152">
        <f t="shared" si="165"/>
        <v>1.0902926197342533</v>
      </c>
      <c r="AE55" s="361" t="str">
        <f t="shared" si="166"/>
        <v>Zapata a compresión</v>
      </c>
      <c r="AF55" s="361"/>
      <c r="AG55" s="148">
        <f t="shared" si="130"/>
        <v>3569.5401375000001</v>
      </c>
      <c r="AH55" s="150">
        <f t="shared" si="131"/>
        <v>6.3911301484097027</v>
      </c>
      <c r="AI55" s="148">
        <f t="shared" si="132"/>
        <v>3178.7145749999995</v>
      </c>
      <c r="AJ55" s="150">
        <f t="shared" si="133"/>
        <v>253.55273516954227</v>
      </c>
      <c r="AK55" s="204"/>
      <c r="AL55" s="204"/>
      <c r="AM55" s="204"/>
      <c r="AN55" s="349" t="str">
        <f>Y55</f>
        <v>Z1</v>
      </c>
      <c r="AO55" s="155">
        <f t="shared" si="134"/>
        <v>0.38500000000000001</v>
      </c>
      <c r="AP55" s="155">
        <f t="shared" si="135"/>
        <v>7.2850000000000001</v>
      </c>
      <c r="AQ55" s="150">
        <f t="shared" si="136"/>
        <v>2</v>
      </c>
      <c r="AR55" s="150">
        <f t="shared" si="137"/>
        <v>11911.9</v>
      </c>
      <c r="AS55" s="53" t="str">
        <f t="shared" si="138"/>
        <v>OK</v>
      </c>
      <c r="AT55" s="155" t="str">
        <f t="shared" si="139"/>
        <v>SÍ</v>
      </c>
      <c r="AU55" s="144">
        <v>10.125</v>
      </c>
      <c r="AV55" s="143" t="s">
        <v>730</v>
      </c>
      <c r="AW55" s="163">
        <f t="shared" si="140"/>
        <v>0.50624999999999998</v>
      </c>
      <c r="AX55" s="144">
        <v>0.55000000000000004</v>
      </c>
      <c r="AY55" s="144">
        <v>0.3</v>
      </c>
      <c r="AZ55" s="349" t="str">
        <f>AN55</f>
        <v>Z1</v>
      </c>
      <c r="BA55" s="153">
        <f t="shared" si="141"/>
        <v>394.76771888020829</v>
      </c>
      <c r="BB55" s="153">
        <f t="shared" si="142"/>
        <v>674.55716840567015</v>
      </c>
      <c r="BC55" s="150">
        <f t="shared" si="143"/>
        <v>1.8E-3</v>
      </c>
      <c r="BD55" s="148">
        <f t="shared" si="144"/>
        <v>27.54</v>
      </c>
      <c r="BE55" s="144">
        <v>5</v>
      </c>
      <c r="BF55" s="144">
        <v>23</v>
      </c>
      <c r="BG55" s="155">
        <f t="shared" si="145"/>
        <v>45.77</v>
      </c>
      <c r="BH55" s="53" t="str">
        <f t="shared" si="146"/>
        <v>OK</v>
      </c>
      <c r="BI55" s="148">
        <f t="shared" si="147"/>
        <v>0.15</v>
      </c>
      <c r="BJ55" s="155" t="str">
        <f t="shared" si="148"/>
        <v>23#5@15</v>
      </c>
      <c r="BK55" s="197">
        <f t="shared" si="149"/>
        <v>0.6017041730391085</v>
      </c>
      <c r="BL55" s="349" t="str">
        <f>AZ55</f>
        <v>Z1</v>
      </c>
      <c r="BM55" s="153">
        <f t="shared" si="150"/>
        <v>1</v>
      </c>
      <c r="BN55" s="157">
        <v>0.85</v>
      </c>
      <c r="BO55" s="153">
        <f t="shared" si="151"/>
        <v>1.2686567164179103</v>
      </c>
      <c r="BP55" s="153">
        <f t="shared" si="152"/>
        <v>12445.5223880597</v>
      </c>
      <c r="BQ55" s="155" t="s">
        <v>699</v>
      </c>
      <c r="BR55" s="155">
        <f t="shared" si="153"/>
        <v>0.75</v>
      </c>
      <c r="BS55" s="153">
        <f t="shared" si="154"/>
        <v>334.27160106606215</v>
      </c>
      <c r="BT55" s="153">
        <f t="shared" si="155"/>
        <v>19.787058891189321</v>
      </c>
      <c r="BU55" s="144">
        <v>10</v>
      </c>
      <c r="BV55" s="155" t="s">
        <v>191</v>
      </c>
      <c r="BW55" s="144">
        <v>6</v>
      </c>
      <c r="BX55" s="121"/>
      <c r="CI55" s="122"/>
      <c r="CJ55" s="349" t="str">
        <f>CJ17</f>
        <v>Z1</v>
      </c>
      <c r="CK55" s="153">
        <f t="shared" si="156"/>
        <v>28.4</v>
      </c>
      <c r="CL55" s="153">
        <f t="shared" si="157"/>
        <v>1073.5199999999998</v>
      </c>
      <c r="CM55" s="53" t="str">
        <f t="shared" si="158"/>
        <v>OK</v>
      </c>
      <c r="CU55" s="117"/>
    </row>
    <row r="56" spans="1:99" ht="15" customHeight="1" x14ac:dyDescent="0.25">
      <c r="A56" s="123"/>
      <c r="B56" s="124"/>
      <c r="C56" s="188"/>
      <c r="D56" s="124"/>
      <c r="E56" s="124"/>
      <c r="F56" s="124"/>
      <c r="G56" s="124"/>
      <c r="H56" s="125"/>
      <c r="I56" s="124"/>
      <c r="J56" s="124"/>
      <c r="K56" s="124"/>
      <c r="L56" s="126"/>
      <c r="M56" s="350"/>
      <c r="N56" s="147">
        <f t="shared" si="125"/>
        <v>1027.7684999999999</v>
      </c>
      <c r="O56" s="147">
        <f t="shared" si="159"/>
        <v>-20.3992</v>
      </c>
      <c r="P56" s="147">
        <f t="shared" si="126"/>
        <v>-590.72249999999997</v>
      </c>
      <c r="Q56" s="143">
        <f t="shared" si="127"/>
        <v>20</v>
      </c>
      <c r="R56" s="163">
        <f t="shared" si="128"/>
        <v>3.1428571428571432</v>
      </c>
      <c r="S56" s="163">
        <f t="shared" si="160"/>
        <v>1</v>
      </c>
      <c r="T56" s="155">
        <f t="shared" si="167"/>
        <v>4.6000000000000005</v>
      </c>
      <c r="U56" s="164">
        <v>2</v>
      </c>
      <c r="V56" s="165">
        <f t="shared" si="129"/>
        <v>3.9302083333333324E-3</v>
      </c>
      <c r="W56" s="144">
        <v>1.1000000000000001</v>
      </c>
      <c r="X56" s="144">
        <v>0.35</v>
      </c>
      <c r="Y56" s="350"/>
      <c r="Z56" s="150">
        <f t="shared" si="161"/>
        <v>0.71237139917696013</v>
      </c>
      <c r="AA56" s="150">
        <f t="shared" si="162"/>
        <v>5.9590792181070009</v>
      </c>
      <c r="AB56" s="151">
        <f t="shared" si="163"/>
        <v>152.64717078189298</v>
      </c>
      <c r="AC56" s="150">
        <f t="shared" si="164"/>
        <v>157.89387860082303</v>
      </c>
      <c r="AD56" s="152">
        <f t="shared" si="165"/>
        <v>1.1189180203157967</v>
      </c>
      <c r="AE56" s="361" t="str">
        <f t="shared" si="166"/>
        <v>Zapata a compresión</v>
      </c>
      <c r="AF56" s="361"/>
      <c r="AG56" s="148">
        <f t="shared" si="130"/>
        <v>3520.1071124999999</v>
      </c>
      <c r="AH56" s="150">
        <f t="shared" si="131"/>
        <v>-5.9589860086588882</v>
      </c>
      <c r="AI56" s="148">
        <f t="shared" si="132"/>
        <v>3134.6939249999996</v>
      </c>
      <c r="AJ56" s="150">
        <f t="shared" si="133"/>
        <v>-153.6674930879642</v>
      </c>
      <c r="AK56" s="205"/>
      <c r="AL56" s="205"/>
      <c r="AM56" s="205"/>
      <c r="AN56" s="350"/>
      <c r="AO56" s="155">
        <f t="shared" si="134"/>
        <v>0.38500000000000001</v>
      </c>
      <c r="AP56" s="155">
        <f t="shared" si="135"/>
        <v>7.2850000000000001</v>
      </c>
      <c r="AQ56" s="150">
        <f t="shared" si="136"/>
        <v>2</v>
      </c>
      <c r="AR56" s="150">
        <f t="shared" si="137"/>
        <v>11911.9</v>
      </c>
      <c r="AS56" s="53" t="str">
        <f t="shared" si="138"/>
        <v>OK</v>
      </c>
      <c r="AT56" s="155" t="str">
        <f t="shared" si="139"/>
        <v>SÍ</v>
      </c>
      <c r="AU56" s="144">
        <v>10.125</v>
      </c>
      <c r="AV56" s="143" t="s">
        <v>730</v>
      </c>
      <c r="AW56" s="163">
        <f t="shared" si="140"/>
        <v>0.50624999999999998</v>
      </c>
      <c r="AX56" s="144">
        <v>0.55000000000000004</v>
      </c>
      <c r="AY56" s="144">
        <v>0.3</v>
      </c>
      <c r="AZ56" s="350"/>
      <c r="BA56" s="153">
        <f t="shared" si="141"/>
        <v>356.53846601562498</v>
      </c>
      <c r="BB56" s="153">
        <f t="shared" si="142"/>
        <v>609.23314283502066</v>
      </c>
      <c r="BC56" s="150">
        <f t="shared" si="143"/>
        <v>1.8E-3</v>
      </c>
      <c r="BD56" s="148">
        <f t="shared" si="144"/>
        <v>27.54</v>
      </c>
      <c r="BE56" s="144">
        <v>5</v>
      </c>
      <c r="BF56" s="144">
        <v>23</v>
      </c>
      <c r="BG56" s="155">
        <f t="shared" si="145"/>
        <v>45.77</v>
      </c>
      <c r="BH56" s="53" t="str">
        <f t="shared" si="146"/>
        <v>OK</v>
      </c>
      <c r="BI56" s="148">
        <f t="shared" si="147"/>
        <v>0.15</v>
      </c>
      <c r="BJ56" s="155" t="str">
        <f t="shared" si="148"/>
        <v>23#5@15</v>
      </c>
      <c r="BK56" s="197">
        <f t="shared" si="149"/>
        <v>0.6017041730391085</v>
      </c>
      <c r="BL56" s="350"/>
      <c r="BM56" s="153">
        <f t="shared" si="150"/>
        <v>1</v>
      </c>
      <c r="BN56" s="157">
        <v>0.85</v>
      </c>
      <c r="BO56" s="153">
        <f t="shared" si="151"/>
        <v>1.2686567164179103</v>
      </c>
      <c r="BP56" s="153">
        <f t="shared" si="152"/>
        <v>12445.5223880597</v>
      </c>
      <c r="BQ56" s="155" t="s">
        <v>699</v>
      </c>
      <c r="BR56" s="155">
        <f t="shared" si="153"/>
        <v>0.75</v>
      </c>
      <c r="BS56" s="153">
        <f t="shared" si="154"/>
        <v>842.34442251030839</v>
      </c>
      <c r="BT56" s="153">
        <f t="shared" si="155"/>
        <v>20.015486925849245</v>
      </c>
      <c r="BU56" s="144">
        <v>10</v>
      </c>
      <c r="BV56" s="155" t="s">
        <v>191</v>
      </c>
      <c r="BW56" s="144">
        <v>6</v>
      </c>
      <c r="BX56" s="121"/>
      <c r="CI56" s="122"/>
      <c r="CJ56" s="350"/>
      <c r="CK56" s="153">
        <f t="shared" si="156"/>
        <v>28.4</v>
      </c>
      <c r="CL56" s="153">
        <f t="shared" si="157"/>
        <v>1073.5199999999998</v>
      </c>
      <c r="CM56" s="53" t="str">
        <f t="shared" si="158"/>
        <v>OK</v>
      </c>
      <c r="CU56" s="117"/>
    </row>
    <row r="57" spans="1:99" ht="15" customHeight="1" x14ac:dyDescent="0.25">
      <c r="A57" s="123"/>
      <c r="B57" s="124"/>
      <c r="C57" s="188"/>
      <c r="D57" s="124"/>
      <c r="E57" s="124"/>
      <c r="F57" s="124"/>
      <c r="G57" s="124"/>
      <c r="H57" s="125"/>
      <c r="I57" s="124"/>
      <c r="J57" s="124"/>
      <c r="K57" s="124"/>
      <c r="L57" s="126"/>
      <c r="M57" s="349" t="str">
        <f>M19</f>
        <v>Z4</v>
      </c>
      <c r="N57" s="147">
        <f t="shared" si="125"/>
        <v>766.34179999999992</v>
      </c>
      <c r="O57" s="147">
        <f t="shared" si="159"/>
        <v>14.4275</v>
      </c>
      <c r="P57" s="147">
        <f t="shared" si="126"/>
        <v>458.62029999999999</v>
      </c>
      <c r="Q57" s="143">
        <f t="shared" si="127"/>
        <v>30</v>
      </c>
      <c r="R57" s="163">
        <f>MAX(W57:X57)/MIN(W57:X57)</f>
        <v>3.1428571428571432</v>
      </c>
      <c r="S57" s="163">
        <f t="shared" si="160"/>
        <v>1.2666666666666666</v>
      </c>
      <c r="T57" s="155">
        <f>2*(W57+X57+2*V19)</f>
        <v>4.6000000000000005</v>
      </c>
      <c r="U57" s="164">
        <v>2</v>
      </c>
      <c r="V57" s="165">
        <f>W57*X57^3/12</f>
        <v>3.8820833333333339E-2</v>
      </c>
      <c r="W57" s="144">
        <v>0.35</v>
      </c>
      <c r="X57" s="144">
        <v>1.1000000000000001</v>
      </c>
      <c r="Y57" s="349" t="str">
        <f>M57</f>
        <v>Z4</v>
      </c>
      <c r="Z57" s="150">
        <f t="shared" si="161"/>
        <v>133.27492243767313</v>
      </c>
      <c r="AA57" s="150">
        <f t="shared" si="162"/>
        <v>128.21264173591874</v>
      </c>
      <c r="AB57" s="151">
        <f t="shared" si="163"/>
        <v>6.2332880886426576</v>
      </c>
      <c r="AC57" s="150">
        <f t="shared" si="164"/>
        <v>1.1710073868882707</v>
      </c>
      <c r="AD57" s="152">
        <f t="shared" si="165"/>
        <v>0.94445531196752341</v>
      </c>
      <c r="AE57" s="361" t="str">
        <f t="shared" si="166"/>
        <v>Zapata a compresión</v>
      </c>
      <c r="AF57" s="361"/>
      <c r="AG57" s="148">
        <f t="shared" si="130"/>
        <v>1456.0494199999998</v>
      </c>
      <c r="AH57" s="150">
        <f t="shared" si="131"/>
        <v>3.1748472974266511</v>
      </c>
      <c r="AI57" s="148">
        <f t="shared" si="132"/>
        <v>2164.9155849999997</v>
      </c>
      <c r="AJ57" s="150">
        <f t="shared" si="133"/>
        <v>150.05479708889271</v>
      </c>
      <c r="AK57" s="204"/>
      <c r="AL57" s="204"/>
      <c r="AM57" s="204"/>
      <c r="AN57" s="349" t="str">
        <f>Y57</f>
        <v>Z4</v>
      </c>
      <c r="AO57" s="155">
        <f>W57*X57</f>
        <v>0.38500000000000001</v>
      </c>
      <c r="AP57" s="155">
        <f>(4*U19+W57)*(4*U19+X57)</f>
        <v>7.2850000000000001</v>
      </c>
      <c r="AQ57" s="150">
        <f t="shared" si="136"/>
        <v>2</v>
      </c>
      <c r="AR57" s="150">
        <f t="shared" si="137"/>
        <v>11911.9</v>
      </c>
      <c r="AS57" s="53" t="str">
        <f t="shared" si="138"/>
        <v>OK</v>
      </c>
      <c r="AT57" s="155" t="str">
        <f t="shared" si="139"/>
        <v>SÍ</v>
      </c>
      <c r="AU57" s="144">
        <v>10.125</v>
      </c>
      <c r="AV57" s="143" t="s">
        <v>730</v>
      </c>
      <c r="AW57" s="163">
        <f t="shared" si="140"/>
        <v>0.50624999999999998</v>
      </c>
      <c r="AX57" s="144">
        <v>0.55000000000000004</v>
      </c>
      <c r="AY57" s="144">
        <v>0.3</v>
      </c>
      <c r="AZ57" s="349" t="str">
        <f>AN57</f>
        <v>Z4</v>
      </c>
      <c r="BA57" s="153">
        <f>SUM(N57/(2*AC19)*(AC19/2-X57/2)^2,O57)</f>
        <v>198.19828032894733</v>
      </c>
      <c r="BB57" s="153">
        <f t="shared" si="142"/>
        <v>320.84547292166553</v>
      </c>
      <c r="BC57" s="150">
        <f t="shared" si="143"/>
        <v>1.8E-3</v>
      </c>
      <c r="BD57" s="148">
        <f t="shared" si="144"/>
        <v>29.07</v>
      </c>
      <c r="BE57" s="144">
        <v>5</v>
      </c>
      <c r="BF57" s="144">
        <v>17</v>
      </c>
      <c r="BG57" s="155">
        <f t="shared" si="145"/>
        <v>33.83</v>
      </c>
      <c r="BH57" s="53" t="str">
        <f t="shared" si="146"/>
        <v>OK</v>
      </c>
      <c r="BI57" s="148">
        <f t="shared" si="147"/>
        <v>0.21</v>
      </c>
      <c r="BJ57" s="155" t="str">
        <f t="shared" si="148"/>
        <v>17#5@20</v>
      </c>
      <c r="BK57" s="197">
        <f t="shared" si="149"/>
        <v>0.85929648241206036</v>
      </c>
      <c r="BL57" s="349" t="str">
        <f>AZ57</f>
        <v>Z4</v>
      </c>
      <c r="BM57" s="153">
        <f t="shared" si="150"/>
        <v>0.92982456140350889</v>
      </c>
      <c r="BN57" s="157">
        <v>0.85</v>
      </c>
      <c r="BO57" s="153">
        <f t="shared" si="151"/>
        <v>1.1796281749148994</v>
      </c>
      <c r="BP57" s="153">
        <f t="shared" si="152"/>
        <v>11572.152395915164</v>
      </c>
      <c r="BQ57" s="155" t="s">
        <v>699</v>
      </c>
      <c r="BR57" s="155">
        <f t="shared" si="153"/>
        <v>0.75</v>
      </c>
      <c r="BS57" s="153">
        <f t="shared" si="154"/>
        <v>317.46586941684455</v>
      </c>
      <c r="BT57" s="153">
        <f t="shared" si="155"/>
        <v>15.351205965800164</v>
      </c>
      <c r="BU57" s="144">
        <v>10</v>
      </c>
      <c r="BV57" s="155" t="s">
        <v>191</v>
      </c>
      <c r="BW57" s="144">
        <v>6</v>
      </c>
      <c r="BX57" s="121"/>
      <c r="CI57" s="122"/>
      <c r="CJ57" s="349" t="str">
        <f>CJ19</f>
        <v>Z4</v>
      </c>
      <c r="CK57" s="153">
        <f t="shared" si="156"/>
        <v>28.4</v>
      </c>
      <c r="CL57" s="153">
        <f t="shared" si="157"/>
        <v>1073.5199999999998</v>
      </c>
      <c r="CM57" s="53" t="str">
        <f t="shared" si="158"/>
        <v>OK</v>
      </c>
      <c r="CU57" s="117"/>
    </row>
    <row r="58" spans="1:99" ht="15" customHeight="1" x14ac:dyDescent="0.25">
      <c r="A58" s="123"/>
      <c r="L58" s="126"/>
      <c r="M58" s="350"/>
      <c r="N58" s="147">
        <f t="shared" si="125"/>
        <v>707.82869999999991</v>
      </c>
      <c r="O58" s="147">
        <f t="shared" si="159"/>
        <v>-20.9803</v>
      </c>
      <c r="P58" s="147">
        <f t="shared" si="126"/>
        <v>-623.58519999999999</v>
      </c>
      <c r="Q58" s="143">
        <f t="shared" si="127"/>
        <v>30</v>
      </c>
      <c r="R58" s="163">
        <f t="shared" si="128"/>
        <v>3.1428571428571432</v>
      </c>
      <c r="S58" s="163">
        <f t="shared" si="160"/>
        <v>1.2666666666666666</v>
      </c>
      <c r="T58" s="155">
        <f t="shared" si="167"/>
        <v>4.6000000000000005</v>
      </c>
      <c r="U58" s="164">
        <v>2</v>
      </c>
      <c r="V58" s="165">
        <f t="shared" si="129"/>
        <v>3.8820833333333339E-2</v>
      </c>
      <c r="W58" s="144">
        <v>0.35</v>
      </c>
      <c r="X58" s="144">
        <v>1.1000000000000001</v>
      </c>
      <c r="Y58" s="350"/>
      <c r="Z58" s="150">
        <f t="shared" si="161"/>
        <v>-27.959658818097889</v>
      </c>
      <c r="AA58" s="150">
        <f t="shared" si="162"/>
        <v>-20.598150046168062</v>
      </c>
      <c r="AB58" s="151">
        <f t="shared" si="163"/>
        <v>144.77862373037863</v>
      </c>
      <c r="AC58" s="150">
        <f t="shared" si="164"/>
        <v>152.1401325023084</v>
      </c>
      <c r="AD58" s="152">
        <f t="shared" si="165"/>
        <v>1.0781439874590464</v>
      </c>
      <c r="AE58" s="361" t="str">
        <f t="shared" si="166"/>
        <v>Zapata a compresión</v>
      </c>
      <c r="AF58" s="361"/>
      <c r="AG58" s="148">
        <f t="shared" si="130"/>
        <v>1344.8745299999998</v>
      </c>
      <c r="AH58" s="150">
        <f t="shared" si="131"/>
        <v>-2.1566812842896206</v>
      </c>
      <c r="AI58" s="148">
        <f t="shared" si="132"/>
        <v>1999.6160774999998</v>
      </c>
      <c r="AJ58" s="150">
        <f t="shared" si="133"/>
        <v>-95.309222341911209</v>
      </c>
      <c r="AK58" s="205"/>
      <c r="AL58" s="205"/>
      <c r="AM58" s="205"/>
      <c r="AN58" s="350"/>
      <c r="AO58" s="155">
        <f t="shared" si="134"/>
        <v>0.38500000000000001</v>
      </c>
      <c r="AP58" s="155">
        <f t="shared" si="135"/>
        <v>7.2850000000000001</v>
      </c>
      <c r="AQ58" s="150">
        <f t="shared" si="136"/>
        <v>2</v>
      </c>
      <c r="AR58" s="150">
        <f t="shared" si="137"/>
        <v>11911.9</v>
      </c>
      <c r="AS58" s="53" t="str">
        <f t="shared" si="138"/>
        <v>OK</v>
      </c>
      <c r="AT58" s="155" t="str">
        <f t="shared" si="139"/>
        <v>SÍ</v>
      </c>
      <c r="AU58" s="144">
        <v>10.125</v>
      </c>
      <c r="AV58" s="143" t="s">
        <v>730</v>
      </c>
      <c r="AW58" s="163">
        <f t="shared" si="140"/>
        <v>0.50624999999999998</v>
      </c>
      <c r="AX58" s="144">
        <v>0.55000000000000004</v>
      </c>
      <c r="AY58" s="144">
        <v>0.3</v>
      </c>
      <c r="AZ58" s="350"/>
      <c r="BA58" s="153">
        <f t="shared" si="141"/>
        <v>148.75888496710522</v>
      </c>
      <c r="BB58" s="153">
        <f t="shared" si="142"/>
        <v>240.81245669415443</v>
      </c>
      <c r="BC58" s="150">
        <f t="shared" si="143"/>
        <v>1.8E-3</v>
      </c>
      <c r="BD58" s="148">
        <f t="shared" si="144"/>
        <v>29.07</v>
      </c>
      <c r="BE58" s="144">
        <v>5</v>
      </c>
      <c r="BF58" s="144">
        <v>17</v>
      </c>
      <c r="BG58" s="155">
        <f t="shared" si="145"/>
        <v>33.83</v>
      </c>
      <c r="BH58" s="53" t="str">
        <f t="shared" si="146"/>
        <v>OK</v>
      </c>
      <c r="BI58" s="148">
        <f t="shared" si="147"/>
        <v>0.21</v>
      </c>
      <c r="BJ58" s="155" t="str">
        <f t="shared" si="148"/>
        <v>17#5@20</v>
      </c>
      <c r="BK58" s="197">
        <f t="shared" si="149"/>
        <v>0.85929648241206036</v>
      </c>
      <c r="BL58" s="350"/>
      <c r="BM58" s="153">
        <f t="shared" si="150"/>
        <v>0.92982456140350889</v>
      </c>
      <c r="BN58" s="157">
        <v>0.85</v>
      </c>
      <c r="BO58" s="153">
        <f t="shared" si="151"/>
        <v>1.1796281749148994</v>
      </c>
      <c r="BP58" s="153">
        <f t="shared" si="152"/>
        <v>11572.152395915164</v>
      </c>
      <c r="BQ58" s="155" t="s">
        <v>699</v>
      </c>
      <c r="BR58" s="155">
        <f t="shared" si="153"/>
        <v>0.75</v>
      </c>
      <c r="BS58" s="153">
        <f t="shared" si="154"/>
        <v>890.31106055763689</v>
      </c>
      <c r="BT58" s="153">
        <f t="shared" si="155"/>
        <v>14.705211678552255</v>
      </c>
      <c r="BU58" s="144">
        <v>10</v>
      </c>
      <c r="BV58" s="155" t="s">
        <v>191</v>
      </c>
      <c r="BW58" s="144">
        <v>6</v>
      </c>
      <c r="BX58" s="121"/>
      <c r="CI58" s="122"/>
      <c r="CJ58" s="350"/>
      <c r="CK58" s="153">
        <f t="shared" si="156"/>
        <v>28.4</v>
      </c>
      <c r="CL58" s="153">
        <f t="shared" si="157"/>
        <v>1073.5199999999998</v>
      </c>
      <c r="CM58" s="53" t="str">
        <f t="shared" si="158"/>
        <v>OK</v>
      </c>
      <c r="CU58" s="117"/>
    </row>
    <row r="59" spans="1:99" ht="15" customHeight="1" x14ac:dyDescent="0.25">
      <c r="A59" s="123"/>
      <c r="L59" s="126"/>
      <c r="M59" s="349" t="str">
        <f>M21</f>
        <v>Z3</v>
      </c>
      <c r="N59" s="147">
        <f t="shared" si="125"/>
        <v>998.82290000000012</v>
      </c>
      <c r="O59" s="147">
        <f t="shared" si="159"/>
        <v>144.114</v>
      </c>
      <c r="P59" s="147">
        <f t="shared" si="126"/>
        <v>13.840299999999999</v>
      </c>
      <c r="Q59" s="143">
        <f t="shared" si="127"/>
        <v>40</v>
      </c>
      <c r="R59" s="163">
        <f t="shared" si="128"/>
        <v>3.1428571428571432</v>
      </c>
      <c r="S59" s="163">
        <f t="shared" si="160"/>
        <v>1</v>
      </c>
      <c r="T59" s="155">
        <f t="shared" si="167"/>
        <v>4.6000000000000005</v>
      </c>
      <c r="U59" s="164">
        <v>2</v>
      </c>
      <c r="V59" s="165">
        <f t="shared" si="129"/>
        <v>3.8820833333333339E-2</v>
      </c>
      <c r="W59" s="144">
        <v>0.35</v>
      </c>
      <c r="X59" s="144">
        <v>1.1000000000000001</v>
      </c>
      <c r="Y59" s="349" t="str">
        <f>M59</f>
        <v>Z3</v>
      </c>
      <c r="Z59" s="150">
        <f t="shared" si="161"/>
        <v>91.670197816516293</v>
      </c>
      <c r="AA59" s="150">
        <f t="shared" si="162"/>
        <v>57.52872544567942</v>
      </c>
      <c r="AB59" s="151">
        <f t="shared" si="163"/>
        <v>88.391347600339557</v>
      </c>
      <c r="AC59" s="150">
        <f t="shared" si="164"/>
        <v>54.249875229502692</v>
      </c>
      <c r="AD59" s="152">
        <f t="shared" si="165"/>
        <v>0.64962262737321363</v>
      </c>
      <c r="AE59" s="361" t="str">
        <f t="shared" si="166"/>
        <v>Zapata a compresión</v>
      </c>
      <c r="AF59" s="361"/>
      <c r="AG59" s="148">
        <f t="shared" si="130"/>
        <v>1847.8223650000002</v>
      </c>
      <c r="AH59" s="150">
        <f t="shared" si="131"/>
        <v>133.5102826528327</v>
      </c>
      <c r="AI59" s="148">
        <f t="shared" si="132"/>
        <v>1847.8223650000002</v>
      </c>
      <c r="AJ59" s="150">
        <f t="shared" si="133"/>
        <v>12.821949047282015</v>
      </c>
      <c r="AK59" s="204"/>
      <c r="AL59" s="204"/>
      <c r="AM59" s="204"/>
      <c r="AN59" s="349" t="str">
        <f>Y59</f>
        <v>Z3</v>
      </c>
      <c r="AO59" s="155">
        <f t="shared" si="134"/>
        <v>0.38500000000000001</v>
      </c>
      <c r="AP59" s="155">
        <f t="shared" si="135"/>
        <v>7.2850000000000001</v>
      </c>
      <c r="AQ59" s="150">
        <f t="shared" si="136"/>
        <v>2</v>
      </c>
      <c r="AR59" s="150">
        <f t="shared" si="137"/>
        <v>11911.9</v>
      </c>
      <c r="AS59" s="53" t="str">
        <f t="shared" si="138"/>
        <v>OK</v>
      </c>
      <c r="AT59" s="155" t="str">
        <f t="shared" si="139"/>
        <v>NO</v>
      </c>
      <c r="AU59" s="144">
        <v>10.125</v>
      </c>
      <c r="AV59" s="143" t="s">
        <v>730</v>
      </c>
      <c r="AW59" s="163">
        <f t="shared" si="140"/>
        <v>0.50624999999999998</v>
      </c>
      <c r="AX59" s="144">
        <v>0.55000000000000004</v>
      </c>
      <c r="AY59" s="144">
        <v>0.3</v>
      </c>
      <c r="AZ59" s="349" t="str">
        <f>AN59</f>
        <v>Z3</v>
      </c>
      <c r="BA59" s="153">
        <f t="shared" si="141"/>
        <v>372.22355418918926</v>
      </c>
      <c r="BB59" s="153">
        <f t="shared" si="142"/>
        <v>618.84481717291987</v>
      </c>
      <c r="BC59" s="150">
        <f t="shared" si="143"/>
        <v>1.8E-3</v>
      </c>
      <c r="BD59" s="148">
        <f t="shared" si="144"/>
        <v>28.305</v>
      </c>
      <c r="BE59" s="144">
        <v>5</v>
      </c>
      <c r="BF59" s="144">
        <v>21</v>
      </c>
      <c r="BG59" s="155">
        <f t="shared" si="145"/>
        <v>41.79</v>
      </c>
      <c r="BH59" s="53" t="str">
        <f t="shared" si="146"/>
        <v>OK</v>
      </c>
      <c r="BI59" s="148">
        <f t="shared" si="147"/>
        <v>0.17</v>
      </c>
      <c r="BJ59" s="155" t="str">
        <f t="shared" si="148"/>
        <v>21#5@15</v>
      </c>
      <c r="BK59" s="197">
        <f t="shared" si="149"/>
        <v>0.67731514716439345</v>
      </c>
      <c r="BL59" s="349" t="str">
        <f>AZ59</f>
        <v>Z3</v>
      </c>
      <c r="BM59" s="153">
        <f t="shared" si="150"/>
        <v>1</v>
      </c>
      <c r="BN59" s="157">
        <v>0.85</v>
      </c>
      <c r="BO59" s="153">
        <f t="shared" si="151"/>
        <v>1.2686567164179103</v>
      </c>
      <c r="BP59" s="153">
        <f t="shared" si="152"/>
        <v>12445.5223880597</v>
      </c>
      <c r="BQ59" s="155" t="s">
        <v>699</v>
      </c>
      <c r="BR59" s="155">
        <f t="shared" si="153"/>
        <v>0.75</v>
      </c>
      <c r="BS59" s="153">
        <f t="shared" si="154"/>
        <v>0</v>
      </c>
      <c r="BT59" s="153">
        <f t="shared" si="155"/>
        <v>9.2317499999999999</v>
      </c>
      <c r="BU59" s="144">
        <v>10</v>
      </c>
      <c r="BV59" s="155" t="s">
        <v>191</v>
      </c>
      <c r="BW59" s="144">
        <v>6</v>
      </c>
      <c r="BX59" s="121"/>
      <c r="CI59" s="122"/>
      <c r="CJ59" s="349" t="str">
        <f>CJ21</f>
        <v>Z3</v>
      </c>
      <c r="CK59" s="153">
        <f t="shared" si="156"/>
        <v>28.4</v>
      </c>
      <c r="CL59" s="153">
        <f t="shared" si="157"/>
        <v>1073.5199999999998</v>
      </c>
      <c r="CM59" s="53" t="str">
        <f t="shared" si="158"/>
        <v>OK</v>
      </c>
      <c r="CU59" s="117"/>
    </row>
    <row r="60" spans="1:99" ht="15" customHeight="1" x14ac:dyDescent="0.25">
      <c r="A60" s="123"/>
      <c r="B60" s="124"/>
      <c r="C60" s="188"/>
      <c r="D60" s="124"/>
      <c r="E60" s="124"/>
      <c r="F60" s="124"/>
      <c r="G60" s="124"/>
      <c r="H60" s="125"/>
      <c r="I60" s="124"/>
      <c r="J60" s="124"/>
      <c r="K60" s="124"/>
      <c r="L60" s="126"/>
      <c r="M60" s="350"/>
      <c r="N60" s="147">
        <f t="shared" si="125"/>
        <v>967.21420000000012</v>
      </c>
      <c r="O60" s="147">
        <f t="shared" si="159"/>
        <v>-138.01859999999999</v>
      </c>
      <c r="P60" s="147">
        <f t="shared" si="126"/>
        <v>-136.9735</v>
      </c>
      <c r="Q60" s="143">
        <f t="shared" si="127"/>
        <v>40</v>
      </c>
      <c r="R60" s="163">
        <f t="shared" si="128"/>
        <v>3.1428571428571432</v>
      </c>
      <c r="S60" s="163">
        <f t="shared" si="160"/>
        <v>1</v>
      </c>
      <c r="T60" s="155">
        <f t="shared" si="167"/>
        <v>4.6000000000000005</v>
      </c>
      <c r="U60" s="164">
        <v>2</v>
      </c>
      <c r="V60" s="165">
        <f t="shared" si="129"/>
        <v>3.8820833333333339E-2</v>
      </c>
      <c r="W60" s="144">
        <v>0.35</v>
      </c>
      <c r="X60" s="144">
        <v>1.1000000000000001</v>
      </c>
      <c r="Y60" s="350"/>
      <c r="Z60" s="150">
        <f t="shared" si="161"/>
        <v>38.077506564270642</v>
      </c>
      <c r="AA60" s="150">
        <f t="shared" si="162"/>
        <v>70.774942056738993</v>
      </c>
      <c r="AB60" s="151">
        <f t="shared" si="163"/>
        <v>70.527351588257361</v>
      </c>
      <c r="AC60" s="150">
        <f t="shared" si="164"/>
        <v>103.22478708072572</v>
      </c>
      <c r="AD60" s="152">
        <f t="shared" si="165"/>
        <v>0.73150444736293407</v>
      </c>
      <c r="AE60" s="361" t="str">
        <f t="shared" si="166"/>
        <v>Zapata a compresión</v>
      </c>
      <c r="AF60" s="361"/>
      <c r="AG60" s="148">
        <f t="shared" si="130"/>
        <v>1789.3462700000002</v>
      </c>
      <c r="AH60" s="150">
        <f t="shared" si="131"/>
        <v>-13.063448550267024</v>
      </c>
      <c r="AI60" s="148">
        <f t="shared" si="132"/>
        <v>1789.3462700000002</v>
      </c>
      <c r="AJ60" s="150">
        <f t="shared" si="133"/>
        <v>-12.964529925676686</v>
      </c>
      <c r="AK60" s="205"/>
      <c r="AL60" s="205"/>
      <c r="AM60" s="205"/>
      <c r="AN60" s="350"/>
      <c r="AO60" s="155">
        <f t="shared" si="134"/>
        <v>0.38500000000000001</v>
      </c>
      <c r="AP60" s="155">
        <f t="shared" si="135"/>
        <v>7.2850000000000001</v>
      </c>
      <c r="AQ60" s="150">
        <f t="shared" si="136"/>
        <v>2</v>
      </c>
      <c r="AR60" s="150">
        <f t="shared" si="137"/>
        <v>11911.9</v>
      </c>
      <c r="AS60" s="53" t="str">
        <f t="shared" si="138"/>
        <v>OK</v>
      </c>
      <c r="AT60" s="155" t="str">
        <f t="shared" si="139"/>
        <v>NO</v>
      </c>
      <c r="AU60" s="144">
        <v>10.125</v>
      </c>
      <c r="AV60" s="143" t="s">
        <v>730</v>
      </c>
      <c r="AW60" s="163">
        <f t="shared" si="140"/>
        <v>0.50624999999999998</v>
      </c>
      <c r="AX60" s="144">
        <v>0.55000000000000004</v>
      </c>
      <c r="AY60" s="144">
        <v>0.3</v>
      </c>
      <c r="AZ60" s="350"/>
      <c r="BA60" s="153">
        <f t="shared" si="141"/>
        <v>82.872210540540607</v>
      </c>
      <c r="BB60" s="153">
        <f t="shared" si="142"/>
        <v>137.78020601729582</v>
      </c>
      <c r="BC60" s="150">
        <f t="shared" si="143"/>
        <v>1.8E-3</v>
      </c>
      <c r="BD60" s="148">
        <f t="shared" si="144"/>
        <v>28.305</v>
      </c>
      <c r="BE60" s="144">
        <v>5</v>
      </c>
      <c r="BF60" s="144">
        <v>21</v>
      </c>
      <c r="BG60" s="155">
        <f t="shared" si="145"/>
        <v>41.79</v>
      </c>
      <c r="BH60" s="53" t="str">
        <f t="shared" si="146"/>
        <v>OK</v>
      </c>
      <c r="BI60" s="148">
        <f t="shared" si="147"/>
        <v>0.17</v>
      </c>
      <c r="BJ60" s="155" t="str">
        <f t="shared" si="148"/>
        <v>21#5@15</v>
      </c>
      <c r="BK60" s="197">
        <f t="shared" si="149"/>
        <v>0.67731514716439345</v>
      </c>
      <c r="BL60" s="350"/>
      <c r="BM60" s="153">
        <f t="shared" si="150"/>
        <v>1</v>
      </c>
      <c r="BN60" s="157">
        <v>0.85</v>
      </c>
      <c r="BO60" s="153">
        <f t="shared" si="151"/>
        <v>1.2686567164179103</v>
      </c>
      <c r="BP60" s="153">
        <f t="shared" si="152"/>
        <v>12445.5223880597</v>
      </c>
      <c r="BQ60" s="155" t="s">
        <v>699</v>
      </c>
      <c r="BR60" s="155">
        <f t="shared" si="153"/>
        <v>0.75</v>
      </c>
      <c r="BS60" s="153">
        <f t="shared" si="154"/>
        <v>0</v>
      </c>
      <c r="BT60" s="153">
        <f t="shared" si="155"/>
        <v>9.2317499999999999</v>
      </c>
      <c r="BU60" s="144">
        <v>10</v>
      </c>
      <c r="BV60" s="155" t="s">
        <v>191</v>
      </c>
      <c r="BW60" s="144">
        <v>6</v>
      </c>
      <c r="BX60" s="121"/>
      <c r="CI60" s="122"/>
      <c r="CJ60" s="350"/>
      <c r="CK60" s="153">
        <f t="shared" si="156"/>
        <v>28.4</v>
      </c>
      <c r="CL60" s="153">
        <f t="shared" si="157"/>
        <v>1073.5199999999998</v>
      </c>
      <c r="CM60" s="53" t="str">
        <f t="shared" si="158"/>
        <v>OK</v>
      </c>
      <c r="CU60" s="117"/>
    </row>
    <row r="61" spans="1:99" ht="15" customHeight="1" x14ac:dyDescent="0.25">
      <c r="A61" s="123"/>
      <c r="B61" s="124"/>
      <c r="C61" s="188"/>
      <c r="D61" s="124"/>
      <c r="E61" s="124"/>
      <c r="F61" s="124"/>
      <c r="G61" s="124"/>
      <c r="H61" s="125"/>
      <c r="I61" s="124"/>
      <c r="J61" s="124"/>
      <c r="K61" s="124"/>
      <c r="L61" s="126"/>
      <c r="M61" s="349" t="str">
        <f>M23</f>
        <v>Z4</v>
      </c>
      <c r="N61" s="147">
        <f t="shared" si="125"/>
        <v>1262.1508999999999</v>
      </c>
      <c r="O61" s="147">
        <f t="shared" si="159"/>
        <v>143.6088</v>
      </c>
      <c r="P61" s="147">
        <f t="shared" si="126"/>
        <v>84.198499999999996</v>
      </c>
      <c r="Q61" s="143">
        <f t="shared" si="127"/>
        <v>30</v>
      </c>
      <c r="R61" s="163">
        <f t="shared" si="128"/>
        <v>3.1428571428571432</v>
      </c>
      <c r="S61" s="163">
        <f t="shared" si="160"/>
        <v>1.2666666666666666</v>
      </c>
      <c r="T61" s="155">
        <f t="shared" si="167"/>
        <v>4.6000000000000005</v>
      </c>
      <c r="U61" s="164">
        <v>2</v>
      </c>
      <c r="V61" s="165">
        <f t="shared" si="129"/>
        <v>3.8820833333333339E-2</v>
      </c>
      <c r="W61" s="144">
        <v>0.35</v>
      </c>
      <c r="X61" s="144">
        <v>1.1000000000000001</v>
      </c>
      <c r="Y61" s="349" t="str">
        <f>M61</f>
        <v>Z4</v>
      </c>
      <c r="Z61" s="150">
        <f t="shared" si="161"/>
        <v>147.57135964912283</v>
      </c>
      <c r="AA61" s="150">
        <f t="shared" si="162"/>
        <v>97.182307017543849</v>
      </c>
      <c r="AB61" s="151">
        <f t="shared" si="163"/>
        <v>124.2476754385965</v>
      </c>
      <c r="AC61" s="150">
        <f t="shared" si="164"/>
        <v>73.858622807017539</v>
      </c>
      <c r="AD61" s="152">
        <f t="shared" si="165"/>
        <v>1.0457672903922588</v>
      </c>
      <c r="AE61" s="361" t="str">
        <f t="shared" si="166"/>
        <v>Zapata a compresión</v>
      </c>
      <c r="AF61" s="361"/>
      <c r="AG61" s="148">
        <f t="shared" si="130"/>
        <v>2398.0867099999996</v>
      </c>
      <c r="AH61" s="150">
        <f t="shared" si="131"/>
        <v>28.481347173643233</v>
      </c>
      <c r="AI61" s="148">
        <f t="shared" si="132"/>
        <v>3565.5762924999999</v>
      </c>
      <c r="AJ61" s="150">
        <f t="shared" si="133"/>
        <v>24.828396954086379</v>
      </c>
      <c r="AK61" s="204"/>
      <c r="AL61" s="204"/>
      <c r="AM61" s="204"/>
      <c r="AN61" s="349" t="str">
        <f>Y61</f>
        <v>Z4</v>
      </c>
      <c r="AO61" s="155">
        <f t="shared" si="134"/>
        <v>0.38500000000000001</v>
      </c>
      <c r="AP61" s="155">
        <f t="shared" si="135"/>
        <v>7.2850000000000001</v>
      </c>
      <c r="AQ61" s="150">
        <f t="shared" si="136"/>
        <v>2</v>
      </c>
      <c r="AR61" s="150">
        <f t="shared" si="137"/>
        <v>11911.9</v>
      </c>
      <c r="AS61" s="53" t="str">
        <f t="shared" si="138"/>
        <v>OK</v>
      </c>
      <c r="AT61" s="155" t="str">
        <f t="shared" si="139"/>
        <v>SÍ</v>
      </c>
      <c r="AU61" s="144">
        <v>10.125</v>
      </c>
      <c r="AV61" s="143" t="s">
        <v>730</v>
      </c>
      <c r="AW61" s="163">
        <f t="shared" si="140"/>
        <v>0.50624999999999998</v>
      </c>
      <c r="AX61" s="144">
        <v>0.55000000000000004</v>
      </c>
      <c r="AY61" s="144">
        <v>0.3</v>
      </c>
      <c r="AZ61" s="349" t="str">
        <f>AN61</f>
        <v>Z4</v>
      </c>
      <c r="BA61" s="153">
        <f t="shared" si="141"/>
        <v>446.27590726973676</v>
      </c>
      <c r="BB61" s="153">
        <f t="shared" si="142"/>
        <v>722.43615980855429</v>
      </c>
      <c r="BC61" s="150">
        <f t="shared" si="143"/>
        <v>1.8E-3</v>
      </c>
      <c r="BD61" s="148">
        <f t="shared" si="144"/>
        <v>29.07</v>
      </c>
      <c r="BE61" s="144">
        <v>5</v>
      </c>
      <c r="BF61" s="144">
        <v>17</v>
      </c>
      <c r="BG61" s="155">
        <f t="shared" si="145"/>
        <v>33.83</v>
      </c>
      <c r="BH61" s="53" t="str">
        <f t="shared" si="146"/>
        <v>OK</v>
      </c>
      <c r="BI61" s="148">
        <f t="shared" si="147"/>
        <v>0.21</v>
      </c>
      <c r="BJ61" s="155" t="str">
        <f t="shared" si="148"/>
        <v>17#5@20</v>
      </c>
      <c r="BK61" s="197">
        <f t="shared" si="149"/>
        <v>0.85929648241206036</v>
      </c>
      <c r="BL61" s="349" t="str">
        <f>AZ61</f>
        <v>Z4</v>
      </c>
      <c r="BM61" s="153">
        <f t="shared" si="150"/>
        <v>0.92982456140350889</v>
      </c>
      <c r="BN61" s="157">
        <v>0.85</v>
      </c>
      <c r="BO61" s="153">
        <f t="shared" si="151"/>
        <v>1.1796281749148994</v>
      </c>
      <c r="BP61" s="153">
        <f t="shared" si="152"/>
        <v>11572.152395915164</v>
      </c>
      <c r="BQ61" s="155" t="s">
        <v>699</v>
      </c>
      <c r="BR61" s="155">
        <f t="shared" si="153"/>
        <v>0.75</v>
      </c>
      <c r="BS61" s="153">
        <f t="shared" si="154"/>
        <v>905.53097751589758</v>
      </c>
      <c r="BT61" s="153">
        <f t="shared" si="155"/>
        <v>23.445152097231801</v>
      </c>
      <c r="BU61" s="144">
        <v>10</v>
      </c>
      <c r="BV61" s="155" t="s">
        <v>191</v>
      </c>
      <c r="BW61" s="144">
        <v>6</v>
      </c>
      <c r="BX61" s="121"/>
      <c r="CI61" s="122"/>
      <c r="CJ61" s="349" t="str">
        <f>CJ23</f>
        <v>Z4</v>
      </c>
      <c r="CK61" s="153">
        <f t="shared" si="156"/>
        <v>28.4</v>
      </c>
      <c r="CL61" s="153">
        <f t="shared" si="157"/>
        <v>1073.5199999999998</v>
      </c>
      <c r="CM61" s="53" t="str">
        <f t="shared" si="158"/>
        <v>OK</v>
      </c>
      <c r="CU61" s="117"/>
    </row>
    <row r="62" spans="1:99" ht="15" customHeight="1" x14ac:dyDescent="0.25">
      <c r="A62" s="123"/>
      <c r="B62" s="124"/>
      <c r="C62" s="188"/>
      <c r="D62" s="124"/>
      <c r="E62" s="124"/>
      <c r="F62" s="124"/>
      <c r="G62" s="124"/>
      <c r="H62" s="125"/>
      <c r="I62" s="124"/>
      <c r="J62" s="124"/>
      <c r="K62" s="124"/>
      <c r="L62" s="126"/>
      <c r="M62" s="350"/>
      <c r="N62" s="147">
        <f t="shared" si="125"/>
        <v>1258.1288999999999</v>
      </c>
      <c r="O62" s="147">
        <f t="shared" si="159"/>
        <v>-135.41059999999999</v>
      </c>
      <c r="P62" s="147">
        <f t="shared" si="126"/>
        <v>-86.911900000000003</v>
      </c>
      <c r="Q62" s="143">
        <f t="shared" si="127"/>
        <v>30</v>
      </c>
      <c r="R62" s="163">
        <f t="shared" si="128"/>
        <v>3.1428571428571432</v>
      </c>
      <c r="S62" s="163">
        <f t="shared" si="160"/>
        <v>1.2666666666666666</v>
      </c>
      <c r="T62" s="155">
        <f t="shared" si="167"/>
        <v>4.6000000000000005</v>
      </c>
      <c r="U62" s="164">
        <v>2</v>
      </c>
      <c r="V62" s="165">
        <f t="shared" si="129"/>
        <v>3.8820833333333339E-2</v>
      </c>
      <c r="W62" s="144">
        <v>0.35</v>
      </c>
      <c r="X62" s="144">
        <v>1.1000000000000001</v>
      </c>
      <c r="Y62" s="350"/>
      <c r="Z62" s="150">
        <f t="shared" si="161"/>
        <v>74.568279316712847</v>
      </c>
      <c r="AA62" s="150">
        <f t="shared" si="162"/>
        <v>122.08077054478302</v>
      </c>
      <c r="AB62" s="151">
        <f t="shared" si="163"/>
        <v>98.643597876269638</v>
      </c>
      <c r="AC62" s="150">
        <f t="shared" si="164"/>
        <v>146.15608910433983</v>
      </c>
      <c r="AD62" s="152">
        <f t="shared" si="165"/>
        <v>1.0357379483416824</v>
      </c>
      <c r="AE62" s="361" t="str">
        <f t="shared" si="166"/>
        <v>Zapata a compresión</v>
      </c>
      <c r="AF62" s="361"/>
      <c r="AG62" s="148">
        <f t="shared" si="130"/>
        <v>2390.4449099999997</v>
      </c>
      <c r="AH62" s="150">
        <f t="shared" si="131"/>
        <v>-27.504230260758305</v>
      </c>
      <c r="AI62" s="148">
        <f t="shared" si="132"/>
        <v>3554.2141425</v>
      </c>
      <c r="AJ62" s="150">
        <f t="shared" si="133"/>
        <v>-26.247680333001998</v>
      </c>
      <c r="AK62" s="205"/>
      <c r="AL62" s="205"/>
      <c r="AM62" s="205"/>
      <c r="AN62" s="350"/>
      <c r="AO62" s="155">
        <f t="shared" si="134"/>
        <v>0.38500000000000001</v>
      </c>
      <c r="AP62" s="155">
        <f t="shared" si="135"/>
        <v>7.2850000000000001</v>
      </c>
      <c r="AQ62" s="150">
        <f t="shared" si="136"/>
        <v>2</v>
      </c>
      <c r="AR62" s="150">
        <f t="shared" si="137"/>
        <v>11911.9</v>
      </c>
      <c r="AS62" s="53" t="str">
        <f t="shared" si="138"/>
        <v>OK</v>
      </c>
      <c r="AT62" s="155" t="str">
        <f t="shared" si="139"/>
        <v>SÍ</v>
      </c>
      <c r="AU62" s="144">
        <v>10.125</v>
      </c>
      <c r="AV62" s="143" t="s">
        <v>730</v>
      </c>
      <c r="AW62" s="163">
        <f t="shared" si="140"/>
        <v>0.50624999999999998</v>
      </c>
      <c r="AX62" s="144">
        <v>0.55000000000000004</v>
      </c>
      <c r="AY62" s="144">
        <v>0.3</v>
      </c>
      <c r="AZ62" s="350"/>
      <c r="BA62" s="153">
        <f t="shared" si="141"/>
        <v>166.2920210855263</v>
      </c>
      <c r="BB62" s="153">
        <f t="shared" si="142"/>
        <v>269.19528292442391</v>
      </c>
      <c r="BC62" s="150">
        <f t="shared" si="143"/>
        <v>1.8E-3</v>
      </c>
      <c r="BD62" s="148">
        <f t="shared" si="144"/>
        <v>29.07</v>
      </c>
      <c r="BE62" s="144">
        <v>5</v>
      </c>
      <c r="BF62" s="144">
        <v>17</v>
      </c>
      <c r="BG62" s="155">
        <f t="shared" si="145"/>
        <v>33.83</v>
      </c>
      <c r="BH62" s="53" t="str">
        <f t="shared" si="146"/>
        <v>OK</v>
      </c>
      <c r="BI62" s="148">
        <f t="shared" si="147"/>
        <v>0.21</v>
      </c>
      <c r="BJ62" s="155" t="str">
        <f t="shared" si="148"/>
        <v>17#5@20</v>
      </c>
      <c r="BK62" s="197">
        <f t="shared" si="149"/>
        <v>0.85929648241206036</v>
      </c>
      <c r="BL62" s="350"/>
      <c r="BM62" s="153">
        <f t="shared" si="150"/>
        <v>0.92982456140350889</v>
      </c>
      <c r="BN62" s="157">
        <v>0.85</v>
      </c>
      <c r="BO62" s="153">
        <f t="shared" si="151"/>
        <v>1.1796281749148994</v>
      </c>
      <c r="BP62" s="153">
        <f t="shared" si="152"/>
        <v>11572.152395915164</v>
      </c>
      <c r="BQ62" s="155" t="s">
        <v>699</v>
      </c>
      <c r="BR62" s="155">
        <f t="shared" si="153"/>
        <v>0.75</v>
      </c>
      <c r="BS62" s="153">
        <f t="shared" si="154"/>
        <v>1000.056004127966</v>
      </c>
      <c r="BT62" s="153">
        <f t="shared" si="155"/>
        <v>27.642533433018937</v>
      </c>
      <c r="BU62" s="144">
        <v>10</v>
      </c>
      <c r="BV62" s="155" t="s">
        <v>191</v>
      </c>
      <c r="BW62" s="144">
        <v>6</v>
      </c>
      <c r="BX62" s="121"/>
      <c r="CI62" s="122"/>
      <c r="CJ62" s="350"/>
      <c r="CK62" s="153">
        <f t="shared" si="156"/>
        <v>28.4</v>
      </c>
      <c r="CL62" s="153">
        <f t="shared" si="157"/>
        <v>1073.5199999999998</v>
      </c>
      <c r="CM62" s="53" t="str">
        <f t="shared" si="158"/>
        <v>OK</v>
      </c>
      <c r="CU62" s="117"/>
    </row>
    <row r="63" spans="1:99" ht="15" customHeight="1" x14ac:dyDescent="0.25">
      <c r="A63" s="123"/>
      <c r="B63" s="124"/>
      <c r="C63" s="188"/>
      <c r="D63" s="124"/>
      <c r="E63" s="124"/>
      <c r="F63" s="124"/>
      <c r="G63" s="124"/>
      <c r="H63" s="125"/>
      <c r="I63" s="124"/>
      <c r="J63" s="124"/>
      <c r="K63" s="124"/>
      <c r="L63" s="126"/>
      <c r="M63" s="349" t="str">
        <f>M25</f>
        <v>Z4</v>
      </c>
      <c r="N63" s="147">
        <f t="shared" si="125"/>
        <v>903.98079999999982</v>
      </c>
      <c r="O63" s="147">
        <f t="shared" si="159"/>
        <v>147.11439999999999</v>
      </c>
      <c r="P63" s="147">
        <f t="shared" si="126"/>
        <v>136.94890000000001</v>
      </c>
      <c r="Q63" s="143">
        <f t="shared" si="127"/>
        <v>30</v>
      </c>
      <c r="R63" s="163">
        <f t="shared" si="128"/>
        <v>3.1428571428571432</v>
      </c>
      <c r="S63" s="163">
        <f t="shared" si="160"/>
        <v>1.2666666666666666</v>
      </c>
      <c r="T63" s="155">
        <f t="shared" si="167"/>
        <v>4.6000000000000005</v>
      </c>
      <c r="U63" s="164">
        <v>2</v>
      </c>
      <c r="V63" s="165">
        <f t="shared" si="129"/>
        <v>3.8820833333333339E-2</v>
      </c>
      <c r="W63" s="144">
        <v>0.35</v>
      </c>
      <c r="X63" s="144">
        <v>1.1000000000000001</v>
      </c>
      <c r="Y63" s="349" t="str">
        <f>M63</f>
        <v>Z4</v>
      </c>
      <c r="Z63" s="150">
        <f t="shared" si="161"/>
        <v>124.07409695290858</v>
      </c>
      <c r="AA63" s="150">
        <f t="shared" si="162"/>
        <v>72.455009233610326</v>
      </c>
      <c r="AB63" s="151">
        <f t="shared" si="163"/>
        <v>86.138113573407182</v>
      </c>
      <c r="AC63" s="150">
        <f t="shared" si="164"/>
        <v>34.519025854108939</v>
      </c>
      <c r="AD63" s="152">
        <f t="shared" si="165"/>
        <v>0.87925348446215856</v>
      </c>
      <c r="AE63" s="361" t="str">
        <f t="shared" si="166"/>
        <v>Zapata a compresión</v>
      </c>
      <c r="AF63" s="361"/>
      <c r="AG63" s="148">
        <f t="shared" si="130"/>
        <v>1717.5635199999995</v>
      </c>
      <c r="AH63" s="150">
        <f t="shared" si="131"/>
        <v>12.541637939406591</v>
      </c>
      <c r="AI63" s="148">
        <f t="shared" si="132"/>
        <v>2553.7457599999998</v>
      </c>
      <c r="AJ63" s="150">
        <f t="shared" si="133"/>
        <v>17.358910888397055</v>
      </c>
      <c r="AK63" s="204"/>
      <c r="AL63" s="204"/>
      <c r="AM63" s="204"/>
      <c r="AN63" s="349" t="str">
        <f>Y63</f>
        <v>Z4</v>
      </c>
      <c r="AO63" s="155">
        <f t="shared" si="134"/>
        <v>0.38500000000000001</v>
      </c>
      <c r="AP63" s="155">
        <f t="shared" si="135"/>
        <v>7.2850000000000001</v>
      </c>
      <c r="AQ63" s="150">
        <f t="shared" si="136"/>
        <v>2</v>
      </c>
      <c r="AR63" s="150">
        <f t="shared" si="137"/>
        <v>11911.9</v>
      </c>
      <c r="AS63" s="53" t="str">
        <f t="shared" si="138"/>
        <v>OK</v>
      </c>
      <c r="AT63" s="155" t="str">
        <f t="shared" si="139"/>
        <v>SÍ</v>
      </c>
      <c r="AU63" s="144">
        <v>10.125</v>
      </c>
      <c r="AV63" s="143" t="s">
        <v>730</v>
      </c>
      <c r="AW63" s="163">
        <f t="shared" si="140"/>
        <v>0.50624999999999998</v>
      </c>
      <c r="AX63" s="144">
        <v>0.55000000000000004</v>
      </c>
      <c r="AY63" s="144">
        <v>0.3</v>
      </c>
      <c r="AZ63" s="349" t="str">
        <f>AN63</f>
        <v>Z4</v>
      </c>
      <c r="BA63" s="153">
        <f t="shared" si="141"/>
        <v>363.89137473684201</v>
      </c>
      <c r="BB63" s="153">
        <f t="shared" si="142"/>
        <v>589.07120700433768</v>
      </c>
      <c r="BC63" s="150">
        <f t="shared" si="143"/>
        <v>1.8E-3</v>
      </c>
      <c r="BD63" s="148">
        <f t="shared" si="144"/>
        <v>29.07</v>
      </c>
      <c r="BE63" s="144">
        <v>5</v>
      </c>
      <c r="BF63" s="144">
        <v>17</v>
      </c>
      <c r="BG63" s="155">
        <f t="shared" si="145"/>
        <v>33.83</v>
      </c>
      <c r="BH63" s="53" t="str">
        <f t="shared" si="146"/>
        <v>OK</v>
      </c>
      <c r="BI63" s="148">
        <f t="shared" si="147"/>
        <v>0.21</v>
      </c>
      <c r="BJ63" s="155" t="str">
        <f t="shared" si="148"/>
        <v>17#5@20</v>
      </c>
      <c r="BK63" s="197">
        <f t="shared" si="149"/>
        <v>0.85929648241206036</v>
      </c>
      <c r="BL63" s="349" t="str">
        <f>AZ63</f>
        <v>Z4</v>
      </c>
      <c r="BM63" s="153">
        <f t="shared" si="150"/>
        <v>0.92982456140350889</v>
      </c>
      <c r="BN63" s="157">
        <v>0.85</v>
      </c>
      <c r="BO63" s="153">
        <f t="shared" si="151"/>
        <v>1.1796281749148994</v>
      </c>
      <c r="BP63" s="153">
        <f t="shared" si="152"/>
        <v>11572.152395915164</v>
      </c>
      <c r="BQ63" s="155" t="s">
        <v>699</v>
      </c>
      <c r="BR63" s="155">
        <f t="shared" si="153"/>
        <v>0.75</v>
      </c>
      <c r="BS63" s="153">
        <f t="shared" si="154"/>
        <v>604.86076526908232</v>
      </c>
      <c r="BT63" s="153">
        <f t="shared" si="155"/>
        <v>16.113183958285401</v>
      </c>
      <c r="BU63" s="144">
        <v>10</v>
      </c>
      <c r="BV63" s="155" t="s">
        <v>191</v>
      </c>
      <c r="BW63" s="144">
        <v>6</v>
      </c>
      <c r="BX63" s="121"/>
      <c r="CI63" s="122"/>
      <c r="CJ63" s="349" t="str">
        <f>CJ25</f>
        <v>Z4</v>
      </c>
      <c r="CK63" s="153">
        <f t="shared" si="156"/>
        <v>28.4</v>
      </c>
      <c r="CL63" s="153">
        <f t="shared" si="157"/>
        <v>1073.5199999999998</v>
      </c>
      <c r="CM63" s="53" t="str">
        <f t="shared" si="158"/>
        <v>OK</v>
      </c>
      <c r="CU63" s="117"/>
    </row>
    <row r="64" spans="1:99" ht="15" customHeight="1" x14ac:dyDescent="0.25">
      <c r="A64" s="123"/>
      <c r="B64" s="124"/>
      <c r="C64" s="188"/>
      <c r="D64" s="124"/>
      <c r="E64" s="124"/>
      <c r="F64" s="124"/>
      <c r="G64" s="124"/>
      <c r="H64" s="125"/>
      <c r="I64" s="124"/>
      <c r="J64" s="124"/>
      <c r="K64" s="124"/>
      <c r="L64" s="126"/>
      <c r="M64" s="350"/>
      <c r="N64" s="147">
        <f t="shared" si="125"/>
        <v>875.94269999999983</v>
      </c>
      <c r="O64" s="147">
        <f t="shared" si="159"/>
        <v>-144.1001</v>
      </c>
      <c r="P64" s="147">
        <f t="shared" si="126"/>
        <v>-6.7280999999999977</v>
      </c>
      <c r="Q64" s="143">
        <f t="shared" si="127"/>
        <v>30</v>
      </c>
      <c r="R64" s="163">
        <f t="shared" si="128"/>
        <v>3.1428571428571432</v>
      </c>
      <c r="S64" s="163">
        <f t="shared" si="160"/>
        <v>1.2666666666666666</v>
      </c>
      <c r="T64" s="155">
        <f t="shared" si="167"/>
        <v>4.6000000000000005</v>
      </c>
      <c r="U64" s="164">
        <v>2</v>
      </c>
      <c r="V64" s="165">
        <f t="shared" si="129"/>
        <v>3.8820833333333339E-2</v>
      </c>
      <c r="W64" s="144">
        <v>0.35</v>
      </c>
      <c r="X64" s="144">
        <v>1.1000000000000001</v>
      </c>
      <c r="Y64" s="350"/>
      <c r="Z64" s="150">
        <f t="shared" si="161"/>
        <v>50.624489843028613</v>
      </c>
      <c r="AA64" s="150">
        <f t="shared" si="162"/>
        <v>101.18592843951986</v>
      </c>
      <c r="AB64" s="151">
        <f t="shared" si="163"/>
        <v>52.488229455216988</v>
      </c>
      <c r="AC64" s="150">
        <f t="shared" si="164"/>
        <v>103.04966805170821</v>
      </c>
      <c r="AD64" s="152">
        <f t="shared" si="165"/>
        <v>0.73026346298149858</v>
      </c>
      <c r="AE64" s="361" t="str">
        <f t="shared" si="166"/>
        <v>Zapata a compresión</v>
      </c>
      <c r="AF64" s="361"/>
      <c r="AG64" s="148">
        <f t="shared" si="130"/>
        <v>1664.2911299999996</v>
      </c>
      <c r="AH64" s="150">
        <f t="shared" si="131"/>
        <v>-247.3642083203282</v>
      </c>
      <c r="AI64" s="148">
        <f t="shared" si="132"/>
        <v>2474.5381274999995</v>
      </c>
      <c r="AJ64" s="150">
        <f t="shared" si="133"/>
        <v>-17.172355380044841</v>
      </c>
      <c r="AK64" s="205"/>
      <c r="AL64" s="205"/>
      <c r="AM64" s="205"/>
      <c r="AN64" s="350"/>
      <c r="AO64" s="155">
        <f t="shared" si="134"/>
        <v>0.38500000000000001</v>
      </c>
      <c r="AP64" s="155">
        <f t="shared" si="135"/>
        <v>7.2850000000000001</v>
      </c>
      <c r="AQ64" s="150">
        <f t="shared" si="136"/>
        <v>2</v>
      </c>
      <c r="AR64" s="150">
        <f t="shared" si="137"/>
        <v>11911.9</v>
      </c>
      <c r="AS64" s="53" t="str">
        <f t="shared" si="138"/>
        <v>OK</v>
      </c>
      <c r="AT64" s="155" t="str">
        <f t="shared" si="139"/>
        <v>SÍ</v>
      </c>
      <c r="AU64" s="144">
        <v>10.125</v>
      </c>
      <c r="AV64" s="143" t="s">
        <v>730</v>
      </c>
      <c r="AW64" s="163">
        <f t="shared" si="140"/>
        <v>0.50624999999999998</v>
      </c>
      <c r="AX64" s="144">
        <v>0.55000000000000004</v>
      </c>
      <c r="AY64" s="144">
        <v>0.3</v>
      </c>
      <c r="AZ64" s="350"/>
      <c r="BA64" s="153">
        <f t="shared" si="141"/>
        <v>65.95326457236834</v>
      </c>
      <c r="BB64" s="153">
        <f t="shared" si="142"/>
        <v>106.76584240452999</v>
      </c>
      <c r="BC64" s="150">
        <f t="shared" si="143"/>
        <v>1.8E-3</v>
      </c>
      <c r="BD64" s="148">
        <f t="shared" si="144"/>
        <v>29.07</v>
      </c>
      <c r="BE64" s="144">
        <v>5</v>
      </c>
      <c r="BF64" s="144">
        <v>17</v>
      </c>
      <c r="BG64" s="155">
        <f t="shared" si="145"/>
        <v>33.83</v>
      </c>
      <c r="BH64" s="53" t="str">
        <f t="shared" si="146"/>
        <v>OK</v>
      </c>
      <c r="BI64" s="148">
        <f t="shared" si="147"/>
        <v>0.21</v>
      </c>
      <c r="BJ64" s="155" t="str">
        <f t="shared" si="148"/>
        <v>17#5@20</v>
      </c>
      <c r="BK64" s="197">
        <f t="shared" si="149"/>
        <v>0.85929648241206036</v>
      </c>
      <c r="BL64" s="350"/>
      <c r="BM64" s="153">
        <f t="shared" si="150"/>
        <v>0.92982456140350889</v>
      </c>
      <c r="BN64" s="157">
        <v>0.85</v>
      </c>
      <c r="BO64" s="153">
        <f t="shared" si="151"/>
        <v>1.1796281749148994</v>
      </c>
      <c r="BP64" s="153">
        <f t="shared" si="152"/>
        <v>11572.152395915164</v>
      </c>
      <c r="BQ64" s="155" t="s">
        <v>699</v>
      </c>
      <c r="BR64" s="155">
        <f t="shared" si="153"/>
        <v>0.75</v>
      </c>
      <c r="BS64" s="153">
        <f t="shared" si="154"/>
        <v>665.5999737234672</v>
      </c>
      <c r="BT64" s="153">
        <f t="shared" si="155"/>
        <v>20.009572540449344</v>
      </c>
      <c r="BU64" s="144">
        <v>10</v>
      </c>
      <c r="BV64" s="155" t="s">
        <v>191</v>
      </c>
      <c r="BW64" s="144">
        <v>6</v>
      </c>
      <c r="BX64" s="121"/>
      <c r="CI64" s="122"/>
      <c r="CJ64" s="350"/>
      <c r="CK64" s="153">
        <f t="shared" si="156"/>
        <v>28.4</v>
      </c>
      <c r="CL64" s="153">
        <f t="shared" si="157"/>
        <v>1073.5199999999998</v>
      </c>
      <c r="CM64" s="53" t="str">
        <f t="shared" si="158"/>
        <v>OK</v>
      </c>
      <c r="CU64" s="117"/>
    </row>
    <row r="65" spans="1:99" ht="15" customHeight="1" x14ac:dyDescent="0.25">
      <c r="A65" s="123"/>
      <c r="B65" s="124"/>
      <c r="C65" s="188"/>
      <c r="D65" s="124"/>
      <c r="E65" s="124"/>
      <c r="F65" s="124"/>
      <c r="G65" s="124"/>
      <c r="H65" s="125"/>
      <c r="I65" s="124"/>
      <c r="J65" s="124"/>
      <c r="K65" s="124"/>
      <c r="L65" s="126"/>
      <c r="M65" s="349" t="str">
        <f>M27</f>
        <v>Z3</v>
      </c>
      <c r="N65" s="147">
        <f t="shared" si="125"/>
        <v>990.74270000000001</v>
      </c>
      <c r="O65" s="147">
        <f t="shared" si="159"/>
        <v>142.2193</v>
      </c>
      <c r="P65" s="147">
        <f t="shared" si="126"/>
        <v>137.50220000000002</v>
      </c>
      <c r="Q65" s="143">
        <f t="shared" si="127"/>
        <v>40</v>
      </c>
      <c r="R65" s="163">
        <f t="shared" si="128"/>
        <v>3.1428571428571432</v>
      </c>
      <c r="S65" s="163">
        <f t="shared" si="160"/>
        <v>1</v>
      </c>
      <c r="T65" s="155">
        <f t="shared" si="167"/>
        <v>4.6000000000000005</v>
      </c>
      <c r="U65" s="164">
        <v>2</v>
      </c>
      <c r="V65" s="165">
        <f t="shared" si="129"/>
        <v>3.8820833333333339E-2</v>
      </c>
      <c r="W65" s="144">
        <v>0.35</v>
      </c>
      <c r="X65" s="144">
        <v>1.1000000000000001</v>
      </c>
      <c r="Y65" s="349" t="str">
        <f>M65</f>
        <v>Z3</v>
      </c>
      <c r="Z65" s="150">
        <f t="shared" si="161"/>
        <v>105.50366197461156</v>
      </c>
      <c r="AA65" s="150">
        <f t="shared" si="162"/>
        <v>71.811055416263599</v>
      </c>
      <c r="AB65" s="151">
        <f t="shared" si="163"/>
        <v>72.928564744437637</v>
      </c>
      <c r="AC65" s="150">
        <f t="shared" si="164"/>
        <v>39.235958186089668</v>
      </c>
      <c r="AD65" s="152">
        <f t="shared" si="165"/>
        <v>0.74765373831334858</v>
      </c>
      <c r="AE65" s="361" t="str">
        <f t="shared" si="166"/>
        <v>Zapata a compresión</v>
      </c>
      <c r="AF65" s="361"/>
      <c r="AG65" s="148">
        <f t="shared" si="130"/>
        <v>1832.8739950000001</v>
      </c>
      <c r="AH65" s="150">
        <f t="shared" si="131"/>
        <v>13.329779414438459</v>
      </c>
      <c r="AI65" s="148">
        <f t="shared" si="132"/>
        <v>1832.8739950000001</v>
      </c>
      <c r="AJ65" s="150">
        <f t="shared" si="133"/>
        <v>12.887660078484426</v>
      </c>
      <c r="AK65" s="204"/>
      <c r="AL65" s="204"/>
      <c r="AM65" s="204"/>
      <c r="AN65" s="349" t="str">
        <f>Y65</f>
        <v>Z3</v>
      </c>
      <c r="AO65" s="155">
        <f t="shared" si="134"/>
        <v>0.38500000000000001</v>
      </c>
      <c r="AP65" s="155">
        <f t="shared" si="135"/>
        <v>7.2850000000000001</v>
      </c>
      <c r="AQ65" s="150">
        <f t="shared" si="136"/>
        <v>2</v>
      </c>
      <c r="AR65" s="150">
        <f t="shared" si="137"/>
        <v>11911.9</v>
      </c>
      <c r="AS65" s="53" t="str">
        <f t="shared" si="138"/>
        <v>OK</v>
      </c>
      <c r="AT65" s="155" t="str">
        <f t="shared" si="139"/>
        <v>NO</v>
      </c>
      <c r="AU65" s="144">
        <v>10.125</v>
      </c>
      <c r="AV65" s="143" t="s">
        <v>730</v>
      </c>
      <c r="AW65" s="163">
        <f t="shared" si="140"/>
        <v>0.50624999999999998</v>
      </c>
      <c r="AX65" s="144">
        <v>0.55000000000000004</v>
      </c>
      <c r="AY65" s="144">
        <v>0.3</v>
      </c>
      <c r="AZ65" s="349" t="str">
        <f>AN65</f>
        <v>Z3</v>
      </c>
      <c r="BA65" s="153">
        <f t="shared" si="141"/>
        <v>368.48351121621624</v>
      </c>
      <c r="BB65" s="153">
        <f t="shared" si="142"/>
        <v>612.62676303910769</v>
      </c>
      <c r="BC65" s="150">
        <f t="shared" si="143"/>
        <v>1.8E-3</v>
      </c>
      <c r="BD65" s="148">
        <f t="shared" si="144"/>
        <v>28.305</v>
      </c>
      <c r="BE65" s="144">
        <v>5</v>
      </c>
      <c r="BF65" s="144">
        <v>21</v>
      </c>
      <c r="BG65" s="155">
        <f t="shared" si="145"/>
        <v>41.79</v>
      </c>
      <c r="BH65" s="53" t="str">
        <f t="shared" si="146"/>
        <v>OK</v>
      </c>
      <c r="BI65" s="148">
        <f t="shared" si="147"/>
        <v>0.17</v>
      </c>
      <c r="BJ65" s="155" t="str">
        <f t="shared" si="148"/>
        <v>21#5@15</v>
      </c>
      <c r="BK65" s="197">
        <f t="shared" si="149"/>
        <v>0.67731514716439345</v>
      </c>
      <c r="BL65" s="349" t="str">
        <f>AZ65</f>
        <v>Z3</v>
      </c>
      <c r="BM65" s="153">
        <f t="shared" si="150"/>
        <v>1</v>
      </c>
      <c r="BN65" s="157">
        <v>0.85</v>
      </c>
      <c r="BO65" s="153">
        <f t="shared" si="151"/>
        <v>1.2686567164179103</v>
      </c>
      <c r="BP65" s="153">
        <f t="shared" si="152"/>
        <v>12445.5223880597</v>
      </c>
      <c r="BQ65" s="155" t="s">
        <v>699</v>
      </c>
      <c r="BR65" s="155">
        <f t="shared" si="153"/>
        <v>0.75</v>
      </c>
      <c r="BS65" s="153">
        <f t="shared" si="154"/>
        <v>0</v>
      </c>
      <c r="BT65" s="153">
        <f t="shared" si="155"/>
        <v>9.2317499999999999</v>
      </c>
      <c r="BU65" s="144">
        <v>10</v>
      </c>
      <c r="BV65" s="155" t="s">
        <v>191</v>
      </c>
      <c r="BW65" s="144">
        <v>6</v>
      </c>
      <c r="BX65" s="121"/>
      <c r="CI65" s="122"/>
      <c r="CJ65" s="349" t="str">
        <f>CJ27</f>
        <v>Z3</v>
      </c>
      <c r="CK65" s="153">
        <f t="shared" si="156"/>
        <v>28.4</v>
      </c>
      <c r="CL65" s="153">
        <f t="shared" si="157"/>
        <v>1073.5199999999998</v>
      </c>
      <c r="CM65" s="53" t="str">
        <f t="shared" si="158"/>
        <v>OK</v>
      </c>
      <c r="CU65" s="117"/>
    </row>
    <row r="66" spans="1:99" ht="15" customHeight="1" x14ac:dyDescent="0.25">
      <c r="A66" s="123"/>
      <c r="B66" s="124"/>
      <c r="C66" s="188"/>
      <c r="D66" s="124"/>
      <c r="E66" s="124"/>
      <c r="F66" s="124"/>
      <c r="G66" s="124"/>
      <c r="H66" s="125"/>
      <c r="I66" s="124"/>
      <c r="J66" s="124"/>
      <c r="K66" s="124"/>
      <c r="L66" s="126"/>
      <c r="M66" s="350"/>
      <c r="N66" s="147">
        <f t="shared" si="125"/>
        <v>962.19160000000011</v>
      </c>
      <c r="O66" s="147">
        <f t="shared" si="159"/>
        <v>-139.85849999999999</v>
      </c>
      <c r="P66" s="147">
        <f t="shared" si="126"/>
        <v>-7.338099999999999</v>
      </c>
      <c r="Q66" s="143">
        <f t="shared" si="127"/>
        <v>40</v>
      </c>
      <c r="R66" s="163">
        <f t="shared" si="128"/>
        <v>3.1428571428571432</v>
      </c>
      <c r="S66" s="163">
        <f t="shared" si="160"/>
        <v>1</v>
      </c>
      <c r="T66" s="155">
        <f t="shared" si="167"/>
        <v>4.6000000000000005</v>
      </c>
      <c r="U66" s="164">
        <v>2</v>
      </c>
      <c r="V66" s="165">
        <f t="shared" si="129"/>
        <v>3.8820833333333339E-2</v>
      </c>
      <c r="W66" s="144">
        <v>0.35</v>
      </c>
      <c r="X66" s="144">
        <v>1.1000000000000001</v>
      </c>
      <c r="Y66" s="350"/>
      <c r="Z66" s="150">
        <f t="shared" si="161"/>
        <v>52.848386472666981</v>
      </c>
      <c r="AA66" s="150">
        <f t="shared" si="162"/>
        <v>85.981705328410953</v>
      </c>
      <c r="AB66" s="151">
        <f t="shared" si="163"/>
        <v>54.586826446607319</v>
      </c>
      <c r="AC66" s="150">
        <f t="shared" si="164"/>
        <v>87.720145302351284</v>
      </c>
      <c r="AD66" s="152">
        <f t="shared" si="165"/>
        <v>0.62163050393905084</v>
      </c>
      <c r="AE66" s="361" t="str">
        <f t="shared" si="166"/>
        <v>Zapata a compresión</v>
      </c>
      <c r="AF66" s="361"/>
      <c r="AG66" s="148">
        <f t="shared" si="130"/>
        <v>1780.0544600000003</v>
      </c>
      <c r="AH66" s="150">
        <f t="shared" si="131"/>
        <v>-242.57702402529273</v>
      </c>
      <c r="AI66" s="148">
        <f t="shared" si="132"/>
        <v>1780.0544600000003</v>
      </c>
      <c r="AJ66" s="150">
        <f t="shared" si="133"/>
        <v>-12.727538619390316</v>
      </c>
      <c r="AK66" s="205"/>
      <c r="AL66" s="205"/>
      <c r="AM66" s="205"/>
      <c r="AN66" s="350"/>
      <c r="AO66" s="155">
        <f t="shared" si="134"/>
        <v>0.38500000000000001</v>
      </c>
      <c r="AP66" s="155">
        <f t="shared" si="135"/>
        <v>7.2850000000000001</v>
      </c>
      <c r="AQ66" s="150">
        <f t="shared" si="136"/>
        <v>2</v>
      </c>
      <c r="AR66" s="150">
        <f t="shared" si="137"/>
        <v>11911.9</v>
      </c>
      <c r="AS66" s="53" t="str">
        <f t="shared" si="138"/>
        <v>OK</v>
      </c>
      <c r="AT66" s="155" t="str">
        <f t="shared" si="139"/>
        <v>NO</v>
      </c>
      <c r="AU66" s="144">
        <v>10.125</v>
      </c>
      <c r="AV66" s="143" t="s">
        <v>730</v>
      </c>
      <c r="AW66" s="163">
        <f t="shared" si="140"/>
        <v>0.50624999999999998</v>
      </c>
      <c r="AX66" s="144">
        <v>0.55000000000000004</v>
      </c>
      <c r="AY66" s="144">
        <v>0.3</v>
      </c>
      <c r="AZ66" s="350"/>
      <c r="BA66" s="153">
        <f t="shared" si="141"/>
        <v>79.885257297297329</v>
      </c>
      <c r="BB66" s="153">
        <f t="shared" si="142"/>
        <v>132.81421041353713</v>
      </c>
      <c r="BC66" s="150">
        <f t="shared" si="143"/>
        <v>1.8E-3</v>
      </c>
      <c r="BD66" s="148">
        <f t="shared" si="144"/>
        <v>28.305</v>
      </c>
      <c r="BE66" s="144">
        <v>5</v>
      </c>
      <c r="BF66" s="144">
        <v>21</v>
      </c>
      <c r="BG66" s="155">
        <f t="shared" si="145"/>
        <v>41.79</v>
      </c>
      <c r="BH66" s="53" t="str">
        <f t="shared" si="146"/>
        <v>OK</v>
      </c>
      <c r="BI66" s="148">
        <f t="shared" si="147"/>
        <v>0.17</v>
      </c>
      <c r="BJ66" s="155" t="str">
        <f t="shared" si="148"/>
        <v>21#5@15</v>
      </c>
      <c r="BK66" s="197">
        <f t="shared" si="149"/>
        <v>0.67731514716439345</v>
      </c>
      <c r="BL66" s="350"/>
      <c r="BM66" s="153">
        <f t="shared" si="150"/>
        <v>1</v>
      </c>
      <c r="BN66" s="157">
        <v>0.85</v>
      </c>
      <c r="BO66" s="153">
        <f t="shared" si="151"/>
        <v>1.2686567164179103</v>
      </c>
      <c r="BP66" s="153">
        <f t="shared" si="152"/>
        <v>12445.5223880597</v>
      </c>
      <c r="BQ66" s="155" t="s">
        <v>699</v>
      </c>
      <c r="BR66" s="155">
        <f t="shared" si="153"/>
        <v>0.75</v>
      </c>
      <c r="BS66" s="153">
        <f t="shared" si="154"/>
        <v>0</v>
      </c>
      <c r="BT66" s="153">
        <f t="shared" si="155"/>
        <v>9.2317499999999999</v>
      </c>
      <c r="BU66" s="144">
        <v>10</v>
      </c>
      <c r="BV66" s="155" t="s">
        <v>191</v>
      </c>
      <c r="BW66" s="144">
        <v>6</v>
      </c>
      <c r="BX66" s="121"/>
      <c r="CI66" s="122"/>
      <c r="CJ66" s="350"/>
      <c r="CK66" s="153">
        <f t="shared" si="156"/>
        <v>28.4</v>
      </c>
      <c r="CL66" s="153">
        <f t="shared" si="157"/>
        <v>1073.5199999999998</v>
      </c>
      <c r="CM66" s="53" t="str">
        <f t="shared" si="158"/>
        <v>OK</v>
      </c>
      <c r="CU66" s="117"/>
    </row>
    <row r="67" spans="1:99" ht="15" customHeight="1" x14ac:dyDescent="0.25">
      <c r="A67" s="123"/>
      <c r="B67" s="124"/>
      <c r="C67" s="188"/>
      <c r="D67" s="124"/>
      <c r="E67" s="124"/>
      <c r="F67" s="124"/>
      <c r="G67" s="124"/>
      <c r="H67" s="125"/>
      <c r="I67" s="124"/>
      <c r="J67" s="124"/>
      <c r="K67" s="124"/>
      <c r="L67" s="126"/>
      <c r="M67" s="349" t="str">
        <f>M29</f>
        <v>Z4</v>
      </c>
      <c r="N67" s="147">
        <f t="shared" si="125"/>
        <v>1244.1987999999999</v>
      </c>
      <c r="O67" s="147">
        <f t="shared" si="159"/>
        <v>138.6464</v>
      </c>
      <c r="P67" s="147">
        <f t="shared" si="126"/>
        <v>83.322299999999998</v>
      </c>
      <c r="Q67" s="143">
        <f t="shared" si="127"/>
        <v>30</v>
      </c>
      <c r="R67" s="163">
        <f t="shared" si="128"/>
        <v>3.1428571428571432</v>
      </c>
      <c r="S67" s="163">
        <f>MAX(AA29,AC29)/MIN(AA29,AC29)</f>
        <v>1.2666666666666666</v>
      </c>
      <c r="T67" s="155">
        <f t="shared" si="167"/>
        <v>4.6000000000000005</v>
      </c>
      <c r="U67" s="164">
        <v>2</v>
      </c>
      <c r="V67" s="165">
        <f t="shared" si="129"/>
        <v>3.8820833333333339E-2</v>
      </c>
      <c r="W67" s="144">
        <v>0.35</v>
      </c>
      <c r="X67" s="144">
        <v>1.1000000000000001</v>
      </c>
      <c r="Y67" s="349" t="str">
        <f>M67</f>
        <v>Z4</v>
      </c>
      <c r="Z67" s="150">
        <f>N67/(AA29*AC29)*(1+6*AD29/AC29+6*AE29/AA29)</f>
        <v>145.00466020313942</v>
      </c>
      <c r="AA67" s="150">
        <f>N67/(AA29*AC29)*(1+6*AD29/AC29-6*AE29/AA29)</f>
        <v>96.35680055401663</v>
      </c>
      <c r="AB67" s="151">
        <f>N67/(AA29*AC29)*(1-6*AD29/AC29+6*AE29/AA29)</f>
        <v>121.92369067405356</v>
      </c>
      <c r="AC67" s="150">
        <f>N67/(AA29*AC29)*(1-6*AD29/AC29-6*AE29/AA29)</f>
        <v>73.275831024930753</v>
      </c>
      <c r="AD67" s="152">
        <f t="shared" si="165"/>
        <v>1.0275783251942729</v>
      </c>
      <c r="AE67" s="361" t="str">
        <f>IF(AND(AD29&lt;AC29/6,AE29&lt;AA29/6),"Zapata a compresión","Hay tensiones en la zapata")</f>
        <v>Zapata a compresión</v>
      </c>
      <c r="AF67" s="361"/>
      <c r="AG67" s="148">
        <f t="shared" si="130"/>
        <v>2363.9777199999999</v>
      </c>
      <c r="AH67" s="150">
        <f t="shared" si="131"/>
        <v>28.371489025146928</v>
      </c>
      <c r="AI67" s="148">
        <f t="shared" si="132"/>
        <v>3514.8616099999999</v>
      </c>
      <c r="AJ67" s="150">
        <f t="shared" si="133"/>
        <v>25.351264872365959</v>
      </c>
      <c r="AK67" s="204"/>
      <c r="AL67" s="204"/>
      <c r="AM67" s="204"/>
      <c r="AN67" s="349" t="str">
        <f>Y67</f>
        <v>Z4</v>
      </c>
      <c r="AO67" s="155">
        <f t="shared" si="134"/>
        <v>0.38500000000000001</v>
      </c>
      <c r="AP67" s="155">
        <f t="shared" si="135"/>
        <v>7.2850000000000001</v>
      </c>
      <c r="AQ67" s="150">
        <f t="shared" si="136"/>
        <v>2</v>
      </c>
      <c r="AR67" s="150">
        <f t="shared" si="137"/>
        <v>11911.9</v>
      </c>
      <c r="AS67" s="53" t="str">
        <f t="shared" si="138"/>
        <v>OK</v>
      </c>
      <c r="AT67" s="155" t="str">
        <f t="shared" si="139"/>
        <v>SÍ</v>
      </c>
      <c r="AU67" s="144">
        <v>10.125</v>
      </c>
      <c r="AV67" s="143" t="s">
        <v>730</v>
      </c>
      <c r="AW67" s="163">
        <f t="shared" si="140"/>
        <v>0.50624999999999998</v>
      </c>
      <c r="AX67" s="144">
        <v>0.55000000000000004</v>
      </c>
      <c r="AY67" s="144">
        <v>0.3</v>
      </c>
      <c r="AZ67" s="349" t="str">
        <f>AN67</f>
        <v>Z4</v>
      </c>
      <c r="BA67" s="153">
        <f t="shared" si="141"/>
        <v>437.0085464473683</v>
      </c>
      <c r="BB67" s="153">
        <f t="shared" si="142"/>
        <v>707.43405807056934</v>
      </c>
      <c r="BC67" s="150">
        <f t="shared" si="143"/>
        <v>1.8E-3</v>
      </c>
      <c r="BD67" s="148">
        <f t="shared" si="144"/>
        <v>29.07</v>
      </c>
      <c r="BE67" s="144">
        <v>5</v>
      </c>
      <c r="BF67" s="144">
        <v>17</v>
      </c>
      <c r="BG67" s="155">
        <f t="shared" si="145"/>
        <v>33.83</v>
      </c>
      <c r="BH67" s="53" t="str">
        <f t="shared" si="146"/>
        <v>OK</v>
      </c>
      <c r="BI67" s="148">
        <f t="shared" si="147"/>
        <v>0.21</v>
      </c>
      <c r="BJ67" s="155" t="str">
        <f t="shared" si="148"/>
        <v>17#5@20</v>
      </c>
      <c r="BK67" s="197">
        <f t="shared" si="149"/>
        <v>0.85929648241206036</v>
      </c>
      <c r="BL67" s="349" t="str">
        <f>AZ67</f>
        <v>Z4</v>
      </c>
      <c r="BM67" s="153">
        <f t="shared" si="150"/>
        <v>0.92982456140350889</v>
      </c>
      <c r="BN67" s="157">
        <v>0.85</v>
      </c>
      <c r="BO67" s="153">
        <f t="shared" si="151"/>
        <v>1.1796281749148994</v>
      </c>
      <c r="BP67" s="153">
        <f t="shared" si="152"/>
        <v>11572.152395915164</v>
      </c>
      <c r="BQ67" s="155" t="s">
        <v>699</v>
      </c>
      <c r="BR67" s="155">
        <f t="shared" si="153"/>
        <v>0.75</v>
      </c>
      <c r="BS67" s="153">
        <f t="shared" si="154"/>
        <v>892.46798161464915</v>
      </c>
      <c r="BT67" s="153">
        <f t="shared" si="155"/>
        <v>23.156460547504022</v>
      </c>
      <c r="BU67" s="144">
        <v>10</v>
      </c>
      <c r="BV67" s="155" t="s">
        <v>191</v>
      </c>
      <c r="BW67" s="144">
        <v>6</v>
      </c>
      <c r="BX67" s="121"/>
      <c r="CI67" s="122"/>
      <c r="CJ67" s="349" t="str">
        <f>CJ29</f>
        <v>Z4</v>
      </c>
      <c r="CK67" s="153">
        <f t="shared" si="156"/>
        <v>28.4</v>
      </c>
      <c r="CL67" s="153">
        <f t="shared" si="157"/>
        <v>1073.5199999999998</v>
      </c>
      <c r="CM67" s="53" t="str">
        <f t="shared" si="158"/>
        <v>OK</v>
      </c>
      <c r="CU67" s="117"/>
    </row>
    <row r="68" spans="1:99" ht="15" customHeight="1" x14ac:dyDescent="0.25">
      <c r="A68" s="123"/>
      <c r="B68" s="124"/>
      <c r="C68" s="188"/>
      <c r="D68" s="124"/>
      <c r="E68" s="124"/>
      <c r="F68" s="124"/>
      <c r="G68" s="124"/>
      <c r="H68" s="125"/>
      <c r="I68" s="124"/>
      <c r="J68" s="124"/>
      <c r="K68" s="124"/>
      <c r="L68" s="126"/>
      <c r="M68" s="350"/>
      <c r="N68" s="147">
        <f t="shared" si="125"/>
        <v>1243.2137</v>
      </c>
      <c r="O68" s="147">
        <f t="shared" si="159"/>
        <v>-137.94159999999999</v>
      </c>
      <c r="P68" s="147">
        <f t="shared" si="126"/>
        <v>-84.146999999999991</v>
      </c>
      <c r="Q68" s="143">
        <f t="shared" si="127"/>
        <v>30</v>
      </c>
      <c r="R68" s="163">
        <f t="shared" si="128"/>
        <v>3.1428571428571432</v>
      </c>
      <c r="S68" s="163">
        <f>MAX(AA30,AC30)/MIN(AA30,AC30)</f>
        <v>1.2666666666666666</v>
      </c>
      <c r="T68" s="155">
        <f t="shared" si="167"/>
        <v>4.6000000000000005</v>
      </c>
      <c r="U68" s="164">
        <v>2</v>
      </c>
      <c r="V68" s="165">
        <f t="shared" si="129"/>
        <v>3.8820833333333339E-2</v>
      </c>
      <c r="W68" s="144">
        <v>0.35</v>
      </c>
      <c r="X68" s="144">
        <v>1.1000000000000001</v>
      </c>
      <c r="Y68" s="350"/>
      <c r="Z68" s="150">
        <f>N68/(AA30*AC30)*(1+6*AD30/AC30+6*AE30/AA30)</f>
        <v>73.198843490304711</v>
      </c>
      <c r="AA68" s="150">
        <f>N68/(AA30*AC30)*(1+6*AD30/AC30-6*AE30/AA30)</f>
        <v>121.59940489381349</v>
      </c>
      <c r="AB68" s="151">
        <f>N68/(AA30*AC30)*(1-6*AD30/AC30+6*AE30/AA30)</f>
        <v>96.508261772853189</v>
      </c>
      <c r="AC68" s="150">
        <f>N68/(AA30*AC30)*(1-6*AD30/AC30-6*AE30/AA30)</f>
        <v>144.90882317636198</v>
      </c>
      <c r="AD68" s="152">
        <f t="shared" si="165"/>
        <v>1.0268991742529885</v>
      </c>
      <c r="AE68" s="361" t="str">
        <f>IF(AND(AD30&lt;AC30/6,AE30&lt;AA30/6),"Zapata a compresión","Hay tensiones en la zapata")</f>
        <v>Zapata a compresión</v>
      </c>
      <c r="AF68" s="361"/>
      <c r="AG68" s="148">
        <f t="shared" si="130"/>
        <v>2362.1060299999999</v>
      </c>
      <c r="AH68" s="150">
        <f t="shared" si="131"/>
        <v>-28.071185306665718</v>
      </c>
      <c r="AI68" s="148">
        <f t="shared" si="132"/>
        <v>3512.0787025000004</v>
      </c>
      <c r="AJ68" s="150">
        <f t="shared" si="133"/>
        <v>-25.46062030960929</v>
      </c>
      <c r="AK68" s="205"/>
      <c r="AL68" s="205"/>
      <c r="AM68" s="205"/>
      <c r="AN68" s="350"/>
      <c r="AO68" s="155">
        <f t="shared" si="134"/>
        <v>0.38500000000000001</v>
      </c>
      <c r="AP68" s="155">
        <f t="shared" si="135"/>
        <v>7.2850000000000001</v>
      </c>
      <c r="AQ68" s="150">
        <f t="shared" si="136"/>
        <v>2</v>
      </c>
      <c r="AR68" s="150">
        <f t="shared" si="137"/>
        <v>11911.9</v>
      </c>
      <c r="AS68" s="53" t="str">
        <f t="shared" si="138"/>
        <v>OK</v>
      </c>
      <c r="AT68" s="155" t="str">
        <f t="shared" si="139"/>
        <v>SÍ</v>
      </c>
      <c r="AU68" s="144">
        <v>10.125</v>
      </c>
      <c r="AV68" s="143" t="s">
        <v>730</v>
      </c>
      <c r="AW68" s="163">
        <f t="shared" si="140"/>
        <v>0.50624999999999998</v>
      </c>
      <c r="AX68" s="144">
        <v>0.55000000000000004</v>
      </c>
      <c r="AY68" s="144">
        <v>0.3</v>
      </c>
      <c r="AZ68" s="350"/>
      <c r="BA68" s="153">
        <f t="shared" si="141"/>
        <v>160.18431687499998</v>
      </c>
      <c r="BB68" s="153">
        <f t="shared" si="142"/>
        <v>259.30806673546613</v>
      </c>
      <c r="BC68" s="150">
        <f t="shared" si="143"/>
        <v>1.8E-3</v>
      </c>
      <c r="BD68" s="148">
        <f t="shared" si="144"/>
        <v>29.07</v>
      </c>
      <c r="BE68" s="144">
        <v>5</v>
      </c>
      <c r="BF68" s="144">
        <v>17</v>
      </c>
      <c r="BG68" s="155">
        <f t="shared" si="145"/>
        <v>33.83</v>
      </c>
      <c r="BH68" s="53" t="str">
        <f t="shared" si="146"/>
        <v>OK</v>
      </c>
      <c r="BI68" s="148">
        <f t="shared" si="147"/>
        <v>0.21</v>
      </c>
      <c r="BJ68" s="155" t="str">
        <f t="shared" si="148"/>
        <v>17#5@20</v>
      </c>
      <c r="BK68" s="197">
        <f t="shared" si="149"/>
        <v>0.85929648241206036</v>
      </c>
      <c r="BL68" s="350"/>
      <c r="BM68" s="153">
        <f t="shared" si="150"/>
        <v>0.92982456140350889</v>
      </c>
      <c r="BN68" s="157">
        <v>0.85</v>
      </c>
      <c r="BO68" s="153">
        <f t="shared" si="151"/>
        <v>1.1796281749148994</v>
      </c>
      <c r="BP68" s="153">
        <f t="shared" si="152"/>
        <v>11572.152395915164</v>
      </c>
      <c r="BQ68" s="155" t="s">
        <v>699</v>
      </c>
      <c r="BR68" s="155">
        <f t="shared" si="153"/>
        <v>0.75</v>
      </c>
      <c r="BS68" s="153">
        <f t="shared" si="154"/>
        <v>987.21126856224669</v>
      </c>
      <c r="BT68" s="153">
        <f t="shared" si="155"/>
        <v>27.378264741967641</v>
      </c>
      <c r="BU68" s="144">
        <v>10</v>
      </c>
      <c r="BV68" s="155" t="s">
        <v>191</v>
      </c>
      <c r="BW68" s="144">
        <v>6</v>
      </c>
      <c r="BX68" s="121"/>
      <c r="CI68" s="122"/>
      <c r="CJ68" s="350"/>
      <c r="CK68" s="153">
        <f t="shared" si="156"/>
        <v>28.4</v>
      </c>
      <c r="CL68" s="153">
        <f t="shared" si="157"/>
        <v>1073.5199999999998</v>
      </c>
      <c r="CM68" s="53" t="str">
        <f t="shared" si="158"/>
        <v>OK</v>
      </c>
      <c r="CU68" s="117"/>
    </row>
    <row r="69" spans="1:99" ht="15" customHeight="1" x14ac:dyDescent="0.25">
      <c r="A69" s="123"/>
      <c r="B69" s="124"/>
      <c r="C69" s="188"/>
      <c r="D69" s="124"/>
      <c r="E69" s="124"/>
      <c r="F69" s="124"/>
      <c r="G69" s="124"/>
      <c r="H69" s="125"/>
      <c r="I69" s="124"/>
      <c r="J69" s="124"/>
      <c r="K69" s="124"/>
      <c r="L69" s="126"/>
      <c r="M69" s="349" t="str">
        <f>M31</f>
        <v>Z1</v>
      </c>
      <c r="N69" s="147">
        <f t="shared" si="125"/>
        <v>963.37860000000001</v>
      </c>
      <c r="O69" s="147">
        <f t="shared" si="159"/>
        <v>140.23910000000001</v>
      </c>
      <c r="P69" s="147">
        <f t="shared" si="126"/>
        <v>7.0617000000000019</v>
      </c>
      <c r="Q69" s="143">
        <f t="shared" si="127"/>
        <v>20</v>
      </c>
      <c r="R69" s="163">
        <f t="shared" si="128"/>
        <v>3.1428571428571432</v>
      </c>
      <c r="S69" s="163">
        <f t="shared" si="160"/>
        <v>1</v>
      </c>
      <c r="T69" s="155">
        <f>2*(W69+X69+2*V31)</f>
        <v>4.6000000000000005</v>
      </c>
      <c r="U69" s="164">
        <v>2</v>
      </c>
      <c r="V69" s="165">
        <f>W69*X69^3/12</f>
        <v>3.9302083333333324E-3</v>
      </c>
      <c r="W69" s="144">
        <v>1.1000000000000001</v>
      </c>
      <c r="X69" s="144">
        <v>0.35</v>
      </c>
      <c r="Y69" s="349" t="str">
        <f>M69</f>
        <v>Z1</v>
      </c>
      <c r="Z69" s="150">
        <f t="shared" si="161"/>
        <v>93.277772633744846</v>
      </c>
      <c r="AA69" s="150">
        <f t="shared" si="162"/>
        <v>57.208045267489716</v>
      </c>
      <c r="AB69" s="151">
        <f t="shared" si="163"/>
        <v>91.461491769547308</v>
      </c>
      <c r="AC69" s="150">
        <f t="shared" si="164"/>
        <v>55.391764403292179</v>
      </c>
      <c r="AD69" s="152">
        <f t="shared" si="165"/>
        <v>0.66101473736469951</v>
      </c>
      <c r="AE69" s="361" t="str">
        <f t="shared" si="166"/>
        <v>Zapata a compresión</v>
      </c>
      <c r="AF69" s="361"/>
      <c r="AG69" s="148">
        <f t="shared" si="130"/>
        <v>3299.5717050000003</v>
      </c>
      <c r="AH69" s="150">
        <f t="shared" si="131"/>
        <v>467.24892093971698</v>
      </c>
      <c r="AI69" s="148">
        <f t="shared" si="132"/>
        <v>2938.3047299999998</v>
      </c>
      <c r="AJ69" s="150">
        <f t="shared" si="133"/>
        <v>20.952107721740937</v>
      </c>
      <c r="AK69" s="204"/>
      <c r="AL69" s="204"/>
      <c r="AM69" s="204"/>
      <c r="AN69" s="349" t="str">
        <f>Y69</f>
        <v>Z1</v>
      </c>
      <c r="AO69" s="155">
        <f>W69*X69</f>
        <v>0.38500000000000001</v>
      </c>
      <c r="AP69" s="155">
        <f>(4*U31+W69)*(4*U31+X69)</f>
        <v>7.2850000000000001</v>
      </c>
      <c r="AQ69" s="150">
        <f t="shared" si="136"/>
        <v>2</v>
      </c>
      <c r="AR69" s="150">
        <f t="shared" si="137"/>
        <v>11911.9</v>
      </c>
      <c r="AS69" s="53" t="str">
        <f t="shared" si="138"/>
        <v>OK</v>
      </c>
      <c r="AT69" s="155" t="str">
        <f t="shared" si="139"/>
        <v>SÍ</v>
      </c>
      <c r="AU69" s="144">
        <v>10.125</v>
      </c>
      <c r="AV69" s="143" t="s">
        <v>730</v>
      </c>
      <c r="AW69" s="163">
        <f t="shared" si="140"/>
        <v>0.50624999999999998</v>
      </c>
      <c r="AX69" s="144">
        <v>0.55000000000000004</v>
      </c>
      <c r="AY69" s="144">
        <v>0.3</v>
      </c>
      <c r="AZ69" s="349" t="str">
        <f>AN69</f>
        <v>Z1</v>
      </c>
      <c r="BA69" s="153">
        <f t="shared" si="141"/>
        <v>493.56154661458334</v>
      </c>
      <c r="BB69" s="153">
        <f t="shared" si="142"/>
        <v>843.3705781786208</v>
      </c>
      <c r="BC69" s="150">
        <f t="shared" si="143"/>
        <v>2.0449226140585868E-3</v>
      </c>
      <c r="BD69" s="148">
        <f t="shared" si="144"/>
        <v>31.287315995096378</v>
      </c>
      <c r="BE69" s="144">
        <v>5</v>
      </c>
      <c r="BF69" s="144">
        <v>23</v>
      </c>
      <c r="BG69" s="155">
        <f t="shared" si="145"/>
        <v>45.77</v>
      </c>
      <c r="BH69" s="53" t="str">
        <f t="shared" si="146"/>
        <v>OK</v>
      </c>
      <c r="BI69" s="148">
        <f t="shared" si="147"/>
        <v>0.15</v>
      </c>
      <c r="BJ69" s="155" t="str">
        <f t="shared" si="148"/>
        <v>23#5@15</v>
      </c>
      <c r="BK69" s="197">
        <f t="shared" si="149"/>
        <v>0.68357692801171899</v>
      </c>
      <c r="BL69" s="349" t="str">
        <f>AZ69</f>
        <v>Z1</v>
      </c>
      <c r="BM69" s="153">
        <f t="shared" si="150"/>
        <v>1</v>
      </c>
      <c r="BN69" s="157">
        <v>0.85</v>
      </c>
      <c r="BO69" s="153">
        <f t="shared" si="151"/>
        <v>1.2686567164179103</v>
      </c>
      <c r="BP69" s="153">
        <f t="shared" si="152"/>
        <v>12445.5223880597</v>
      </c>
      <c r="BQ69" s="155" t="s">
        <v>699</v>
      </c>
      <c r="BR69" s="155">
        <f t="shared" si="153"/>
        <v>0.75</v>
      </c>
      <c r="BS69" s="153">
        <f>IF(AT69="SÍ",(N69*(AA31-W69)/2-P69)/(BM31+U31+BP69*BR69^2*BM31^2*AA31^3*AC31/(36*10^3*$O$8*V69)),0)</f>
        <v>537.70104678421717</v>
      </c>
      <c r="BT69" s="153">
        <f t="shared" si="155"/>
        <v>16.31752396288628</v>
      </c>
      <c r="BU69" s="144">
        <v>10</v>
      </c>
      <c r="BV69" s="155" t="s">
        <v>191</v>
      </c>
      <c r="BW69" s="144">
        <v>6</v>
      </c>
      <c r="BX69" s="121"/>
      <c r="CI69" s="122"/>
      <c r="CJ69" s="349" t="str">
        <f>CJ31</f>
        <v>Z1</v>
      </c>
      <c r="CK69" s="153">
        <f t="shared" si="156"/>
        <v>28.4</v>
      </c>
      <c r="CL69" s="153">
        <f t="shared" si="157"/>
        <v>1073.5199999999998</v>
      </c>
      <c r="CM69" s="53" t="str">
        <f t="shared" si="158"/>
        <v>OK</v>
      </c>
      <c r="CU69" s="117"/>
    </row>
    <row r="70" spans="1:99" ht="15" customHeight="1" x14ac:dyDescent="0.25">
      <c r="A70" s="123"/>
      <c r="B70" s="362" t="s">
        <v>733</v>
      </c>
      <c r="C70" s="362"/>
      <c r="D70" s="362"/>
      <c r="E70" s="362"/>
      <c r="F70" s="362"/>
      <c r="G70" s="362"/>
      <c r="H70" s="362"/>
      <c r="I70" s="362"/>
      <c r="J70" s="362"/>
      <c r="K70" s="362"/>
      <c r="L70" s="126"/>
      <c r="M70" s="350"/>
      <c r="N70" s="147">
        <f t="shared" si="125"/>
        <v>934.8454999999999</v>
      </c>
      <c r="O70" s="147">
        <f t="shared" si="159"/>
        <v>-140.7655</v>
      </c>
      <c r="P70" s="147">
        <f t="shared" si="126"/>
        <v>-137.95339999999999</v>
      </c>
      <c r="Q70" s="143">
        <f t="shared" si="127"/>
        <v>20</v>
      </c>
      <c r="R70" s="163">
        <f t="shared" si="128"/>
        <v>3.1428571428571432</v>
      </c>
      <c r="S70" s="163">
        <f t="shared" si="160"/>
        <v>1</v>
      </c>
      <c r="T70" s="155">
        <f t="shared" si="167"/>
        <v>4.6000000000000005</v>
      </c>
      <c r="U70" s="164">
        <v>2</v>
      </c>
      <c r="V70" s="165">
        <f t="shared" si="129"/>
        <v>3.9302083333333324E-3</v>
      </c>
      <c r="W70" s="144">
        <v>1.1000000000000001</v>
      </c>
      <c r="X70" s="144">
        <v>0.35</v>
      </c>
      <c r="Y70" s="350"/>
      <c r="Z70" s="150">
        <f t="shared" si="161"/>
        <v>36.289660493827149</v>
      </c>
      <c r="AA70" s="150">
        <f t="shared" si="162"/>
        <v>72.49477880658435</v>
      </c>
      <c r="AB70" s="151">
        <f t="shared" si="163"/>
        <v>71.771502057613162</v>
      </c>
      <c r="AC70" s="150">
        <f t="shared" si="164"/>
        <v>107.97662037037036</v>
      </c>
      <c r="AD70" s="152">
        <f t="shared" si="165"/>
        <v>0.76517840574837437</v>
      </c>
      <c r="AE70" s="361" t="str">
        <f t="shared" si="166"/>
        <v>Zapata a compresión</v>
      </c>
      <c r="AF70" s="361"/>
      <c r="AG70" s="148">
        <f t="shared" si="130"/>
        <v>3201.8458375</v>
      </c>
      <c r="AH70" s="150">
        <f t="shared" si="131"/>
        <v>-23.209618882173256</v>
      </c>
      <c r="AI70" s="148">
        <f t="shared" si="132"/>
        <v>2851.2787749999993</v>
      </c>
      <c r="AJ70" s="150">
        <f t="shared" si="133"/>
        <v>-20.255522660026777</v>
      </c>
      <c r="AK70" s="205"/>
      <c r="AL70" s="205"/>
      <c r="AM70" s="205"/>
      <c r="AN70" s="350"/>
      <c r="AO70" s="155">
        <f t="shared" si="134"/>
        <v>0.38500000000000001</v>
      </c>
      <c r="AP70" s="155">
        <f t="shared" si="135"/>
        <v>7.2850000000000001</v>
      </c>
      <c r="AQ70" s="150">
        <f t="shared" si="136"/>
        <v>2</v>
      </c>
      <c r="AR70" s="150">
        <f t="shared" si="137"/>
        <v>11911.9</v>
      </c>
      <c r="AS70" s="53" t="str">
        <f t="shared" si="138"/>
        <v>OK</v>
      </c>
      <c r="AT70" s="155" t="str">
        <f t="shared" si="139"/>
        <v>SÍ</v>
      </c>
      <c r="AU70" s="144">
        <v>10.125</v>
      </c>
      <c r="AV70" s="143" t="s">
        <v>730</v>
      </c>
      <c r="AW70" s="163">
        <f t="shared" si="140"/>
        <v>0.50624999999999998</v>
      </c>
      <c r="AX70" s="144">
        <v>0.55000000000000004</v>
      </c>
      <c r="AY70" s="144">
        <v>0.3</v>
      </c>
      <c r="AZ70" s="350"/>
      <c r="BA70" s="153">
        <f t="shared" si="141"/>
        <v>202.0923331163194</v>
      </c>
      <c r="BB70" s="153">
        <f t="shared" si="142"/>
        <v>345.32416270036208</v>
      </c>
      <c r="BC70" s="150">
        <f t="shared" si="143"/>
        <v>1.8E-3</v>
      </c>
      <c r="BD70" s="148">
        <f t="shared" si="144"/>
        <v>27.54</v>
      </c>
      <c r="BE70" s="144">
        <v>5</v>
      </c>
      <c r="BF70" s="144">
        <v>23</v>
      </c>
      <c r="BG70" s="155">
        <f t="shared" si="145"/>
        <v>45.77</v>
      </c>
      <c r="BH70" s="53" t="str">
        <f t="shared" si="146"/>
        <v>OK</v>
      </c>
      <c r="BI70" s="148">
        <f t="shared" si="147"/>
        <v>0.15</v>
      </c>
      <c r="BJ70" s="155" t="str">
        <f t="shared" si="148"/>
        <v>23#5@15</v>
      </c>
      <c r="BK70" s="197">
        <f t="shared" si="149"/>
        <v>0.6017041730391085</v>
      </c>
      <c r="BL70" s="350"/>
      <c r="BM70" s="153">
        <f t="shared" si="150"/>
        <v>1</v>
      </c>
      <c r="BN70" s="157">
        <v>0.85</v>
      </c>
      <c r="BO70" s="153">
        <f t="shared" si="151"/>
        <v>1.2686567164179103</v>
      </c>
      <c r="BP70" s="153">
        <f t="shared" si="152"/>
        <v>12445.5223880597</v>
      </c>
      <c r="BQ70" s="155" t="s">
        <v>699</v>
      </c>
      <c r="BR70" s="155">
        <f t="shared" si="153"/>
        <v>0.75</v>
      </c>
      <c r="BS70" s="153">
        <f t="shared" si="154"/>
        <v>586.81465546720517</v>
      </c>
      <c r="BT70" s="153">
        <f t="shared" si="155"/>
        <v>20.080091634077135</v>
      </c>
      <c r="BU70" s="144">
        <v>10</v>
      </c>
      <c r="BV70" s="155" t="s">
        <v>191</v>
      </c>
      <c r="BW70" s="144">
        <v>6</v>
      </c>
      <c r="BX70" s="121"/>
      <c r="CI70" s="122"/>
      <c r="CJ70" s="350"/>
      <c r="CK70" s="153">
        <f t="shared" si="156"/>
        <v>28.4</v>
      </c>
      <c r="CL70" s="153">
        <f t="shared" si="157"/>
        <v>1073.5199999999998</v>
      </c>
      <c r="CM70" s="53" t="str">
        <f t="shared" si="158"/>
        <v>OK</v>
      </c>
      <c r="CU70" s="117"/>
    </row>
    <row r="71" spans="1:99" ht="15" customHeight="1" x14ac:dyDescent="0.25">
      <c r="A71" s="123"/>
      <c r="B71" s="362"/>
      <c r="C71" s="362"/>
      <c r="D71" s="362"/>
      <c r="E71" s="362"/>
      <c r="F71" s="362"/>
      <c r="G71" s="362"/>
      <c r="H71" s="362"/>
      <c r="I71" s="362"/>
      <c r="J71" s="362"/>
      <c r="K71" s="362"/>
      <c r="L71" s="126"/>
      <c r="M71" s="349" t="str">
        <f>M33</f>
        <v>Z2</v>
      </c>
      <c r="N71" s="147">
        <f t="shared" ref="N71:N74" si="168">R33+W33+X33</f>
        <v>1000.9764</v>
      </c>
      <c r="O71" s="147">
        <f t="shared" ref="O71:O74" si="169">S33+Q33*U71</f>
        <v>18.282699999999998</v>
      </c>
      <c r="P71" s="147">
        <f t="shared" ref="P71:P74" si="170">+T33+P33*U71</f>
        <v>461.65550000000002</v>
      </c>
      <c r="Q71" s="143">
        <f t="shared" ref="Q71:Q74" si="171">IF(O33="Central",40,IF(O33="Medianera",30,IF(O33="Esquinera",20,"Def. Posición")))</f>
        <v>30</v>
      </c>
      <c r="R71" s="163">
        <f t="shared" ref="R71:R74" si="172">MAX(W71:X71)/MIN(W71:X71)</f>
        <v>3.1428571428571432</v>
      </c>
      <c r="S71" s="163">
        <f t="shared" ref="S71:S74" si="173">MAX(AA33,AC33)/MIN(AA33,AC33)</f>
        <v>1.1282051282051284</v>
      </c>
      <c r="T71" s="155">
        <f t="shared" ref="T71:T74" si="174">2*(W71+X71+2*V33)</f>
        <v>4.6000000000000005</v>
      </c>
      <c r="U71" s="164">
        <v>2</v>
      </c>
      <c r="V71" s="165">
        <f t="shared" ref="V71:V74" si="175">W71*X71^3/12</f>
        <v>3.9302083333333324E-3</v>
      </c>
      <c r="W71" s="144">
        <v>1.1000000000000001</v>
      </c>
      <c r="X71" s="144">
        <v>0.35</v>
      </c>
      <c r="Y71" s="349" t="str">
        <f>M71</f>
        <v>Z2</v>
      </c>
      <c r="Z71" s="150">
        <f t="shared" ref="Z71:Z74" si="176">N71/(AA33*AC33)*(1+6*AD33/AC33+6*AE33/AA33)</f>
        <v>101.17404343325671</v>
      </c>
      <c r="AA71" s="150">
        <f t="shared" ref="AA71:AA74" si="177">N71/(AA33*AC33)*(1+6*AD33/AC33-6*AE33/AA33)</f>
        <v>98.26833777527834</v>
      </c>
      <c r="AB71" s="151">
        <f t="shared" ref="AB71:AB74" si="178">N71/(AA33*AC33)*(1-6*AD33/AC33+6*AE33/AA33)</f>
        <v>18.395578308637745</v>
      </c>
      <c r="AC71" s="150">
        <f t="shared" ref="AC71:AC74" si="179">N71/(AA33*AC33)*(1-6*AD33/AC33-6*AE33/AA33)</f>
        <v>15.489872650659359</v>
      </c>
      <c r="AD71" s="152">
        <f t="shared" ref="AD71:AD74" si="180">MAX(Z71:AC71)/$T$6</f>
        <v>0.71697181289644973</v>
      </c>
      <c r="AE71" s="361" t="str">
        <f t="shared" ref="AE71:AE74" si="181">IF(AND(AD33&lt;AC33/6,AE33&lt;AA33/6),"Zapata a compresión","Hay tensiones en la zapata")</f>
        <v>Zapata a compresión</v>
      </c>
      <c r="AF71" s="361"/>
      <c r="AG71" s="148">
        <f t="shared" ref="AG71:AG74" si="182">N71*AI33</f>
        <v>3728.6370900000002</v>
      </c>
      <c r="AH71" s="150">
        <f t="shared" ref="AH71:AH74" si="183">AG71/P71</f>
        <v>8.0766655872181747</v>
      </c>
      <c r="AI71" s="148">
        <f t="shared" ref="AI71:AI74" si="184">N71*AJ33</f>
        <v>2202.1480800000004</v>
      </c>
      <c r="AJ71" s="150">
        <f t="shared" ref="AJ71:AJ74" si="185">AI71/O71</f>
        <v>120.44982852642119</v>
      </c>
      <c r="AK71" s="204"/>
      <c r="AL71" s="204"/>
      <c r="AM71" s="204"/>
      <c r="AN71" s="349" t="str">
        <f>Y71</f>
        <v>Z2</v>
      </c>
      <c r="AO71" s="155">
        <f>W71*X71</f>
        <v>0.38500000000000001</v>
      </c>
      <c r="AP71" s="155">
        <f>(4*U33+W71)*(4*U33+X71)</f>
        <v>7.2850000000000001</v>
      </c>
      <c r="AQ71" s="150">
        <f t="shared" ref="AQ71:AQ74" si="186">MIN(SQRT(AP71/AO71),2)</f>
        <v>2</v>
      </c>
      <c r="AR71" s="150">
        <f t="shared" ref="AR71:AR74" si="187">0.65*0.85*$O$6*AO71*AQ71*10^3</f>
        <v>11911.9</v>
      </c>
      <c r="AS71" s="53" t="str">
        <f>IF(AR71&gt;=N71,"OK","N/C")</f>
        <v>OK</v>
      </c>
      <c r="AT71" s="155" t="str">
        <f>IF(O33&lt;&gt;"Central","SÍ","NO")</f>
        <v>SÍ</v>
      </c>
      <c r="AU71" s="144">
        <v>10.125</v>
      </c>
      <c r="AV71" s="143" t="s">
        <v>730</v>
      </c>
      <c r="AW71" s="163">
        <f t="shared" ref="AW71:AW74" si="188">MAX(AU71/(IF(AV71="DES",20,IF(AV71="DMO",30,40))),0.3)</f>
        <v>0.50624999999999998</v>
      </c>
      <c r="AX71" s="144">
        <v>0.55000000000000004</v>
      </c>
      <c r="AY71" s="144">
        <v>0.3</v>
      </c>
      <c r="AZ71" s="349" t="str">
        <f>AN71</f>
        <v>Z2</v>
      </c>
      <c r="BA71" s="153">
        <f>SUM(N71/(2*AC33)*(AC33/2-X71/2)^2,O71)</f>
        <v>422.60337567307687</v>
      </c>
      <c r="BB71" s="153">
        <f>BA71/(0.9*AC33*V33^2)</f>
        <v>666.57340971117924</v>
      </c>
      <c r="BC71" s="150">
        <f t="shared" ref="BC71:BC74" si="189">MAX(0.85*$O$6/$O$7*(1-SQRT(1-2*BB71/(0.85*$O$6*10^3))),0.0018)</f>
        <v>1.8E-3</v>
      </c>
      <c r="BD71" s="148">
        <f>+BC71*AC33*V33*100^2</f>
        <v>29.834999999999997</v>
      </c>
      <c r="BE71" s="144">
        <v>5</v>
      </c>
      <c r="BF71" s="144">
        <v>23</v>
      </c>
      <c r="BG71" s="155">
        <f t="shared" ref="BG71:BG74" si="190">VLOOKUP(BE71,$N$91:$T$102,7,)*BF71</f>
        <v>45.77</v>
      </c>
      <c r="BH71" s="53" t="str">
        <f t="shared" ref="BH71:BH74" si="191">IF(BG71&gt;=BD71,"OK","N/C")</f>
        <v>OK</v>
      </c>
      <c r="BI71" s="148">
        <f>ROUND((AC33-2*0.075)/BF71,2)</f>
        <v>0.16</v>
      </c>
      <c r="BJ71" s="155" t="str">
        <f t="shared" ref="BJ71:BJ74" si="192">BF71&amp;"#"&amp;BE71&amp;"@"&amp;ROUNDDOWN(BI71*100/5,0)*5</f>
        <v>23#5@15</v>
      </c>
      <c r="BK71" s="197">
        <f t="shared" ref="BK71:BK74" si="193">BD71/BG71</f>
        <v>0.65184618745903422</v>
      </c>
      <c r="BL71" s="349" t="str">
        <f>AZ71</f>
        <v>Z2</v>
      </c>
      <c r="BM71" s="153">
        <f>(1+0.5*AA33/AC33)/1.5</f>
        <v>1.0427350427350428</v>
      </c>
      <c r="BN71" s="157">
        <v>0.85</v>
      </c>
      <c r="BO71" s="153">
        <f t="shared" ref="BO71:BO74" si="194">BM71*BN71/0.67</f>
        <v>1.3228728154101288</v>
      </c>
      <c r="BP71" s="153">
        <f t="shared" ref="BP71:BP74" si="195">BO71*9.81*(100)^3/(10^3)</f>
        <v>12977.382319173365</v>
      </c>
      <c r="BQ71" s="155" t="s">
        <v>699</v>
      </c>
      <c r="BR71" s="155">
        <f t="shared" ref="BR71:BR74" si="196">IF(BQ71="Empotrado",0.75,1)</f>
        <v>0.75</v>
      </c>
      <c r="BS71" s="153">
        <f>IF(AT71="SÍ",(N71*(AA33-W71)/2-P71)/(BM33+U33+BP71*BR71^2*BM33^2*AA33^3*AC33/(36*10^3*$O$8*V71)),0)</f>
        <v>431.26647799485625</v>
      </c>
      <c r="BT71" s="153">
        <f t="shared" ref="BT71:BT74" si="197">BP33</f>
        <v>25.049127520895638</v>
      </c>
      <c r="BU71" s="144">
        <v>10</v>
      </c>
      <c r="BV71" s="155" t="s">
        <v>191</v>
      </c>
      <c r="BW71" s="144">
        <v>6</v>
      </c>
      <c r="BX71" s="121"/>
      <c r="CI71" s="122"/>
      <c r="CJ71" s="349"/>
      <c r="CK71" s="153">
        <f t="shared" ref="CK71:CK74" si="198">CQ33*VLOOKUP(CS33,$N$91:$T$102,7,)</f>
        <v>28.4</v>
      </c>
      <c r="CL71" s="153">
        <f t="shared" ref="CL71:CL74" si="199">0.9*$O$7*CK71*10^3/(100^2)</f>
        <v>1073.5199999999998</v>
      </c>
      <c r="CM71" s="53" t="str">
        <f t="shared" ref="CM71:CM74" si="200">IF(AND(CL71&gt;=CL33,CK71&gt;=CP33),"OK","N/C")</f>
        <v>OK</v>
      </c>
      <c r="CU71" s="117"/>
    </row>
    <row r="72" spans="1:99" ht="15" customHeight="1" x14ac:dyDescent="0.25">
      <c r="A72" s="123"/>
      <c r="B72" s="124"/>
      <c r="C72" s="188"/>
      <c r="D72" s="124"/>
      <c r="E72" s="124"/>
      <c r="F72" s="124"/>
      <c r="G72" s="124"/>
      <c r="H72" s="125"/>
      <c r="I72" s="124"/>
      <c r="J72" s="124"/>
      <c r="K72" s="124"/>
      <c r="L72" s="126"/>
      <c r="M72" s="350"/>
      <c r="N72" s="147">
        <f t="shared" si="168"/>
        <v>947.61609999999996</v>
      </c>
      <c r="O72" s="147">
        <f t="shared" si="169"/>
        <v>-15.493400000000001</v>
      </c>
      <c r="P72" s="147">
        <f t="shared" si="170"/>
        <v>-651.89480000000003</v>
      </c>
      <c r="Q72" s="143">
        <f t="shared" si="171"/>
        <v>30</v>
      </c>
      <c r="R72" s="163">
        <f t="shared" si="172"/>
        <v>3.1428571428571432</v>
      </c>
      <c r="S72" s="163">
        <f t="shared" si="173"/>
        <v>1.1282051282051284</v>
      </c>
      <c r="T72" s="155">
        <f t="shared" si="174"/>
        <v>4.6000000000000005</v>
      </c>
      <c r="U72" s="164">
        <v>2</v>
      </c>
      <c r="V72" s="165">
        <f t="shared" si="175"/>
        <v>3.9302083333333324E-3</v>
      </c>
      <c r="W72" s="144">
        <v>1.1000000000000001</v>
      </c>
      <c r="X72" s="144">
        <v>0.35</v>
      </c>
      <c r="Y72" s="350"/>
      <c r="Z72" s="150">
        <f t="shared" si="176"/>
        <v>-4.4537494498508527</v>
      </c>
      <c r="AA72" s="150">
        <f t="shared" si="177"/>
        <v>-1.9913527556359762</v>
      </c>
      <c r="AB72" s="151">
        <f t="shared" si="178"/>
        <v>112.43611965540288</v>
      </c>
      <c r="AC72" s="150">
        <f t="shared" si="179"/>
        <v>114.89851634961774</v>
      </c>
      <c r="AD72" s="152">
        <f t="shared" si="180"/>
        <v>0.81423055529694455</v>
      </c>
      <c r="AE72" s="361" t="str">
        <f t="shared" si="181"/>
        <v>Zapata a compresión</v>
      </c>
      <c r="AF72" s="361"/>
      <c r="AG72" s="148">
        <f t="shared" si="182"/>
        <v>3529.8699725000001</v>
      </c>
      <c r="AH72" s="150">
        <f t="shared" si="183"/>
        <v>-5.4147846746131432</v>
      </c>
      <c r="AI72" s="148">
        <f t="shared" si="184"/>
        <v>2084.75542</v>
      </c>
      <c r="AJ72" s="150">
        <f t="shared" si="185"/>
        <v>-134.55764519085545</v>
      </c>
      <c r="AK72" s="205"/>
      <c r="AL72" s="205"/>
      <c r="AM72" s="205"/>
      <c r="AN72" s="350"/>
      <c r="AO72" s="155">
        <f>W72*X72</f>
        <v>0.38500000000000001</v>
      </c>
      <c r="AP72" s="155">
        <f>(4*U34+W72)*(4*U34+X72)</f>
        <v>7.2850000000000001</v>
      </c>
      <c r="AQ72" s="150">
        <f t="shared" si="186"/>
        <v>2</v>
      </c>
      <c r="AR72" s="150">
        <f t="shared" si="187"/>
        <v>11911.9</v>
      </c>
      <c r="AS72" s="53" t="str">
        <f>IF(AR72&gt;=N72,"OK","N/C")</f>
        <v>OK</v>
      </c>
      <c r="AT72" s="155" t="str">
        <f>IF(O34&lt;&gt;"Central","SÍ","NO")</f>
        <v>SÍ</v>
      </c>
      <c r="AU72" s="144">
        <v>10.125</v>
      </c>
      <c r="AV72" s="143" t="s">
        <v>730</v>
      </c>
      <c r="AW72" s="163">
        <f t="shared" si="188"/>
        <v>0.50624999999999998</v>
      </c>
      <c r="AX72" s="144">
        <v>0.55000000000000004</v>
      </c>
      <c r="AY72" s="144">
        <v>0.3</v>
      </c>
      <c r="AZ72" s="350"/>
      <c r="BA72" s="153">
        <f>SUM(N72/(2*AC34)*(AC34/2-X72/2)^2,O72)</f>
        <v>367.27364808493587</v>
      </c>
      <c r="BB72" s="153">
        <f>BA72/(0.9*AC34*V34^2)</f>
        <v>579.30168567897704</v>
      </c>
      <c r="BC72" s="150">
        <f t="shared" si="189"/>
        <v>1.8E-3</v>
      </c>
      <c r="BD72" s="148">
        <f>+BC72*AC34*V34*100^2</f>
        <v>29.834999999999997</v>
      </c>
      <c r="BE72" s="144">
        <v>5</v>
      </c>
      <c r="BF72" s="144">
        <v>23</v>
      </c>
      <c r="BG72" s="155">
        <f t="shared" si="190"/>
        <v>45.77</v>
      </c>
      <c r="BH72" s="53" t="str">
        <f t="shared" si="191"/>
        <v>OK</v>
      </c>
      <c r="BI72" s="148">
        <f>ROUND((AC34-2*0.075)/BF72,2)</f>
        <v>0.16</v>
      </c>
      <c r="BJ72" s="155" t="str">
        <f t="shared" si="192"/>
        <v>23#5@15</v>
      </c>
      <c r="BK72" s="197">
        <f t="shared" si="193"/>
        <v>0.65184618745903422</v>
      </c>
      <c r="BL72" s="350"/>
      <c r="BM72" s="153">
        <f>(1+0.5*AA34/AC34)/1.5</f>
        <v>1.0427350427350428</v>
      </c>
      <c r="BN72" s="157">
        <v>0.85</v>
      </c>
      <c r="BO72" s="153">
        <f t="shared" si="194"/>
        <v>1.3228728154101288</v>
      </c>
      <c r="BP72" s="153">
        <f t="shared" si="195"/>
        <v>12977.382319173365</v>
      </c>
      <c r="BQ72" s="155" t="s">
        <v>699</v>
      </c>
      <c r="BR72" s="155">
        <f t="shared" si="196"/>
        <v>0.75</v>
      </c>
      <c r="BS72" s="153">
        <f>IF(AT72="SÍ",(N72*(AA34-W72)/2-P72)/(BM34+U34+BP72*BR72^2*BM34^2*AA34^3*AC34/(36*10^3*$O$8*V72)),0)</f>
        <v>802.93269104707292</v>
      </c>
      <c r="BT72" s="153">
        <f t="shared" si="197"/>
        <v>24.216853998926464</v>
      </c>
      <c r="BU72" s="144">
        <v>10</v>
      </c>
      <c r="BV72" s="155" t="s">
        <v>191</v>
      </c>
      <c r="BW72" s="144">
        <v>6</v>
      </c>
      <c r="BX72" s="121"/>
      <c r="CI72" s="122"/>
      <c r="CJ72" s="350"/>
      <c r="CK72" s="153">
        <f t="shared" si="198"/>
        <v>28.4</v>
      </c>
      <c r="CL72" s="153">
        <f t="shared" si="199"/>
        <v>1073.5199999999998</v>
      </c>
      <c r="CM72" s="53" t="str">
        <f t="shared" si="200"/>
        <v>OK</v>
      </c>
      <c r="CU72" s="117"/>
    </row>
    <row r="73" spans="1:99" ht="15" customHeight="1" x14ac:dyDescent="0.25">
      <c r="A73" s="123"/>
      <c r="B73" s="124"/>
      <c r="C73" s="188"/>
      <c r="D73" s="124"/>
      <c r="E73" s="124"/>
      <c r="F73" s="124"/>
      <c r="G73" s="124"/>
      <c r="H73" s="125"/>
      <c r="I73" s="124"/>
      <c r="J73" s="124"/>
      <c r="K73" s="124"/>
      <c r="L73" s="126"/>
      <c r="M73" s="349" t="str">
        <f>M35</f>
        <v>Z1</v>
      </c>
      <c r="N73" s="147">
        <f t="shared" si="168"/>
        <v>1031.7318</v>
      </c>
      <c r="O73" s="147">
        <f t="shared" si="169"/>
        <v>17.8019</v>
      </c>
      <c r="P73" s="147">
        <f t="shared" si="170"/>
        <v>581.97720000000004</v>
      </c>
      <c r="Q73" s="143">
        <f t="shared" si="171"/>
        <v>20</v>
      </c>
      <c r="R73" s="163">
        <f t="shared" si="172"/>
        <v>3.1428571428571432</v>
      </c>
      <c r="S73" s="163">
        <f t="shared" si="173"/>
        <v>1</v>
      </c>
      <c r="T73" s="155">
        <f t="shared" si="174"/>
        <v>4.6000000000000005</v>
      </c>
      <c r="U73" s="164">
        <v>2</v>
      </c>
      <c r="V73" s="165">
        <f t="shared" si="175"/>
        <v>3.9302083333333324E-3</v>
      </c>
      <c r="W73" s="144">
        <v>1.1000000000000001</v>
      </c>
      <c r="X73" s="144">
        <v>0.35</v>
      </c>
      <c r="Y73" s="349" t="str">
        <f>M73</f>
        <v>Z1</v>
      </c>
      <c r="Z73" s="150">
        <f t="shared" si="176"/>
        <v>156.74102109053499</v>
      </c>
      <c r="AA73" s="150">
        <f t="shared" si="177"/>
        <v>152.16234310699588</v>
      </c>
      <c r="AB73" s="151">
        <f t="shared" si="178"/>
        <v>7.0555272633744748</v>
      </c>
      <c r="AC73" s="150">
        <f t="shared" si="179"/>
        <v>2.4768492798353812</v>
      </c>
      <c r="AD73" s="152">
        <f t="shared" si="180"/>
        <v>1.1107482733024951</v>
      </c>
      <c r="AE73" s="361" t="str">
        <f t="shared" si="181"/>
        <v>Zapata a compresión</v>
      </c>
      <c r="AF73" s="361"/>
      <c r="AG73" s="148">
        <f t="shared" si="182"/>
        <v>3533.6814150000005</v>
      </c>
      <c r="AH73" s="150">
        <f t="shared" si="183"/>
        <v>6.0718554180473054</v>
      </c>
      <c r="AI73" s="148">
        <f t="shared" si="184"/>
        <v>3146.78199</v>
      </c>
      <c r="AJ73" s="150">
        <f t="shared" si="185"/>
        <v>176.76663670731776</v>
      </c>
      <c r="AK73" s="204"/>
      <c r="AL73" s="204"/>
      <c r="AM73" s="204"/>
      <c r="AN73" s="349" t="str">
        <f>Y73</f>
        <v>Z1</v>
      </c>
      <c r="AO73" s="155">
        <f>W73*X73</f>
        <v>0.38500000000000001</v>
      </c>
      <c r="AP73" s="155">
        <f>(4*U35+W73)*(4*U35+X73)</f>
        <v>7.2850000000000001</v>
      </c>
      <c r="AQ73" s="150">
        <f t="shared" si="186"/>
        <v>2</v>
      </c>
      <c r="AR73" s="150">
        <f t="shared" si="187"/>
        <v>11911.9</v>
      </c>
      <c r="AS73" s="53" t="str">
        <f>IF(AR73&gt;=N73,"OK","N/C")</f>
        <v>OK</v>
      </c>
      <c r="AT73" s="155" t="str">
        <f>IF(O35&lt;&gt;"Central","SÍ","NO")</f>
        <v>SÍ</v>
      </c>
      <c r="AU73" s="144">
        <v>10.125</v>
      </c>
      <c r="AV73" s="143" t="s">
        <v>730</v>
      </c>
      <c r="AW73" s="163">
        <f t="shared" si="188"/>
        <v>0.50624999999999998</v>
      </c>
      <c r="AX73" s="144">
        <v>0.55000000000000004</v>
      </c>
      <c r="AY73" s="144">
        <v>0.3</v>
      </c>
      <c r="AZ73" s="349" t="str">
        <f>AN73</f>
        <v>Z1</v>
      </c>
      <c r="BA73" s="153">
        <f>SUM(N73/(2*AC35)*(AC35/2-X73/2)^2,O73)</f>
        <v>396.19312005208337</v>
      </c>
      <c r="BB73" s="153">
        <f>BA73/(0.9*AC35*V35^2)</f>
        <v>676.99281481837477</v>
      </c>
      <c r="BC73" s="150">
        <f t="shared" si="189"/>
        <v>1.8E-3</v>
      </c>
      <c r="BD73" s="148">
        <f>+BC73*AC35*V35*100^2</f>
        <v>27.54</v>
      </c>
      <c r="BE73" s="144">
        <v>5</v>
      </c>
      <c r="BF73" s="144">
        <v>23</v>
      </c>
      <c r="BG73" s="155">
        <f t="shared" si="190"/>
        <v>45.77</v>
      </c>
      <c r="BH73" s="53" t="str">
        <f t="shared" si="191"/>
        <v>OK</v>
      </c>
      <c r="BI73" s="148">
        <f>ROUND((AC35-2*0.075)/BF73,2)</f>
        <v>0.15</v>
      </c>
      <c r="BJ73" s="155" t="str">
        <f t="shared" si="192"/>
        <v>23#5@15</v>
      </c>
      <c r="BK73" s="197">
        <f t="shared" si="193"/>
        <v>0.6017041730391085</v>
      </c>
      <c r="BL73" s="349" t="str">
        <f>AZ73</f>
        <v>Z1</v>
      </c>
      <c r="BM73" s="153">
        <f>(1+0.5*AA35/AC35)/1.5</f>
        <v>1</v>
      </c>
      <c r="BN73" s="157">
        <v>0.85</v>
      </c>
      <c r="BO73" s="153">
        <f t="shared" si="194"/>
        <v>1.2686567164179103</v>
      </c>
      <c r="BP73" s="153">
        <f t="shared" si="195"/>
        <v>12445.5223880597</v>
      </c>
      <c r="BQ73" s="155" t="s">
        <v>699</v>
      </c>
      <c r="BR73" s="155">
        <f t="shared" si="196"/>
        <v>0.75</v>
      </c>
      <c r="BS73" s="153">
        <f>IF(AT73="SÍ",(N73*(AA35-W73)/2-P73)/(BM35+U35+BP73*BR73^2*BM35^2*AA35^3*AC35/(36*10^3*$O$8*V73)),0)</f>
        <v>317.85546105382184</v>
      </c>
      <c r="BT73" s="153">
        <f t="shared" si="197"/>
        <v>19.505603097921938</v>
      </c>
      <c r="BU73" s="144">
        <v>10</v>
      </c>
      <c r="BV73" s="155" t="s">
        <v>191</v>
      </c>
      <c r="BW73" s="144">
        <v>6</v>
      </c>
      <c r="BX73" s="121"/>
      <c r="CI73" s="122"/>
      <c r="CJ73" s="349"/>
      <c r="CK73" s="153">
        <f t="shared" si="198"/>
        <v>28.4</v>
      </c>
      <c r="CL73" s="153">
        <f t="shared" si="199"/>
        <v>1073.5199999999998</v>
      </c>
      <c r="CM73" s="53" t="str">
        <f t="shared" si="200"/>
        <v>OK</v>
      </c>
      <c r="CU73" s="117"/>
    </row>
    <row r="74" spans="1:99" ht="15" customHeight="1" x14ac:dyDescent="0.25">
      <c r="A74" s="123"/>
      <c r="B74" s="124"/>
      <c r="C74" s="188"/>
      <c r="D74" s="124"/>
      <c r="E74" s="124"/>
      <c r="F74" s="124"/>
      <c r="G74" s="124"/>
      <c r="H74" s="125"/>
      <c r="I74" s="124"/>
      <c r="J74" s="124"/>
      <c r="K74" s="124"/>
      <c r="L74" s="126"/>
      <c r="M74" s="350"/>
      <c r="N74" s="147">
        <f t="shared" si="168"/>
        <v>1021.556</v>
      </c>
      <c r="O74" s="147">
        <f t="shared" si="169"/>
        <v>-14.371100000000002</v>
      </c>
      <c r="P74" s="147">
        <f t="shared" si="170"/>
        <v>-585.43669999999997</v>
      </c>
      <c r="Q74" s="143">
        <f t="shared" si="171"/>
        <v>20</v>
      </c>
      <c r="R74" s="163">
        <f t="shared" si="172"/>
        <v>3.1428571428571432</v>
      </c>
      <c r="S74" s="163">
        <f t="shared" si="173"/>
        <v>1</v>
      </c>
      <c r="T74" s="155">
        <f t="shared" si="174"/>
        <v>4.6000000000000005</v>
      </c>
      <c r="U74" s="164">
        <v>2</v>
      </c>
      <c r="V74" s="165">
        <f t="shared" si="175"/>
        <v>3.9302083333333324E-3</v>
      </c>
      <c r="W74" s="144">
        <v>1.1000000000000001</v>
      </c>
      <c r="X74" s="144">
        <v>0.35</v>
      </c>
      <c r="Y74" s="350"/>
      <c r="Z74" s="150">
        <f t="shared" si="176"/>
        <v>1.6879886831275821</v>
      </c>
      <c r="AA74" s="150">
        <f t="shared" si="177"/>
        <v>5.3842592592592702</v>
      </c>
      <c r="AB74" s="151">
        <f t="shared" si="178"/>
        <v>152.26327160493827</v>
      </c>
      <c r="AC74" s="150">
        <f t="shared" si="179"/>
        <v>155.95954218106996</v>
      </c>
      <c r="AD74" s="152">
        <f t="shared" si="180"/>
        <v>1.1052103079168465</v>
      </c>
      <c r="AE74" s="361" t="str">
        <f t="shared" si="181"/>
        <v>Zapata a compresión</v>
      </c>
      <c r="AF74" s="361"/>
      <c r="AG74" s="148">
        <f t="shared" si="182"/>
        <v>3498.8293000000003</v>
      </c>
      <c r="AH74" s="150">
        <f t="shared" si="183"/>
        <v>-5.9764433968693806</v>
      </c>
      <c r="AI74" s="148">
        <f t="shared" si="184"/>
        <v>3115.7458000000001</v>
      </c>
      <c r="AJ74" s="150">
        <f t="shared" si="185"/>
        <v>-216.80635441963383</v>
      </c>
      <c r="AK74" s="205"/>
      <c r="AL74" s="205"/>
      <c r="AM74" s="205"/>
      <c r="AN74" s="350"/>
      <c r="AO74" s="155">
        <f>W74*X74</f>
        <v>0.38500000000000001</v>
      </c>
      <c r="AP74" s="155">
        <f>(4*U36+W74)*(4*U36+X74)</f>
        <v>7.2850000000000001</v>
      </c>
      <c r="AQ74" s="150">
        <f t="shared" si="186"/>
        <v>2</v>
      </c>
      <c r="AR74" s="150">
        <f t="shared" si="187"/>
        <v>11911.9</v>
      </c>
      <c r="AS74" s="53" t="str">
        <f>IF(AR74&gt;=N74,"OK","N/C")</f>
        <v>OK</v>
      </c>
      <c r="AT74" s="155" t="str">
        <f>IF(O36&lt;&gt;"Central","SÍ","NO")</f>
        <v>SÍ</v>
      </c>
      <c r="AU74" s="144">
        <v>10.125</v>
      </c>
      <c r="AV74" s="143" t="s">
        <v>730</v>
      </c>
      <c r="AW74" s="163">
        <f t="shared" si="188"/>
        <v>0.50624999999999998</v>
      </c>
      <c r="AX74" s="144">
        <v>0.55000000000000004</v>
      </c>
      <c r="AY74" s="144">
        <v>0.3</v>
      </c>
      <c r="AZ74" s="350"/>
      <c r="BA74" s="153">
        <f>SUM(N74/(2*AC36)*(AC36/2-X74/2)^2,O74)</f>
        <v>360.28811006944449</v>
      </c>
      <c r="BB74" s="153">
        <f>BA74/(0.9*AC36*V36^2)</f>
        <v>615.64032648886234</v>
      </c>
      <c r="BC74" s="150">
        <f t="shared" si="189"/>
        <v>1.8E-3</v>
      </c>
      <c r="BD74" s="148">
        <f>+BC74*AC36*V36*100^2</f>
        <v>27.54</v>
      </c>
      <c r="BE74" s="144">
        <v>5</v>
      </c>
      <c r="BF74" s="144">
        <v>23</v>
      </c>
      <c r="BG74" s="155">
        <f t="shared" si="190"/>
        <v>45.77</v>
      </c>
      <c r="BH74" s="53" t="str">
        <f t="shared" si="191"/>
        <v>OK</v>
      </c>
      <c r="BI74" s="148">
        <f>ROUND((AC36-2*0.075)/BF74,2)</f>
        <v>0.15</v>
      </c>
      <c r="BJ74" s="155" t="str">
        <f t="shared" si="192"/>
        <v>23#5@15</v>
      </c>
      <c r="BK74" s="197">
        <f t="shared" si="193"/>
        <v>0.6017041730391085</v>
      </c>
      <c r="BL74" s="350"/>
      <c r="BM74" s="153">
        <f>(1+0.5*AA36/AC36)/1.5</f>
        <v>1</v>
      </c>
      <c r="BN74" s="157">
        <v>0.85</v>
      </c>
      <c r="BO74" s="153">
        <f t="shared" si="194"/>
        <v>1.2686567164179103</v>
      </c>
      <c r="BP74" s="153">
        <f t="shared" si="195"/>
        <v>12445.5223880597</v>
      </c>
      <c r="BQ74" s="155" t="s">
        <v>699</v>
      </c>
      <c r="BR74" s="155">
        <f t="shared" si="196"/>
        <v>0.75</v>
      </c>
      <c r="BS74" s="153">
        <f>IF(AT74="SÍ",(N74*(AA36-W74)/2-P74)/(BM36+U36+BP74*BR74^2*BM36^2*AA36^3*AC36/(36*10^3*$O$8*V74)),0)</f>
        <v>836.48241927062395</v>
      </c>
      <c r="BT74" s="153">
        <f t="shared" si="197"/>
        <v>19.803942949160341</v>
      </c>
      <c r="BU74" s="144">
        <v>10</v>
      </c>
      <c r="BV74" s="155" t="s">
        <v>191</v>
      </c>
      <c r="BW74" s="144">
        <v>6</v>
      </c>
      <c r="BX74" s="121"/>
      <c r="CI74" s="122"/>
      <c r="CJ74" s="350"/>
      <c r="CK74" s="153">
        <f t="shared" si="198"/>
        <v>28.4</v>
      </c>
      <c r="CL74" s="153">
        <f t="shared" si="199"/>
        <v>1073.5199999999998</v>
      </c>
      <c r="CM74" s="53" t="str">
        <f t="shared" si="200"/>
        <v>OK</v>
      </c>
      <c r="CU74" s="117"/>
    </row>
    <row r="75" spans="1:99" ht="15" customHeight="1" x14ac:dyDescent="0.25">
      <c r="A75" s="123"/>
      <c r="B75" s="124"/>
      <c r="C75" s="188"/>
      <c r="D75" s="124"/>
      <c r="E75" s="124"/>
      <c r="F75" s="124"/>
      <c r="G75" s="124"/>
      <c r="H75" s="125"/>
      <c r="I75" s="124"/>
      <c r="J75" s="124"/>
      <c r="K75" s="124"/>
      <c r="L75" s="126"/>
      <c r="M75" s="349">
        <f>M37</f>
        <v>0</v>
      </c>
      <c r="N75" s="147"/>
      <c r="O75" s="147"/>
      <c r="P75" s="147"/>
      <c r="Q75" s="143"/>
      <c r="R75" s="163"/>
      <c r="S75" s="163"/>
      <c r="T75" s="155"/>
      <c r="U75" s="164"/>
      <c r="V75" s="165"/>
      <c r="W75" s="144"/>
      <c r="X75" s="144"/>
      <c r="Y75" s="349"/>
      <c r="Z75" s="150"/>
      <c r="AA75" s="150"/>
      <c r="AB75" s="151"/>
      <c r="AC75" s="150"/>
      <c r="AD75" s="152"/>
      <c r="AE75" s="361"/>
      <c r="AF75" s="361"/>
      <c r="AG75" s="148"/>
      <c r="AH75" s="150"/>
      <c r="AI75" s="148"/>
      <c r="AJ75" s="150"/>
      <c r="AK75" s="204"/>
      <c r="AL75" s="204"/>
      <c r="AM75" s="204"/>
      <c r="AN75" s="349"/>
      <c r="AO75" s="155"/>
      <c r="AP75" s="155"/>
      <c r="AQ75" s="150"/>
      <c r="AR75" s="150"/>
      <c r="AS75" s="53"/>
      <c r="AT75" s="155"/>
      <c r="AU75" s="144"/>
      <c r="AV75" s="143"/>
      <c r="AW75" s="163"/>
      <c r="AX75" s="144"/>
      <c r="AY75" s="144"/>
      <c r="AZ75" s="349"/>
      <c r="BA75" s="153"/>
      <c r="BB75" s="153"/>
      <c r="BC75" s="150"/>
      <c r="BD75" s="148"/>
      <c r="BE75" s="144"/>
      <c r="BF75" s="144"/>
      <c r="BG75" s="155"/>
      <c r="BH75" s="53"/>
      <c r="BI75" s="148"/>
      <c r="BJ75" s="155"/>
      <c r="BK75" s="197"/>
      <c r="BL75" s="349"/>
      <c r="BM75" s="153"/>
      <c r="BN75" s="157"/>
      <c r="BO75" s="153"/>
      <c r="BP75" s="153"/>
      <c r="BQ75" s="155"/>
      <c r="BR75" s="155"/>
      <c r="BS75" s="153"/>
      <c r="BT75" s="153"/>
      <c r="BU75" s="144"/>
      <c r="BV75" s="155"/>
      <c r="BW75" s="144"/>
      <c r="BX75" s="121"/>
      <c r="CI75" s="122"/>
      <c r="CJ75" s="349"/>
      <c r="CK75" s="153"/>
      <c r="CL75" s="153"/>
      <c r="CM75" s="53"/>
      <c r="CU75" s="117"/>
    </row>
    <row r="76" spans="1:99" ht="15" customHeight="1" x14ac:dyDescent="0.25">
      <c r="A76" s="123"/>
      <c r="B76" s="124"/>
      <c r="C76" s="188"/>
      <c r="D76" s="124"/>
      <c r="E76" s="124"/>
      <c r="F76" s="124"/>
      <c r="G76" s="124"/>
      <c r="H76" s="125"/>
      <c r="I76" s="124"/>
      <c r="J76" s="124"/>
      <c r="K76" s="124"/>
      <c r="L76" s="126"/>
      <c r="M76" s="350"/>
      <c r="N76" s="147"/>
      <c r="O76" s="147"/>
      <c r="P76" s="147"/>
      <c r="Q76" s="143"/>
      <c r="R76" s="163"/>
      <c r="S76" s="163"/>
      <c r="T76" s="155"/>
      <c r="U76" s="164"/>
      <c r="V76" s="165"/>
      <c r="W76" s="144"/>
      <c r="X76" s="144"/>
      <c r="Y76" s="350"/>
      <c r="Z76" s="150"/>
      <c r="AA76" s="150"/>
      <c r="AB76" s="151"/>
      <c r="AC76" s="150"/>
      <c r="AD76" s="152"/>
      <c r="AE76" s="361"/>
      <c r="AF76" s="361"/>
      <c r="AG76" s="148"/>
      <c r="AH76" s="150"/>
      <c r="AI76" s="148"/>
      <c r="AJ76" s="150"/>
      <c r="AK76" s="205"/>
      <c r="AL76" s="205"/>
      <c r="AM76" s="205"/>
      <c r="AN76" s="350"/>
      <c r="AO76" s="155"/>
      <c r="AP76" s="155"/>
      <c r="AQ76" s="150"/>
      <c r="AR76" s="150"/>
      <c r="AS76" s="53"/>
      <c r="AT76" s="155"/>
      <c r="AU76" s="144"/>
      <c r="AV76" s="143"/>
      <c r="AW76" s="163"/>
      <c r="AX76" s="144"/>
      <c r="AY76" s="144"/>
      <c r="AZ76" s="350"/>
      <c r="BA76" s="153"/>
      <c r="BB76" s="153"/>
      <c r="BC76" s="150"/>
      <c r="BD76" s="148"/>
      <c r="BE76" s="144"/>
      <c r="BF76" s="144"/>
      <c r="BG76" s="155"/>
      <c r="BH76" s="53"/>
      <c r="BI76" s="148"/>
      <c r="BJ76" s="155"/>
      <c r="BK76" s="197"/>
      <c r="BL76" s="350"/>
      <c r="BM76" s="153"/>
      <c r="BN76" s="157"/>
      <c r="BO76" s="153"/>
      <c r="BP76" s="153"/>
      <c r="BQ76" s="155"/>
      <c r="BR76" s="155"/>
      <c r="BS76" s="153"/>
      <c r="BT76" s="153"/>
      <c r="BU76" s="144"/>
      <c r="BV76" s="155"/>
      <c r="BW76" s="144"/>
      <c r="BX76" s="121"/>
      <c r="CI76" s="122"/>
      <c r="CJ76" s="350"/>
      <c r="CK76" s="153"/>
      <c r="CL76" s="153"/>
      <c r="CM76" s="53"/>
      <c r="CU76" s="117"/>
    </row>
    <row r="77" spans="1:99" x14ac:dyDescent="0.25">
      <c r="A77" s="123"/>
      <c r="B77" s="124"/>
      <c r="C77" s="188"/>
      <c r="D77" s="124"/>
      <c r="E77" s="124"/>
      <c r="F77" s="124"/>
      <c r="G77" s="124"/>
      <c r="H77" s="125"/>
      <c r="I77" s="124"/>
      <c r="J77" s="124"/>
      <c r="K77" s="124"/>
      <c r="L77" s="126"/>
      <c r="M77" s="349">
        <f>M39</f>
        <v>0</v>
      </c>
      <c r="N77" s="147"/>
      <c r="O77" s="147"/>
      <c r="P77" s="147"/>
      <c r="Q77" s="143"/>
      <c r="R77" s="163"/>
      <c r="S77" s="163"/>
      <c r="T77" s="155"/>
      <c r="U77" s="164"/>
      <c r="V77" s="165"/>
      <c r="W77" s="144"/>
      <c r="X77" s="144"/>
      <c r="Y77" s="349"/>
      <c r="Z77" s="150"/>
      <c r="AA77" s="150"/>
      <c r="AB77" s="151"/>
      <c r="AC77" s="150"/>
      <c r="AD77" s="152"/>
      <c r="AE77" s="361"/>
      <c r="AF77" s="361"/>
      <c r="AG77" s="148"/>
      <c r="AH77" s="150"/>
      <c r="AI77" s="148"/>
      <c r="AJ77" s="150"/>
      <c r="AK77" s="204"/>
      <c r="AL77" s="204"/>
      <c r="AM77" s="204"/>
      <c r="AN77" s="349"/>
      <c r="AO77" s="155"/>
      <c r="AP77" s="155"/>
      <c r="AQ77" s="150"/>
      <c r="AR77" s="150"/>
      <c r="AS77" s="53"/>
      <c r="AT77" s="155"/>
      <c r="AU77" s="144"/>
      <c r="AV77" s="143"/>
      <c r="AW77" s="163"/>
      <c r="AX77" s="144"/>
      <c r="AY77" s="144"/>
      <c r="AZ77" s="349"/>
      <c r="BA77" s="153"/>
      <c r="BB77" s="153"/>
      <c r="BC77" s="150"/>
      <c r="BD77" s="148"/>
      <c r="BE77" s="144"/>
      <c r="BF77" s="144"/>
      <c r="BG77" s="155"/>
      <c r="BH77" s="53"/>
      <c r="BI77" s="148"/>
      <c r="BJ77" s="155"/>
      <c r="BK77" s="197"/>
      <c r="BL77" s="349"/>
      <c r="BM77" s="153"/>
      <c r="BN77" s="157"/>
      <c r="BO77" s="153"/>
      <c r="BP77" s="153"/>
      <c r="BQ77" s="155"/>
      <c r="BR77" s="155"/>
      <c r="BS77" s="153"/>
      <c r="BT77" s="153"/>
      <c r="BU77" s="144"/>
      <c r="BV77" s="155"/>
      <c r="BW77" s="144"/>
      <c r="BX77" s="121"/>
      <c r="CI77" s="122"/>
      <c r="CJ77" s="349"/>
      <c r="CK77" s="153"/>
      <c r="CL77" s="153"/>
      <c r="CM77" s="53"/>
      <c r="CU77" s="117"/>
    </row>
    <row r="78" spans="1:99" x14ac:dyDescent="0.25">
      <c r="A78" s="123"/>
      <c r="B78" s="124"/>
      <c r="C78" s="188"/>
      <c r="D78" s="124"/>
      <c r="E78" s="124"/>
      <c r="F78" s="124"/>
      <c r="G78" s="124"/>
      <c r="H78" s="125"/>
      <c r="I78" s="124"/>
      <c r="J78" s="124"/>
      <c r="K78" s="124"/>
      <c r="L78" s="126"/>
      <c r="M78" s="350"/>
      <c r="N78" s="147"/>
      <c r="O78" s="147"/>
      <c r="P78" s="147"/>
      <c r="Q78" s="143"/>
      <c r="R78" s="163"/>
      <c r="S78" s="163"/>
      <c r="T78" s="155"/>
      <c r="U78" s="164"/>
      <c r="V78" s="165"/>
      <c r="W78" s="144"/>
      <c r="X78" s="144"/>
      <c r="Y78" s="350"/>
      <c r="Z78" s="150"/>
      <c r="AA78" s="150"/>
      <c r="AB78" s="151"/>
      <c r="AC78" s="150"/>
      <c r="AD78" s="152"/>
      <c r="AE78" s="361"/>
      <c r="AF78" s="361"/>
      <c r="AG78" s="148"/>
      <c r="AH78" s="150"/>
      <c r="AI78" s="148"/>
      <c r="AJ78" s="150"/>
      <c r="AK78" s="205"/>
      <c r="AL78" s="205"/>
      <c r="AM78" s="205"/>
      <c r="AN78" s="350"/>
      <c r="AO78" s="155"/>
      <c r="AP78" s="155"/>
      <c r="AQ78" s="150"/>
      <c r="AR78" s="150"/>
      <c r="AS78" s="53"/>
      <c r="AT78" s="155"/>
      <c r="AU78" s="144"/>
      <c r="AV78" s="143"/>
      <c r="AW78" s="163"/>
      <c r="AX78" s="144"/>
      <c r="AY78" s="144"/>
      <c r="AZ78" s="350"/>
      <c r="BA78" s="153"/>
      <c r="BB78" s="153"/>
      <c r="BC78" s="150"/>
      <c r="BD78" s="148"/>
      <c r="BE78" s="144"/>
      <c r="BF78" s="144"/>
      <c r="BG78" s="155"/>
      <c r="BH78" s="53"/>
      <c r="BI78" s="148"/>
      <c r="BJ78" s="155"/>
      <c r="BK78" s="197"/>
      <c r="BL78" s="350"/>
      <c r="BM78" s="153"/>
      <c r="BN78" s="157"/>
      <c r="BO78" s="153"/>
      <c r="BP78" s="153"/>
      <c r="BQ78" s="155"/>
      <c r="BR78" s="155"/>
      <c r="BS78" s="153"/>
      <c r="BT78" s="153"/>
      <c r="BU78" s="144"/>
      <c r="BV78" s="155"/>
      <c r="BW78" s="144"/>
      <c r="BX78" s="121"/>
      <c r="CI78" s="122"/>
      <c r="CJ78" s="350"/>
      <c r="CK78" s="153"/>
      <c r="CL78" s="153"/>
      <c r="CM78" s="53"/>
      <c r="CU78" s="117"/>
    </row>
    <row r="79" spans="1:99" ht="15" customHeight="1" x14ac:dyDescent="0.25">
      <c r="A79" s="123"/>
      <c r="B79" s="124"/>
      <c r="C79" s="188"/>
      <c r="D79" s="124"/>
      <c r="E79" s="124"/>
      <c r="F79" s="124"/>
      <c r="G79" s="124"/>
      <c r="H79" s="125"/>
      <c r="I79" s="124"/>
      <c r="J79" s="124"/>
      <c r="K79" s="124"/>
      <c r="L79" s="126"/>
      <c r="M79" s="349">
        <f>M41</f>
        <v>0</v>
      </c>
      <c r="N79" s="147"/>
      <c r="O79" s="147"/>
      <c r="P79" s="147"/>
      <c r="Q79" s="143"/>
      <c r="R79" s="163"/>
      <c r="S79" s="163"/>
      <c r="T79" s="155"/>
      <c r="U79" s="164"/>
      <c r="V79" s="165"/>
      <c r="W79" s="144"/>
      <c r="X79" s="144"/>
      <c r="Y79" s="349"/>
      <c r="Z79" s="150"/>
      <c r="AA79" s="150"/>
      <c r="AB79" s="151"/>
      <c r="AC79" s="150"/>
      <c r="AD79" s="152"/>
      <c r="AE79" s="361"/>
      <c r="AF79" s="361"/>
      <c r="AG79" s="148"/>
      <c r="AH79" s="150"/>
      <c r="AI79" s="148"/>
      <c r="AJ79" s="150"/>
      <c r="AK79" s="204"/>
      <c r="AL79" s="204"/>
      <c r="AM79" s="204"/>
      <c r="AN79" s="349"/>
      <c r="AO79" s="155"/>
      <c r="AP79" s="155"/>
      <c r="AQ79" s="150"/>
      <c r="AR79" s="150"/>
      <c r="AS79" s="53"/>
      <c r="AT79" s="155"/>
      <c r="AU79" s="144"/>
      <c r="AV79" s="143"/>
      <c r="AW79" s="163"/>
      <c r="AX79" s="144"/>
      <c r="AY79" s="144"/>
      <c r="AZ79" s="349"/>
      <c r="BA79" s="153"/>
      <c r="BB79" s="153"/>
      <c r="BC79" s="150"/>
      <c r="BD79" s="148"/>
      <c r="BE79" s="144"/>
      <c r="BF79" s="144"/>
      <c r="BG79" s="155"/>
      <c r="BH79" s="53"/>
      <c r="BI79" s="148"/>
      <c r="BJ79" s="155"/>
      <c r="BK79" s="197"/>
      <c r="BL79" s="349"/>
      <c r="BM79" s="153"/>
      <c r="BN79" s="157"/>
      <c r="BO79" s="153"/>
      <c r="BP79" s="153"/>
      <c r="BQ79" s="155"/>
      <c r="BR79" s="155"/>
      <c r="BS79" s="153"/>
      <c r="BT79" s="153"/>
      <c r="BU79" s="144"/>
      <c r="BV79" s="155"/>
      <c r="BW79" s="144"/>
      <c r="BX79" s="121"/>
      <c r="CI79" s="122"/>
      <c r="CJ79" s="349"/>
      <c r="CK79" s="153"/>
      <c r="CL79" s="153"/>
      <c r="CM79" s="53"/>
      <c r="CU79" s="117"/>
    </row>
    <row r="80" spans="1:99" x14ac:dyDescent="0.25">
      <c r="A80" s="123"/>
      <c r="B80" s="124"/>
      <c r="C80" s="188"/>
      <c r="D80" s="124"/>
      <c r="E80" s="124"/>
      <c r="F80" s="124"/>
      <c r="G80" s="124"/>
      <c r="H80" s="125"/>
      <c r="I80" s="124"/>
      <c r="J80" s="124"/>
      <c r="K80" s="124"/>
      <c r="L80" s="126"/>
      <c r="M80" s="350"/>
      <c r="N80" s="147"/>
      <c r="O80" s="147"/>
      <c r="P80" s="147"/>
      <c r="Q80" s="143"/>
      <c r="R80" s="163"/>
      <c r="S80" s="163"/>
      <c r="T80" s="155"/>
      <c r="U80" s="164"/>
      <c r="V80" s="165"/>
      <c r="W80" s="144"/>
      <c r="X80" s="144"/>
      <c r="Y80" s="350"/>
      <c r="Z80" s="150"/>
      <c r="AA80" s="150"/>
      <c r="AB80" s="151"/>
      <c r="AC80" s="150"/>
      <c r="AD80" s="152"/>
      <c r="AE80" s="361"/>
      <c r="AF80" s="361"/>
      <c r="AG80" s="148"/>
      <c r="AH80" s="150"/>
      <c r="AI80" s="148"/>
      <c r="AJ80" s="150"/>
      <c r="AK80" s="205"/>
      <c r="AL80" s="205"/>
      <c r="AM80" s="205"/>
      <c r="AN80" s="350"/>
      <c r="AO80" s="155"/>
      <c r="AP80" s="155"/>
      <c r="AQ80" s="150"/>
      <c r="AR80" s="150"/>
      <c r="AS80" s="53"/>
      <c r="AT80" s="155"/>
      <c r="AU80" s="144"/>
      <c r="AV80" s="143"/>
      <c r="AW80" s="163"/>
      <c r="AX80" s="144"/>
      <c r="AY80" s="144"/>
      <c r="AZ80" s="350"/>
      <c r="BA80" s="153"/>
      <c r="BB80" s="153"/>
      <c r="BC80" s="150"/>
      <c r="BD80" s="148"/>
      <c r="BE80" s="144"/>
      <c r="BF80" s="144"/>
      <c r="BG80" s="155"/>
      <c r="BH80" s="53"/>
      <c r="BI80" s="148"/>
      <c r="BJ80" s="155"/>
      <c r="BK80" s="197"/>
      <c r="BL80" s="350"/>
      <c r="BM80" s="153"/>
      <c r="BN80" s="157"/>
      <c r="BO80" s="153"/>
      <c r="BP80" s="153"/>
      <c r="BQ80" s="155"/>
      <c r="BR80" s="155"/>
      <c r="BS80" s="153"/>
      <c r="BT80" s="153"/>
      <c r="BU80" s="144"/>
      <c r="BV80" s="155"/>
      <c r="BW80" s="144"/>
      <c r="BX80" s="121"/>
      <c r="CI80" s="122"/>
      <c r="CJ80" s="350"/>
      <c r="CK80" s="153"/>
      <c r="CL80" s="153"/>
      <c r="CM80" s="53"/>
      <c r="CU80" s="117"/>
    </row>
    <row r="81" spans="1:99" x14ac:dyDescent="0.25">
      <c r="A81" s="123"/>
      <c r="L81" s="126"/>
      <c r="M81" s="349">
        <f>M43</f>
        <v>0</v>
      </c>
      <c r="N81" s="147"/>
      <c r="O81" s="147"/>
      <c r="P81" s="147"/>
      <c r="Q81" s="143"/>
      <c r="R81" s="163"/>
      <c r="S81" s="163"/>
      <c r="T81" s="155"/>
      <c r="U81" s="164"/>
      <c r="V81" s="165"/>
      <c r="W81" s="144"/>
      <c r="X81" s="144"/>
      <c r="Y81" s="349"/>
      <c r="Z81" s="150"/>
      <c r="AA81" s="150"/>
      <c r="AB81" s="151"/>
      <c r="AC81" s="150"/>
      <c r="AD81" s="152"/>
      <c r="AE81" s="361"/>
      <c r="AF81" s="361"/>
      <c r="AG81" s="148"/>
      <c r="AH81" s="150"/>
      <c r="AI81" s="148"/>
      <c r="AJ81" s="150"/>
      <c r="AK81" s="204"/>
      <c r="AL81" s="204"/>
      <c r="AM81" s="204"/>
      <c r="AN81" s="349"/>
      <c r="AO81" s="155"/>
      <c r="AP81" s="155"/>
      <c r="AQ81" s="150"/>
      <c r="AR81" s="150"/>
      <c r="AS81" s="53"/>
      <c r="AT81" s="155"/>
      <c r="AU81" s="144"/>
      <c r="AV81" s="143"/>
      <c r="AW81" s="163"/>
      <c r="AX81" s="144"/>
      <c r="AY81" s="144"/>
      <c r="AZ81" s="349"/>
      <c r="BA81" s="153"/>
      <c r="BB81" s="153"/>
      <c r="BC81" s="150"/>
      <c r="BD81" s="148"/>
      <c r="BE81" s="144"/>
      <c r="BF81" s="144"/>
      <c r="BG81" s="155"/>
      <c r="BH81" s="53"/>
      <c r="BI81" s="148"/>
      <c r="BJ81" s="155"/>
      <c r="BK81" s="197"/>
      <c r="BL81" s="349"/>
      <c r="BM81" s="153"/>
      <c r="BN81" s="157"/>
      <c r="BO81" s="153"/>
      <c r="BP81" s="153"/>
      <c r="BQ81" s="155"/>
      <c r="BR81" s="155"/>
      <c r="BS81" s="153"/>
      <c r="BT81" s="153"/>
      <c r="BU81" s="144"/>
      <c r="BV81" s="155"/>
      <c r="BW81" s="144"/>
      <c r="BX81" s="121"/>
      <c r="CI81" s="122"/>
      <c r="CJ81" s="349"/>
      <c r="CK81" s="153"/>
      <c r="CL81" s="153"/>
      <c r="CM81" s="53"/>
      <c r="CU81" s="117"/>
    </row>
    <row r="82" spans="1:99" ht="15" customHeight="1" x14ac:dyDescent="0.25">
      <c r="A82" s="123"/>
      <c r="L82" s="126"/>
      <c r="M82" s="350"/>
      <c r="N82" s="147"/>
      <c r="O82" s="147"/>
      <c r="P82" s="147"/>
      <c r="Q82" s="143"/>
      <c r="R82" s="163"/>
      <c r="S82" s="163"/>
      <c r="T82" s="155"/>
      <c r="U82" s="164"/>
      <c r="V82" s="165"/>
      <c r="W82" s="144"/>
      <c r="X82" s="144"/>
      <c r="Y82" s="350"/>
      <c r="Z82" s="150"/>
      <c r="AA82" s="150"/>
      <c r="AB82" s="151"/>
      <c r="AC82" s="150"/>
      <c r="AD82" s="152"/>
      <c r="AE82" s="361"/>
      <c r="AF82" s="361"/>
      <c r="AG82" s="148"/>
      <c r="AH82" s="150"/>
      <c r="AI82" s="148"/>
      <c r="AJ82" s="150"/>
      <c r="AK82" s="205"/>
      <c r="AL82" s="205"/>
      <c r="AM82" s="205"/>
      <c r="AN82" s="350"/>
      <c r="AO82" s="155"/>
      <c r="AP82" s="155"/>
      <c r="AQ82" s="150"/>
      <c r="AR82" s="150"/>
      <c r="AS82" s="53"/>
      <c r="AT82" s="155"/>
      <c r="AU82" s="144"/>
      <c r="AV82" s="143"/>
      <c r="AW82" s="163"/>
      <c r="AX82" s="144"/>
      <c r="AY82" s="144"/>
      <c r="AZ82" s="350"/>
      <c r="BA82" s="153"/>
      <c r="BB82" s="153"/>
      <c r="BC82" s="150"/>
      <c r="BD82" s="148"/>
      <c r="BE82" s="144"/>
      <c r="BF82" s="144"/>
      <c r="BG82" s="155"/>
      <c r="BH82" s="53"/>
      <c r="BI82" s="148"/>
      <c r="BJ82" s="155"/>
      <c r="BK82" s="197"/>
      <c r="BL82" s="350"/>
      <c r="BM82" s="153"/>
      <c r="BN82" s="157"/>
      <c r="BO82" s="153"/>
      <c r="BP82" s="153"/>
      <c r="BQ82" s="155"/>
      <c r="BR82" s="155"/>
      <c r="BS82" s="153"/>
      <c r="BT82" s="153"/>
      <c r="BU82" s="144"/>
      <c r="BV82" s="155"/>
      <c r="BW82" s="144"/>
      <c r="BX82" s="121"/>
      <c r="CI82" s="122"/>
      <c r="CJ82" s="350"/>
      <c r="CK82" s="153"/>
      <c r="CL82" s="153"/>
      <c r="CM82" s="53"/>
      <c r="CU82" s="117"/>
    </row>
    <row r="83" spans="1:99" ht="15" customHeight="1" x14ac:dyDescent="0.25">
      <c r="A83" s="159"/>
      <c r="K83" s="160"/>
      <c r="L83" s="122"/>
      <c r="M83" s="159"/>
      <c r="W83" s="160"/>
      <c r="X83" s="122"/>
      <c r="Y83" s="116"/>
      <c r="Z83" s="114"/>
      <c r="AA83" s="114"/>
      <c r="AB83" s="114"/>
      <c r="AC83" s="114"/>
      <c r="AD83" s="114"/>
      <c r="AJ83" s="122"/>
      <c r="AN83" s="116"/>
      <c r="AO83" s="114"/>
      <c r="AP83" s="114"/>
      <c r="AQ83" s="114"/>
      <c r="AR83" s="114"/>
      <c r="AS83" s="114"/>
      <c r="AT83" s="114"/>
      <c r="AU83" s="114"/>
      <c r="AV83" s="114" t="s">
        <v>806</v>
      </c>
      <c r="AW83" s="114"/>
      <c r="AX83" s="114"/>
      <c r="AY83" s="117"/>
      <c r="AZ83" s="116"/>
      <c r="BC83" s="114"/>
      <c r="BD83" s="114"/>
      <c r="BE83" s="114"/>
      <c r="BF83" s="114"/>
      <c r="BG83" s="114"/>
      <c r="BH83" s="114"/>
      <c r="BI83" s="114"/>
      <c r="BJ83" s="114"/>
      <c r="BK83" s="117"/>
      <c r="BL83" s="121"/>
      <c r="BS83" s="112"/>
      <c r="BT83" s="112"/>
      <c r="BU83" s="112"/>
      <c r="BV83" s="112"/>
      <c r="BW83" s="122"/>
      <c r="BX83" s="121"/>
      <c r="CI83" s="122"/>
      <c r="CU83" s="117"/>
    </row>
    <row r="84" spans="1:99" x14ac:dyDescent="0.25">
      <c r="A84" s="167"/>
      <c r="B84" s="168"/>
      <c r="C84" s="169"/>
      <c r="D84" s="170"/>
      <c r="E84" s="170"/>
      <c r="F84" s="171"/>
      <c r="G84" s="170"/>
      <c r="H84" s="171"/>
      <c r="I84" s="170"/>
      <c r="J84" s="170"/>
      <c r="K84" s="172"/>
      <c r="L84" s="173"/>
      <c r="M84" s="167"/>
      <c r="N84" s="168"/>
      <c r="O84" s="169"/>
      <c r="P84" s="170"/>
      <c r="Q84" s="170"/>
      <c r="R84" s="171"/>
      <c r="S84" s="170"/>
      <c r="T84" s="171"/>
      <c r="U84" s="170"/>
      <c r="V84" s="170"/>
      <c r="W84" s="172"/>
      <c r="X84" s="173"/>
      <c r="Y84" s="174"/>
      <c r="Z84" s="168"/>
      <c r="AA84" s="168"/>
      <c r="AB84" s="175"/>
      <c r="AC84" s="175"/>
      <c r="AD84" s="175"/>
      <c r="AE84" s="175"/>
      <c r="AF84" s="175"/>
      <c r="AG84" s="175"/>
      <c r="AH84" s="175"/>
      <c r="AI84" s="175"/>
      <c r="AJ84" s="176"/>
      <c r="AK84" s="175"/>
      <c r="AL84" s="175"/>
      <c r="AM84" s="175"/>
      <c r="AN84" s="174"/>
      <c r="AO84" s="168"/>
      <c r="AP84" s="168"/>
      <c r="AQ84" s="175"/>
      <c r="AR84" s="175"/>
      <c r="AS84" s="175"/>
      <c r="AT84" s="175"/>
      <c r="AU84" s="175"/>
      <c r="AV84" s="175"/>
      <c r="AW84" s="175"/>
      <c r="AX84" s="175"/>
      <c r="AY84" s="176"/>
      <c r="AZ84" s="174"/>
      <c r="BA84" s="168"/>
      <c r="BB84" s="168"/>
      <c r="BC84" s="175"/>
      <c r="BD84" s="175"/>
      <c r="BE84" s="175"/>
      <c r="BF84" s="175"/>
      <c r="BG84" s="175"/>
      <c r="BH84" s="175"/>
      <c r="BI84" s="175"/>
      <c r="BJ84" s="175"/>
      <c r="BK84" s="176"/>
      <c r="BL84" s="195"/>
      <c r="BM84" s="175"/>
      <c r="BN84" s="175"/>
      <c r="BO84" s="175"/>
      <c r="BP84" s="175"/>
      <c r="BQ84" s="175"/>
      <c r="BR84" s="175"/>
      <c r="BS84" s="175"/>
      <c r="BT84" s="175"/>
      <c r="BU84" s="175"/>
      <c r="BV84" s="175"/>
      <c r="BW84" s="176"/>
      <c r="BX84" s="195"/>
      <c r="BY84" s="170"/>
      <c r="BZ84" s="170"/>
      <c r="CA84" s="170"/>
      <c r="CB84" s="170"/>
      <c r="CC84" s="170"/>
      <c r="CD84" s="170"/>
      <c r="CE84" s="175"/>
      <c r="CF84" s="175"/>
      <c r="CG84" s="175"/>
      <c r="CH84" s="175"/>
      <c r="CI84" s="176"/>
      <c r="CU84" s="117"/>
    </row>
    <row r="85" spans="1:99" ht="15.75" thickBot="1" x14ac:dyDescent="0.3">
      <c r="B85" s="114"/>
      <c r="C85" s="114"/>
      <c r="D85" s="114"/>
      <c r="E85" s="114"/>
      <c r="F85" s="114"/>
      <c r="G85" s="114"/>
      <c r="H85" s="114"/>
      <c r="I85" s="114"/>
      <c r="J85" s="114"/>
      <c r="K85" s="114"/>
      <c r="L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c r="AJ85" s="114"/>
      <c r="AK85" s="114"/>
      <c r="AL85" s="114"/>
      <c r="AM85" s="114"/>
      <c r="AN85" s="114"/>
      <c r="AO85" s="114"/>
      <c r="AP85" s="114"/>
      <c r="AQ85" s="114"/>
      <c r="AR85" s="114"/>
      <c r="AS85" s="114"/>
      <c r="AT85" s="114"/>
      <c r="AU85" s="114"/>
      <c r="AV85" s="114"/>
      <c r="AW85" s="114"/>
      <c r="AX85" s="114"/>
      <c r="AY85" s="114"/>
      <c r="AZ85" s="114"/>
      <c r="BA85" s="114"/>
      <c r="BB85" s="114"/>
      <c r="BC85" s="114"/>
      <c r="BD85" s="114"/>
      <c r="BE85" s="114"/>
      <c r="BF85" s="114"/>
      <c r="BG85" s="114"/>
      <c r="BH85" s="114"/>
      <c r="BI85" s="114"/>
      <c r="BJ85" s="114"/>
      <c r="BK85" s="114"/>
      <c r="BL85" s="114"/>
      <c r="BM85" s="114"/>
      <c r="BN85" s="114"/>
      <c r="BO85" s="114"/>
      <c r="BP85" s="114"/>
      <c r="BQ85" s="114"/>
      <c r="BR85" s="114"/>
      <c r="BS85" s="114"/>
      <c r="BT85" s="114"/>
      <c r="BU85" s="114"/>
    </row>
    <row r="86" spans="1:99" ht="16.5" customHeight="1" x14ac:dyDescent="0.25">
      <c r="N86" s="363" t="s">
        <v>736</v>
      </c>
      <c r="O86" s="364"/>
      <c r="P86" s="364"/>
      <c r="Q86" s="364"/>
      <c r="R86" s="364"/>
      <c r="S86" s="365"/>
      <c r="T86" s="363" t="s">
        <v>737</v>
      </c>
      <c r="U86" s="364"/>
      <c r="V86" s="366"/>
      <c r="W86" s="114"/>
      <c r="AO86" s="178"/>
      <c r="AP86" s="178"/>
      <c r="AQ86" s="114"/>
      <c r="AR86" s="114"/>
      <c r="AS86" s="114"/>
      <c r="AT86" s="114"/>
      <c r="AU86" s="114"/>
      <c r="AV86" s="114"/>
      <c r="AW86" s="114"/>
      <c r="AX86" s="114"/>
      <c r="AY86" s="114"/>
      <c r="AZ86" s="177"/>
      <c r="BA86" s="178"/>
      <c r="BB86" s="178"/>
      <c r="BC86" s="114"/>
      <c r="BD86" s="114"/>
      <c r="BE86" s="114"/>
      <c r="BF86" s="114"/>
      <c r="BG86" s="114"/>
      <c r="BH86" s="114"/>
      <c r="BI86" s="114"/>
      <c r="BJ86" s="114"/>
      <c r="BK86" s="114"/>
      <c r="BL86" s="114"/>
      <c r="BM86" s="114"/>
      <c r="BN86" s="114"/>
      <c r="BO86" s="114"/>
      <c r="BP86" s="114"/>
      <c r="BQ86" s="114"/>
      <c r="BR86" s="114"/>
      <c r="BS86" s="114"/>
      <c r="BT86" s="114"/>
      <c r="BU86" s="114"/>
    </row>
    <row r="87" spans="1:99" x14ac:dyDescent="0.25">
      <c r="N87" s="367" t="s">
        <v>738</v>
      </c>
      <c r="O87" s="361"/>
      <c r="P87" s="361"/>
      <c r="Q87" s="361"/>
      <c r="R87" s="361"/>
      <c r="S87" s="369"/>
      <c r="T87" s="367"/>
      <c r="U87" s="361"/>
      <c r="V87" s="368"/>
      <c r="W87" s="114"/>
      <c r="Y87" s="132" t="s">
        <v>672</v>
      </c>
      <c r="Z87" s="132" t="s">
        <v>673</v>
      </c>
      <c r="AO87" s="178"/>
      <c r="AP87" s="178"/>
      <c r="AQ87" s="114"/>
      <c r="AR87" s="114"/>
      <c r="AS87" s="114"/>
      <c r="AT87" s="114"/>
      <c r="AU87" s="114"/>
      <c r="AV87" s="114"/>
      <c r="AW87" s="114"/>
      <c r="AX87" s="114"/>
      <c r="AY87" s="114"/>
      <c r="AZ87" s="177"/>
      <c r="BA87" s="178"/>
      <c r="BB87" s="178"/>
      <c r="BC87" s="114"/>
      <c r="BD87" s="114"/>
      <c r="BE87" s="114"/>
      <c r="BF87" s="114"/>
      <c r="BG87" s="114"/>
      <c r="BH87" s="114"/>
      <c r="BI87" s="114"/>
      <c r="BJ87" s="114"/>
      <c r="BK87" s="114"/>
      <c r="BL87" s="114"/>
      <c r="BM87" s="114"/>
      <c r="BN87" s="114"/>
      <c r="BO87" s="114"/>
      <c r="BP87" s="114"/>
      <c r="BQ87" s="114"/>
      <c r="BR87" s="114"/>
      <c r="BS87" s="114"/>
      <c r="BT87" s="114"/>
      <c r="BU87" s="114"/>
    </row>
    <row r="88" spans="1:99" ht="13.9" customHeight="1" x14ac:dyDescent="0.25">
      <c r="N88" s="367" t="s">
        <v>306</v>
      </c>
      <c r="O88" s="370" t="s">
        <v>739</v>
      </c>
      <c r="P88" s="361" t="s">
        <v>740</v>
      </c>
      <c r="Q88" s="361"/>
      <c r="R88" s="361"/>
      <c r="S88" s="369"/>
      <c r="T88" s="367"/>
      <c r="U88" s="361"/>
      <c r="V88" s="368"/>
      <c r="W88" s="160"/>
      <c r="Y88" s="133" t="s">
        <v>634</v>
      </c>
      <c r="Z88" s="133" t="s">
        <v>634</v>
      </c>
      <c r="AO88" s="178"/>
      <c r="AP88" s="178"/>
      <c r="AQ88" s="114"/>
      <c r="AR88" s="114"/>
      <c r="AS88" s="114"/>
      <c r="AT88" s="114"/>
      <c r="AU88" s="114"/>
      <c r="AV88" s="114"/>
      <c r="AW88" s="114"/>
      <c r="AX88" s="114"/>
      <c r="AY88" s="114"/>
      <c r="AZ88" s="177"/>
      <c r="BA88" s="178"/>
      <c r="BB88" s="178"/>
      <c r="BC88" s="114"/>
      <c r="BD88" s="114"/>
      <c r="BE88" s="114"/>
      <c r="BF88" s="114"/>
      <c r="BG88" s="114"/>
      <c r="BH88" s="114"/>
      <c r="BI88" s="114"/>
      <c r="BJ88" s="114"/>
      <c r="BK88" s="114"/>
      <c r="BL88" s="114"/>
      <c r="BM88" s="114"/>
      <c r="BN88" s="114"/>
      <c r="BO88" s="114"/>
      <c r="BP88" s="114"/>
      <c r="BQ88" s="114"/>
      <c r="BR88" s="114"/>
      <c r="BS88" s="114"/>
      <c r="BT88" s="114"/>
      <c r="BU88" s="114"/>
    </row>
    <row r="89" spans="1:99" x14ac:dyDescent="0.25">
      <c r="N89" s="367"/>
      <c r="O89" s="370"/>
      <c r="P89" s="155" t="s">
        <v>741</v>
      </c>
      <c r="Q89" s="155" t="s">
        <v>308</v>
      </c>
      <c r="R89" s="155" t="s">
        <v>742</v>
      </c>
      <c r="S89" s="180" t="s">
        <v>192</v>
      </c>
      <c r="T89" s="179" t="s">
        <v>308</v>
      </c>
      <c r="U89" s="155" t="s">
        <v>741</v>
      </c>
      <c r="V89" s="181" t="s">
        <v>743</v>
      </c>
      <c r="W89" s="160"/>
      <c r="Y89" s="150">
        <f>2*N51/(3*AA13*(AC13/2-AD13))</f>
        <v>151.54670528943626</v>
      </c>
      <c r="Z89" s="150">
        <f>2*N51/(3*AA13*(AC13/2-AE13))</f>
        <v>87.671557508730231</v>
      </c>
      <c r="AE89" s="125"/>
      <c r="AF89" s="125"/>
      <c r="AO89" s="178"/>
      <c r="AP89" s="178"/>
      <c r="AQ89" s="114"/>
      <c r="AR89" s="114"/>
      <c r="AS89" s="114"/>
      <c r="AT89" s="114"/>
      <c r="AU89" s="114"/>
      <c r="AV89" s="114"/>
      <c r="AW89" s="114"/>
      <c r="AX89" s="114"/>
      <c r="AY89" s="114"/>
      <c r="AZ89" s="177"/>
      <c r="BA89" s="178"/>
      <c r="BB89" s="178"/>
      <c r="BC89" s="114"/>
      <c r="BD89" s="114"/>
      <c r="BE89" s="114"/>
      <c r="BF89" s="114"/>
      <c r="BG89" s="114"/>
      <c r="BH89" s="114"/>
      <c r="BI89" s="114"/>
      <c r="BJ89" s="114"/>
      <c r="BK89" s="114"/>
      <c r="BL89" s="114"/>
      <c r="BM89" s="114"/>
      <c r="BN89" s="114"/>
      <c r="BO89" s="114"/>
      <c r="BP89" s="114"/>
      <c r="BQ89" s="114"/>
      <c r="BR89" s="114"/>
      <c r="BS89" s="114"/>
      <c r="BT89" s="114"/>
      <c r="BU89" s="114"/>
    </row>
    <row r="90" spans="1:99" x14ac:dyDescent="0.25">
      <c r="N90" s="179" t="s">
        <v>307</v>
      </c>
      <c r="O90" s="155" t="s">
        <v>401</v>
      </c>
      <c r="P90" s="155" t="s">
        <v>374</v>
      </c>
      <c r="Q90" s="155" t="s">
        <v>383</v>
      </c>
      <c r="R90" s="155" t="s">
        <v>374</v>
      </c>
      <c r="S90" s="180" t="s">
        <v>744</v>
      </c>
      <c r="T90" s="179" t="s">
        <v>309</v>
      </c>
      <c r="U90" s="155" t="s">
        <v>150</v>
      </c>
      <c r="V90" s="181" t="s">
        <v>150</v>
      </c>
      <c r="Y90" s="150">
        <f t="shared" ref="Y90:Y120" si="201">2*N52/(3*AA14*(AC14/2-AD14))</f>
        <v>61.066162667200174</v>
      </c>
      <c r="Z90" s="150">
        <f t="shared" ref="Z90:Z120" si="202">2*N52/(3*AA14*(AC14/2-AE14))</f>
        <v>80.240885135016114</v>
      </c>
      <c r="AE90" s="125"/>
      <c r="AF90" s="125"/>
      <c r="AO90" s="178"/>
      <c r="AP90" s="178"/>
      <c r="AQ90" s="114"/>
      <c r="AR90" s="114"/>
      <c r="AS90" s="114"/>
      <c r="AT90" s="114"/>
      <c r="AU90" s="114"/>
      <c r="AV90" s="114"/>
      <c r="AW90" s="114"/>
      <c r="AX90" s="114"/>
      <c r="AY90" s="114"/>
      <c r="AZ90" s="177"/>
      <c r="BA90" s="178"/>
      <c r="BB90" s="178"/>
      <c r="BC90" s="114"/>
      <c r="BD90" s="114"/>
      <c r="BE90" s="114"/>
      <c r="BF90" s="114"/>
      <c r="BG90" s="114"/>
      <c r="BH90" s="114"/>
      <c r="BI90" s="114"/>
      <c r="BJ90" s="114"/>
      <c r="BK90" s="114"/>
      <c r="BL90" s="114"/>
      <c r="BM90" s="114"/>
      <c r="BN90" s="114"/>
      <c r="BO90" s="114"/>
      <c r="BP90" s="114"/>
      <c r="BQ90" s="114"/>
      <c r="BR90" s="114"/>
      <c r="BS90" s="114"/>
      <c r="BT90" s="114"/>
      <c r="BU90" s="114"/>
    </row>
    <row r="91" spans="1:99" x14ac:dyDescent="0.25">
      <c r="N91" s="179">
        <v>2</v>
      </c>
      <c r="O91" s="155" t="str">
        <f t="shared" ref="O91:O102" si="203">CONCATENATE(N91,"/8","""")</f>
        <v>2/8"</v>
      </c>
      <c r="P91" s="155">
        <v>6.4</v>
      </c>
      <c r="Q91" s="155">
        <v>32</v>
      </c>
      <c r="R91" s="155">
        <v>20</v>
      </c>
      <c r="S91" s="180">
        <v>0.25</v>
      </c>
      <c r="T91" s="179">
        <f t="shared" ref="T91:T102" si="204">Q91/100</f>
        <v>0.32</v>
      </c>
      <c r="U91" s="155">
        <f t="shared" ref="U91:U102" si="205">P91/10</f>
        <v>0.64</v>
      </c>
      <c r="V91" s="181">
        <v>25</v>
      </c>
      <c r="Y91" s="150">
        <f t="shared" si="201"/>
        <v>115.2392788049699</v>
      </c>
      <c r="Z91" s="150">
        <f t="shared" si="202"/>
        <v>78.403368491563128</v>
      </c>
      <c r="AX91" s="114"/>
      <c r="AY91" s="114"/>
      <c r="BJ91" s="114"/>
      <c r="BK91" s="114"/>
      <c r="BL91" s="114"/>
      <c r="BM91" s="114"/>
      <c r="BN91" s="114"/>
      <c r="BO91" s="114"/>
      <c r="BP91" s="114"/>
      <c r="BQ91" s="114"/>
      <c r="BR91" s="114"/>
      <c r="BS91" s="114"/>
      <c r="BT91" s="114"/>
      <c r="BU91" s="114"/>
    </row>
    <row r="92" spans="1:99" x14ac:dyDescent="0.25">
      <c r="N92" s="179">
        <v>3</v>
      </c>
      <c r="O92" s="155" t="str">
        <f t="shared" si="203"/>
        <v>3/8"</v>
      </c>
      <c r="P92" s="155">
        <v>9.5</v>
      </c>
      <c r="Q92" s="155">
        <v>71</v>
      </c>
      <c r="R92" s="155">
        <v>30</v>
      </c>
      <c r="S92" s="180">
        <v>0.56000000000000005</v>
      </c>
      <c r="T92" s="179">
        <f t="shared" si="204"/>
        <v>0.71</v>
      </c>
      <c r="U92" s="155">
        <f t="shared" si="205"/>
        <v>0.95</v>
      </c>
      <c r="V92" s="181">
        <v>30</v>
      </c>
      <c r="Y92" s="150">
        <f t="shared" si="201"/>
        <v>58.981890033796532</v>
      </c>
      <c r="Z92" s="150">
        <f t="shared" si="202"/>
        <v>72.851220226779375</v>
      </c>
      <c r="AX92" s="114"/>
      <c r="BJ92" s="114"/>
      <c r="BL92" s="114"/>
      <c r="BM92" s="114"/>
      <c r="BN92" s="114"/>
      <c r="BO92" s="114"/>
      <c r="BP92" s="114"/>
      <c r="BQ92" s="114"/>
      <c r="BR92" s="114"/>
      <c r="BS92" s="114"/>
      <c r="BT92" s="114"/>
      <c r="BU92" s="114"/>
    </row>
    <row r="93" spans="1:99" x14ac:dyDescent="0.25">
      <c r="M93" s="121"/>
      <c r="N93" s="179">
        <v>4</v>
      </c>
      <c r="O93" s="155" t="str">
        <f t="shared" si="203"/>
        <v>4/8"</v>
      </c>
      <c r="P93" s="155">
        <v>12.7</v>
      </c>
      <c r="Q93" s="155">
        <v>129</v>
      </c>
      <c r="R93" s="155">
        <v>40</v>
      </c>
      <c r="S93" s="180">
        <v>0.99399999999999999</v>
      </c>
      <c r="T93" s="179">
        <f t="shared" si="204"/>
        <v>1.29</v>
      </c>
      <c r="U93" s="155">
        <f t="shared" si="205"/>
        <v>1.27</v>
      </c>
      <c r="V93" s="181">
        <v>35</v>
      </c>
      <c r="Y93" s="150">
        <f t="shared" si="201"/>
        <v>152.67788861527487</v>
      </c>
      <c r="Z93" s="150">
        <f t="shared" si="202"/>
        <v>107.94374394283253</v>
      </c>
      <c r="BN93" s="114"/>
      <c r="BO93" s="114"/>
      <c r="BP93" s="114"/>
      <c r="BQ93" s="114"/>
      <c r="BR93" s="114"/>
      <c r="BS93" s="114"/>
    </row>
    <row r="94" spans="1:99" x14ac:dyDescent="0.25">
      <c r="M94" s="121"/>
      <c r="N94" s="179">
        <v>5</v>
      </c>
      <c r="O94" s="155" t="str">
        <f t="shared" si="203"/>
        <v>5/8"</v>
      </c>
      <c r="P94" s="155">
        <v>15.9</v>
      </c>
      <c r="Q94" s="155">
        <v>199</v>
      </c>
      <c r="R94" s="155">
        <v>50</v>
      </c>
      <c r="S94" s="180">
        <v>1.552</v>
      </c>
      <c r="T94" s="179">
        <f t="shared" si="204"/>
        <v>1.99</v>
      </c>
      <c r="U94" s="155">
        <f t="shared" si="205"/>
        <v>1.59</v>
      </c>
      <c r="V94" s="181">
        <v>40</v>
      </c>
      <c r="Y94" s="150">
        <f t="shared" si="201"/>
        <v>80.145918932035968</v>
      </c>
      <c r="Z94" s="150">
        <f t="shared" si="202"/>
        <v>104.58428112097388</v>
      </c>
      <c r="BN94" s="114"/>
      <c r="BO94" s="114"/>
      <c r="BP94" s="114"/>
      <c r="BQ94" s="114"/>
      <c r="BR94" s="114"/>
      <c r="BS94" s="114"/>
    </row>
    <row r="95" spans="1:99" x14ac:dyDescent="0.25">
      <c r="M95" s="121"/>
      <c r="N95" s="179">
        <v>6</v>
      </c>
      <c r="O95" s="155" t="str">
        <f t="shared" si="203"/>
        <v>6/8"</v>
      </c>
      <c r="P95" s="155">
        <v>19.100000000000001</v>
      </c>
      <c r="Q95" s="155">
        <v>284</v>
      </c>
      <c r="R95" s="155">
        <v>60</v>
      </c>
      <c r="S95" s="180">
        <v>2.2349999999999999</v>
      </c>
      <c r="T95" s="179">
        <f t="shared" si="204"/>
        <v>2.84</v>
      </c>
      <c r="U95" s="155">
        <f t="shared" si="205"/>
        <v>1.9100000000000001</v>
      </c>
      <c r="V95" s="181">
        <v>45</v>
      </c>
      <c r="Y95" s="150">
        <f t="shared" si="201"/>
        <v>130.84299373066452</v>
      </c>
      <c r="Z95" s="150">
        <f t="shared" si="202"/>
        <v>90.527627448216251</v>
      </c>
      <c r="BN95" s="114"/>
      <c r="BO95" s="114"/>
      <c r="BP95" s="114"/>
      <c r="BQ95" s="114"/>
      <c r="BR95" s="114"/>
      <c r="BS95" s="114"/>
    </row>
    <row r="96" spans="1:99" x14ac:dyDescent="0.25">
      <c r="M96" s="121"/>
      <c r="N96" s="179">
        <v>7</v>
      </c>
      <c r="O96" s="155" t="str">
        <f t="shared" si="203"/>
        <v>7/8"</v>
      </c>
      <c r="P96" s="155">
        <v>22.2</v>
      </c>
      <c r="Q96" s="155">
        <v>387</v>
      </c>
      <c r="R96" s="155">
        <v>70</v>
      </c>
      <c r="S96" s="180">
        <v>3.0419999999999998</v>
      </c>
      <c r="T96" s="179">
        <f t="shared" si="204"/>
        <v>3.87</v>
      </c>
      <c r="U96" s="155">
        <f t="shared" si="205"/>
        <v>2.2199999999999998</v>
      </c>
      <c r="V96" s="181">
        <v>50</v>
      </c>
      <c r="Y96" s="150">
        <f t="shared" si="201"/>
        <v>56.561027093411752</v>
      </c>
      <c r="Z96" s="150">
        <f t="shared" si="202"/>
        <v>81.515327745936219</v>
      </c>
      <c r="AE96" s="125"/>
      <c r="AF96" s="125"/>
      <c r="AX96" s="114"/>
      <c r="BJ96" s="114"/>
      <c r="BN96" s="114"/>
      <c r="BO96" s="114"/>
      <c r="BP96" s="114"/>
      <c r="BQ96" s="114"/>
      <c r="BR96" s="114"/>
      <c r="BS96" s="114"/>
    </row>
    <row r="97" spans="13:71" s="111" customFormat="1" x14ac:dyDescent="0.25">
      <c r="M97" s="121"/>
      <c r="N97" s="179">
        <v>8</v>
      </c>
      <c r="O97" s="155" t="str">
        <f t="shared" si="203"/>
        <v>8/8"</v>
      </c>
      <c r="P97" s="155">
        <v>25.4</v>
      </c>
      <c r="Q97" s="155">
        <v>510</v>
      </c>
      <c r="R97" s="155">
        <v>80</v>
      </c>
      <c r="S97" s="180">
        <v>3.9729999999999999</v>
      </c>
      <c r="T97" s="179">
        <f t="shared" si="204"/>
        <v>5.0999999999999996</v>
      </c>
      <c r="U97" s="155">
        <f t="shared" si="205"/>
        <v>2.54</v>
      </c>
      <c r="V97" s="181">
        <v>55</v>
      </c>
      <c r="Y97" s="150">
        <f t="shared" si="201"/>
        <v>98.014180771852324</v>
      </c>
      <c r="Z97" s="150">
        <f t="shared" si="202"/>
        <v>105.50881438634306</v>
      </c>
      <c r="AE97" s="125"/>
      <c r="AF97" s="125"/>
      <c r="AX97" s="114"/>
      <c r="BJ97" s="114"/>
    </row>
    <row r="98" spans="13:71" s="111" customFormat="1" x14ac:dyDescent="0.25">
      <c r="M98" s="121"/>
      <c r="N98" s="179">
        <v>9</v>
      </c>
      <c r="O98" s="155" t="str">
        <f t="shared" si="203"/>
        <v>9/8"</v>
      </c>
      <c r="P98" s="155">
        <v>28.7</v>
      </c>
      <c r="Q98" s="155">
        <v>645</v>
      </c>
      <c r="R98" s="155">
        <v>90</v>
      </c>
      <c r="S98" s="180">
        <v>5.0599999999999996</v>
      </c>
      <c r="T98" s="179">
        <f t="shared" si="204"/>
        <v>6.45</v>
      </c>
      <c r="U98" s="155">
        <f t="shared" si="205"/>
        <v>2.87</v>
      </c>
      <c r="V98" s="181">
        <v>60</v>
      </c>
      <c r="Y98" s="150">
        <f t="shared" si="201"/>
        <v>87.503205512661381</v>
      </c>
      <c r="Z98" s="150">
        <f t="shared" si="202"/>
        <v>87.45575751695246</v>
      </c>
      <c r="AX98" s="114"/>
      <c r="BJ98" s="114"/>
    </row>
    <row r="99" spans="13:71" s="111" customFormat="1" x14ac:dyDescent="0.25">
      <c r="M99" s="121"/>
      <c r="N99" s="179">
        <v>10</v>
      </c>
      <c r="O99" s="155" t="str">
        <f t="shared" si="203"/>
        <v>10/8"</v>
      </c>
      <c r="P99" s="155">
        <v>32.299999999999997</v>
      </c>
      <c r="Q99" s="155">
        <v>819</v>
      </c>
      <c r="R99" s="155">
        <v>101.3</v>
      </c>
      <c r="S99" s="180">
        <v>6.4039999999999999</v>
      </c>
      <c r="T99" s="179">
        <f t="shared" si="204"/>
        <v>8.19</v>
      </c>
      <c r="U99" s="155">
        <f t="shared" si="205"/>
        <v>3.2299999999999995</v>
      </c>
      <c r="V99" s="181" t="s">
        <v>271</v>
      </c>
      <c r="Y99" s="150">
        <f t="shared" si="201"/>
        <v>152.99163138153602</v>
      </c>
      <c r="Z99" s="150">
        <f t="shared" si="202"/>
        <v>157.02328708219733</v>
      </c>
      <c r="AX99" s="114"/>
      <c r="BJ99" s="114"/>
    </row>
    <row r="100" spans="13:71" s="111" customFormat="1" x14ac:dyDescent="0.25">
      <c r="M100" s="121"/>
      <c r="N100" s="179">
        <v>11</v>
      </c>
      <c r="O100" s="155" t="str">
        <f t="shared" si="203"/>
        <v>11/8"</v>
      </c>
      <c r="P100" s="155">
        <v>35.799999999999997</v>
      </c>
      <c r="Q100" s="155">
        <v>1006</v>
      </c>
      <c r="R100" s="155">
        <v>112.5</v>
      </c>
      <c r="S100" s="180">
        <v>7.907</v>
      </c>
      <c r="T100" s="179">
        <f t="shared" si="204"/>
        <v>10.06</v>
      </c>
      <c r="U100" s="155">
        <f t="shared" si="205"/>
        <v>3.5799999999999996</v>
      </c>
      <c r="V100" s="181">
        <v>70</v>
      </c>
      <c r="Y100" s="150">
        <f t="shared" si="201"/>
        <v>141.98720207904972</v>
      </c>
      <c r="Z100" s="150">
        <f t="shared" si="202"/>
        <v>139.26091995791953</v>
      </c>
      <c r="AX100" s="114"/>
      <c r="BJ100" s="114"/>
    </row>
    <row r="101" spans="13:71" s="111" customFormat="1" x14ac:dyDescent="0.25">
      <c r="M101" s="121"/>
      <c r="N101" s="179">
        <v>14</v>
      </c>
      <c r="O101" s="155" t="str">
        <f t="shared" si="203"/>
        <v>14/8"</v>
      </c>
      <c r="P101" s="155">
        <v>43</v>
      </c>
      <c r="Q101" s="155">
        <v>1452</v>
      </c>
      <c r="R101" s="155">
        <v>135.1</v>
      </c>
      <c r="S101" s="180">
        <v>11.38</v>
      </c>
      <c r="T101" s="179">
        <f t="shared" si="204"/>
        <v>14.52</v>
      </c>
      <c r="U101" s="155">
        <f t="shared" si="205"/>
        <v>4.3</v>
      </c>
      <c r="V101" s="181">
        <v>75</v>
      </c>
      <c r="Y101" s="150">
        <f t="shared" si="201"/>
        <v>114.88938493061781</v>
      </c>
      <c r="Z101" s="150">
        <f t="shared" si="202"/>
        <v>115.63306266435566</v>
      </c>
      <c r="AX101" s="114"/>
      <c r="BJ101" s="114"/>
    </row>
    <row r="102" spans="13:71" s="111" customFormat="1" ht="15.75" thickBot="1" x14ac:dyDescent="0.3">
      <c r="M102" s="121"/>
      <c r="N102" s="182">
        <v>18</v>
      </c>
      <c r="O102" s="183" t="str">
        <f t="shared" si="203"/>
        <v>18/8"</v>
      </c>
      <c r="P102" s="183">
        <v>57.3</v>
      </c>
      <c r="Q102" s="183">
        <v>2581</v>
      </c>
      <c r="R102" s="183">
        <v>180.1</v>
      </c>
      <c r="S102" s="184">
        <v>20.239999999999998</v>
      </c>
      <c r="T102" s="182">
        <f t="shared" si="204"/>
        <v>25.81</v>
      </c>
      <c r="U102" s="183">
        <f t="shared" si="205"/>
        <v>5.7299999999999995</v>
      </c>
      <c r="V102" s="185">
        <v>80</v>
      </c>
      <c r="Y102" s="150">
        <f t="shared" si="201"/>
        <v>102.03694180683962</v>
      </c>
      <c r="Z102" s="150">
        <f t="shared" si="202"/>
        <v>94.285843185393006</v>
      </c>
      <c r="AX102" s="114"/>
      <c r="BJ102" s="114"/>
    </row>
    <row r="103" spans="13:71" s="111" customFormat="1" x14ac:dyDescent="0.25">
      <c r="Y103" s="150">
        <f t="shared" si="201"/>
        <v>104.31909846997189</v>
      </c>
      <c r="Z103" s="150">
        <f t="shared" si="202"/>
        <v>104.61015945412672</v>
      </c>
      <c r="AF103" s="125"/>
      <c r="AG103" s="125"/>
      <c r="AX103" s="114"/>
      <c r="BJ103" s="114"/>
    </row>
    <row r="104" spans="13:71" s="111" customFormat="1" x14ac:dyDescent="0.25">
      <c r="N104" s="111" t="s">
        <v>53</v>
      </c>
      <c r="O104" s="156">
        <f>+MAX(AA13:AA18)</f>
        <v>4.4000000000000004</v>
      </c>
      <c r="P104" s="111" t="s">
        <v>101</v>
      </c>
      <c r="R104" s="111" t="s">
        <v>125</v>
      </c>
      <c r="S104" s="156">
        <f>(O106-O107)*O110</f>
        <v>0.79756414749221816</v>
      </c>
      <c r="T104" s="111" t="s">
        <v>101</v>
      </c>
      <c r="Y104" s="150">
        <f t="shared" si="201"/>
        <v>93.327620550527129</v>
      </c>
      <c r="Z104" s="150">
        <f t="shared" si="202"/>
        <v>86.885758932798339</v>
      </c>
      <c r="AF104" s="125"/>
      <c r="AG104" s="125"/>
      <c r="AX104" s="114"/>
      <c r="BJ104" s="114"/>
    </row>
    <row r="105" spans="13:71" s="111" customFormat="1" x14ac:dyDescent="0.25">
      <c r="N105" s="111" t="s">
        <v>147</v>
      </c>
      <c r="O105" s="156">
        <f>MAX(AC13:AC18)</f>
        <v>3.9</v>
      </c>
      <c r="P105" s="111" t="s">
        <v>101</v>
      </c>
      <c r="R105" s="111" t="s">
        <v>312</v>
      </c>
      <c r="S105" s="156">
        <f>(O104+2*S104)*O111/2</f>
        <v>5.6375982237619295</v>
      </c>
      <c r="T105" s="111" t="s">
        <v>101</v>
      </c>
      <c r="Y105" s="150">
        <f>2*N67/(3*AA29*(AC29/2-AD29))</f>
        <v>150.83682040075226</v>
      </c>
      <c r="Z105" s="150">
        <f>2*N67/(3*AA29*(AC29/2-AE29))</f>
        <v>154.58678395023992</v>
      </c>
      <c r="AX105" s="114"/>
      <c r="BJ105" s="114"/>
    </row>
    <row r="106" spans="13:71" x14ac:dyDescent="0.25">
      <c r="N106" s="111" t="s">
        <v>696</v>
      </c>
      <c r="O106" s="156">
        <f>MAX(U51:U56)</f>
        <v>2</v>
      </c>
      <c r="P106" s="111" t="s">
        <v>101</v>
      </c>
      <c r="S106" s="156"/>
      <c r="Y106" s="150">
        <f>2*N68/(3*AA30*(AC30/2-AD30))</f>
        <v>140.40341924415546</v>
      </c>
      <c r="Z106" s="150">
        <f>2*N68/(3*AA30*(AC30/2-AE30))</f>
        <v>137.38229849179936</v>
      </c>
      <c r="BN106" s="114"/>
      <c r="BO106" s="114"/>
      <c r="BP106" s="114"/>
      <c r="BQ106" s="114"/>
      <c r="BR106" s="114"/>
      <c r="BS106" s="114"/>
    </row>
    <row r="107" spans="13:71" x14ac:dyDescent="0.25">
      <c r="N107" s="111" t="s">
        <v>313</v>
      </c>
      <c r="O107" s="156">
        <f>U13</f>
        <v>0.5</v>
      </c>
      <c r="P107" s="111" t="s">
        <v>101</v>
      </c>
      <c r="R107" s="111" t="s">
        <v>745</v>
      </c>
      <c r="S107" s="156">
        <f>(O105+2*S104)*(O104+2*S104)^2*O111/6</f>
        <v>61.908343651799385</v>
      </c>
      <c r="T107" s="111" t="s">
        <v>746</v>
      </c>
      <c r="Y107" s="150">
        <f t="shared" si="201"/>
        <v>99.518293035454789</v>
      </c>
      <c r="Z107" s="150">
        <f t="shared" si="202"/>
        <v>107.83378751923178</v>
      </c>
      <c r="BN107" s="114"/>
      <c r="BO107" s="114"/>
      <c r="BP107" s="114"/>
      <c r="BQ107" s="114"/>
      <c r="BR107" s="114"/>
      <c r="BS107" s="114"/>
    </row>
    <row r="108" spans="13:71" x14ac:dyDescent="0.25">
      <c r="N108" s="111" t="s">
        <v>747</v>
      </c>
      <c r="O108" s="156">
        <v>28</v>
      </c>
      <c r="P108" s="111" t="s">
        <v>748</v>
      </c>
      <c r="R108" s="111" t="s">
        <v>749</v>
      </c>
      <c r="S108" s="156">
        <f>+O104*O105*((O104+2*S104)/2*O111-O106+O107)/3</f>
        <v>23.667061839918237</v>
      </c>
      <c r="T108" s="111" t="s">
        <v>746</v>
      </c>
      <c r="Y108" s="150">
        <f t="shared" si="201"/>
        <v>88.890105864102935</v>
      </c>
      <c r="Z108" s="150">
        <f t="shared" si="202"/>
        <v>88.753023553196684</v>
      </c>
      <c r="BN108" s="114"/>
      <c r="BO108" s="114"/>
      <c r="BP108" s="114"/>
      <c r="BQ108" s="114"/>
      <c r="BR108" s="114"/>
      <c r="BS108" s="114"/>
    </row>
    <row r="109" spans="13:71" x14ac:dyDescent="0.25">
      <c r="O109" s="156">
        <f>O108*PI()/180</f>
        <v>0.48869219055841229</v>
      </c>
      <c r="P109" s="111" t="s">
        <v>750</v>
      </c>
      <c r="S109" s="156"/>
      <c r="Y109" s="150">
        <f t="shared" si="201"/>
        <v>101.86970615199323</v>
      </c>
      <c r="Z109" s="150">
        <f t="shared" si="202"/>
        <v>78.511328108188039</v>
      </c>
      <c r="BN109" s="114"/>
      <c r="BO109" s="114"/>
      <c r="BP109" s="114"/>
      <c r="BQ109" s="114"/>
      <c r="BR109" s="114"/>
      <c r="BS109" s="114"/>
    </row>
    <row r="110" spans="13:71" x14ac:dyDescent="0.25">
      <c r="N110" s="111" t="s">
        <v>751</v>
      </c>
      <c r="O110" s="156">
        <f>TAN(O109)</f>
        <v>0.53170943166147877</v>
      </c>
      <c r="R110" s="111" t="s">
        <v>752</v>
      </c>
      <c r="S110" s="156">
        <f>S107-S108</f>
        <v>38.241281811881151</v>
      </c>
      <c r="T110" s="111" t="s">
        <v>746</v>
      </c>
      <c r="Y110" s="150">
        <f t="shared" si="201"/>
        <v>54.428330095910418</v>
      </c>
      <c r="Z110" s="150">
        <f t="shared" si="202"/>
        <v>73.017624769470558</v>
      </c>
      <c r="BN110" s="114"/>
      <c r="BO110" s="114"/>
      <c r="BP110" s="114"/>
      <c r="BQ110" s="114"/>
      <c r="BR110" s="114"/>
      <c r="BS110" s="114"/>
    </row>
    <row r="111" spans="13:71" x14ac:dyDescent="0.25">
      <c r="N111" s="111" t="s">
        <v>753</v>
      </c>
      <c r="O111" s="156">
        <f>TAN(PI()/2-O109)</f>
        <v>1.8807264653463318</v>
      </c>
      <c r="S111" s="156"/>
      <c r="Y111" s="150">
        <f t="shared" si="201"/>
        <v>154.59021111694261</v>
      </c>
      <c r="Z111" s="150">
        <f t="shared" si="202"/>
        <v>107.1725786766214</v>
      </c>
      <c r="BN111" s="114"/>
      <c r="BO111" s="114"/>
      <c r="BP111" s="114"/>
      <c r="BQ111" s="114"/>
      <c r="BR111" s="114"/>
      <c r="BS111" s="114"/>
    </row>
    <row r="112" spans="13:71" x14ac:dyDescent="0.25">
      <c r="O112" s="156"/>
      <c r="R112" s="111" t="s">
        <v>754</v>
      </c>
      <c r="S112" s="156">
        <f>O104*O105*(O106-O107)</f>
        <v>25.740000000000002</v>
      </c>
      <c r="T112" s="111" t="s">
        <v>746</v>
      </c>
      <c r="Y112" s="150">
        <f t="shared" si="201"/>
        <v>79.717823541384618</v>
      </c>
      <c r="Z112" s="150">
        <f t="shared" si="202"/>
        <v>104.28333024443518</v>
      </c>
      <c r="BN112" s="114"/>
      <c r="BO112" s="114"/>
      <c r="BP112" s="114"/>
      <c r="BQ112" s="114"/>
      <c r="BR112" s="114"/>
      <c r="BS112" s="114"/>
    </row>
    <row r="113" spans="15:71" x14ac:dyDescent="0.25">
      <c r="O113" s="156"/>
      <c r="S113" s="156"/>
      <c r="Y113" s="150" t="e">
        <f t="shared" si="201"/>
        <v>#DIV/0!</v>
      </c>
      <c r="Z113" s="150" t="e">
        <f t="shared" si="202"/>
        <v>#DIV/0!</v>
      </c>
      <c r="BN113" s="114"/>
      <c r="BO113" s="114"/>
      <c r="BP113" s="114"/>
      <c r="BQ113" s="114"/>
      <c r="BR113" s="114"/>
      <c r="BS113" s="114"/>
    </row>
    <row r="114" spans="15:71" x14ac:dyDescent="0.25">
      <c r="O114" s="156"/>
      <c r="S114" s="156">
        <f>S110/S112</f>
        <v>1.4856752840668668</v>
      </c>
      <c r="Y114" s="150" t="e">
        <f t="shared" si="201"/>
        <v>#DIV/0!</v>
      </c>
      <c r="Z114" s="150" t="e">
        <f t="shared" si="202"/>
        <v>#DIV/0!</v>
      </c>
      <c r="BN114" s="114"/>
      <c r="BO114" s="114"/>
      <c r="BP114" s="114"/>
      <c r="BQ114" s="114"/>
      <c r="BR114" s="114"/>
      <c r="BS114" s="114"/>
    </row>
    <row r="115" spans="15:71" x14ac:dyDescent="0.25">
      <c r="O115" s="156"/>
      <c r="S115" s="156"/>
      <c r="Y115" s="150" t="e">
        <f t="shared" si="201"/>
        <v>#DIV/0!</v>
      </c>
      <c r="Z115" s="150" t="e">
        <f t="shared" si="202"/>
        <v>#DIV/0!</v>
      </c>
      <c r="BN115" s="114"/>
      <c r="BO115" s="114"/>
      <c r="BP115" s="114"/>
      <c r="BQ115" s="114"/>
      <c r="BR115" s="114"/>
      <c r="BS115" s="114"/>
    </row>
    <row r="116" spans="15:71" x14ac:dyDescent="0.25">
      <c r="O116" s="156"/>
      <c r="S116" s="156"/>
      <c r="Y116" s="150" t="e">
        <f t="shared" si="201"/>
        <v>#DIV/0!</v>
      </c>
      <c r="Z116" s="150" t="e">
        <f t="shared" si="202"/>
        <v>#DIV/0!</v>
      </c>
      <c r="BN116" s="114"/>
      <c r="BO116" s="114"/>
      <c r="BP116" s="114"/>
      <c r="BQ116" s="114"/>
      <c r="BR116" s="114"/>
      <c r="BS116" s="114"/>
    </row>
    <row r="117" spans="15:71" x14ac:dyDescent="0.25">
      <c r="O117" s="156"/>
      <c r="S117" s="156"/>
      <c r="Y117" s="150" t="e">
        <f t="shared" si="201"/>
        <v>#DIV/0!</v>
      </c>
      <c r="Z117" s="150" t="e">
        <f t="shared" si="202"/>
        <v>#DIV/0!</v>
      </c>
      <c r="BN117" s="114"/>
      <c r="BO117" s="114"/>
      <c r="BP117" s="114"/>
      <c r="BQ117" s="114"/>
      <c r="BR117" s="114"/>
      <c r="BS117" s="114"/>
    </row>
    <row r="118" spans="15:71" x14ac:dyDescent="0.25">
      <c r="O118" s="156">
        <v>3.8</v>
      </c>
      <c r="P118" s="111" t="s">
        <v>101</v>
      </c>
      <c r="S118" s="156">
        <f>O104</f>
        <v>4.4000000000000004</v>
      </c>
      <c r="T118" s="111" t="s">
        <v>101</v>
      </c>
      <c r="Y118" s="150" t="e">
        <f t="shared" si="201"/>
        <v>#DIV/0!</v>
      </c>
      <c r="Z118" s="150" t="e">
        <f t="shared" si="202"/>
        <v>#DIV/0!</v>
      </c>
      <c r="BN118" s="114"/>
      <c r="BO118" s="114"/>
      <c r="BP118" s="114"/>
      <c r="BQ118" s="114"/>
      <c r="BR118" s="114"/>
      <c r="BS118" s="114"/>
    </row>
    <row r="119" spans="15:71" x14ac:dyDescent="0.25">
      <c r="O119" s="156">
        <v>4.5</v>
      </c>
      <c r="P119" s="111" t="s">
        <v>101</v>
      </c>
      <c r="S119" s="156">
        <f>O105</f>
        <v>3.9</v>
      </c>
      <c r="T119" s="111" t="s">
        <v>101</v>
      </c>
      <c r="Y119" s="150" t="e">
        <f t="shared" si="201"/>
        <v>#DIV/0!</v>
      </c>
      <c r="Z119" s="150" t="e">
        <f t="shared" si="202"/>
        <v>#DIV/0!</v>
      </c>
      <c r="BN119" s="114"/>
      <c r="BO119" s="114"/>
      <c r="BP119" s="114"/>
      <c r="BQ119" s="114"/>
      <c r="BR119" s="114"/>
      <c r="BS119" s="114"/>
    </row>
    <row r="120" spans="15:71" x14ac:dyDescent="0.25">
      <c r="O120" s="156">
        <v>0.45</v>
      </c>
      <c r="P120" s="111" t="s">
        <v>101</v>
      </c>
      <c r="S120" s="156">
        <f>O107</f>
        <v>0.5</v>
      </c>
      <c r="T120" s="111" t="s">
        <v>101</v>
      </c>
      <c r="Y120" s="150" t="e">
        <f t="shared" si="201"/>
        <v>#DIV/0!</v>
      </c>
      <c r="Z120" s="150" t="e">
        <f t="shared" si="202"/>
        <v>#DIV/0!</v>
      </c>
      <c r="BN120" s="114"/>
      <c r="BO120" s="114"/>
      <c r="BP120" s="114"/>
      <c r="BQ120" s="114"/>
      <c r="BR120" s="114"/>
      <c r="BS120" s="114"/>
    </row>
    <row r="121" spans="15:71" x14ac:dyDescent="0.25">
      <c r="O121" s="156"/>
      <c r="S121" s="156"/>
      <c r="BN121" s="114"/>
      <c r="BO121" s="114"/>
      <c r="BP121" s="114"/>
      <c r="BQ121" s="114"/>
      <c r="BR121" s="114"/>
      <c r="BS121" s="114"/>
    </row>
    <row r="122" spans="15:71" x14ac:dyDescent="0.25">
      <c r="O122" s="156">
        <f>+O118*O119*O120</f>
        <v>7.6949999999999994</v>
      </c>
      <c r="P122" s="111" t="s">
        <v>746</v>
      </c>
      <c r="S122" s="156">
        <f>+S118*S119*S120</f>
        <v>8.58</v>
      </c>
      <c r="T122" s="111" t="s">
        <v>746</v>
      </c>
      <c r="BN122" s="114"/>
      <c r="BO122" s="114"/>
      <c r="BP122" s="114"/>
      <c r="BQ122" s="114"/>
      <c r="BR122" s="114"/>
      <c r="BS122" s="114"/>
    </row>
    <row r="123" spans="15:71" x14ac:dyDescent="0.25">
      <c r="O123" s="156"/>
      <c r="Q123" s="111" t="s">
        <v>755</v>
      </c>
      <c r="S123" s="156"/>
    </row>
    <row r="124" spans="15:71" x14ac:dyDescent="0.25">
      <c r="O124" s="156"/>
      <c r="Q124" s="156">
        <f>+O122-S122</f>
        <v>-0.88500000000000068</v>
      </c>
      <c r="S124" s="156"/>
    </row>
    <row r="125" spans="15:71" x14ac:dyDescent="0.25">
      <c r="O125" s="156"/>
      <c r="S125" s="156"/>
    </row>
    <row r="126" spans="15:71" x14ac:dyDescent="0.25">
      <c r="O126" s="156">
        <f>+O119/O118</f>
        <v>1.1842105263157896</v>
      </c>
      <c r="S126" s="156">
        <f>+S119/S118</f>
        <v>0.88636363636363624</v>
      </c>
    </row>
  </sheetData>
  <autoFilter ref="M12:AJ44" xr:uid="{D1D56981-557D-4503-A1AE-01A2128356F2}">
    <sortState xmlns:xlrd2="http://schemas.microsoft.com/office/spreadsheetml/2017/richdata2" ref="M46:AJ46">
      <sortCondition ref="Y12:Y44"/>
    </sortState>
  </autoFilter>
  <mergeCells count="434">
    <mergeCell ref="CW23:CW24"/>
    <mergeCell ref="CW25:CW26"/>
    <mergeCell ref="CW27:CW28"/>
    <mergeCell ref="CW29:CW30"/>
    <mergeCell ref="CW43:CW44"/>
    <mergeCell ref="CW31:CW32"/>
    <mergeCell ref="CW33:CW34"/>
    <mergeCell ref="CW35:CW36"/>
    <mergeCell ref="CW37:CW38"/>
    <mergeCell ref="CW39:CW40"/>
    <mergeCell ref="CW41:CW42"/>
    <mergeCell ref="CW10:CW12"/>
    <mergeCell ref="CX10:CX12"/>
    <mergeCell ref="DA10:DA12"/>
    <mergeCell ref="DB10:DB12"/>
    <mergeCell ref="CW13:CW14"/>
    <mergeCell ref="CW15:CW16"/>
    <mergeCell ref="CW17:CW18"/>
    <mergeCell ref="CW19:CW20"/>
    <mergeCell ref="CW21:CW22"/>
    <mergeCell ref="M81:M82"/>
    <mergeCell ref="Y81:Y82"/>
    <mergeCell ref="AE81:AF81"/>
    <mergeCell ref="AN81:AN82"/>
    <mergeCell ref="AZ81:AZ82"/>
    <mergeCell ref="BL81:BL82"/>
    <mergeCell ref="CJ81:CJ82"/>
    <mergeCell ref="AE82:AF82"/>
    <mergeCell ref="N86:S86"/>
    <mergeCell ref="T86:V88"/>
    <mergeCell ref="N87:S87"/>
    <mergeCell ref="N88:N89"/>
    <mergeCell ref="O88:O89"/>
    <mergeCell ref="P88:S88"/>
    <mergeCell ref="M77:M78"/>
    <mergeCell ref="Y77:Y78"/>
    <mergeCell ref="AE77:AF77"/>
    <mergeCell ref="AN77:AN78"/>
    <mergeCell ref="AZ77:AZ78"/>
    <mergeCell ref="BL77:BL78"/>
    <mergeCell ref="CJ77:CJ78"/>
    <mergeCell ref="AE78:AF78"/>
    <mergeCell ref="M79:M80"/>
    <mergeCell ref="Y79:Y80"/>
    <mergeCell ref="AE79:AF79"/>
    <mergeCell ref="AN79:AN80"/>
    <mergeCell ref="AZ79:AZ80"/>
    <mergeCell ref="BL79:BL80"/>
    <mergeCell ref="CJ79:CJ80"/>
    <mergeCell ref="AE80:AF80"/>
    <mergeCell ref="M73:M74"/>
    <mergeCell ref="Y73:Y74"/>
    <mergeCell ref="AE73:AF73"/>
    <mergeCell ref="AN73:AN74"/>
    <mergeCell ref="AZ73:AZ74"/>
    <mergeCell ref="BL73:BL74"/>
    <mergeCell ref="CJ73:CJ74"/>
    <mergeCell ref="AE74:AF74"/>
    <mergeCell ref="M75:M76"/>
    <mergeCell ref="Y75:Y76"/>
    <mergeCell ref="AE75:AF75"/>
    <mergeCell ref="AN75:AN76"/>
    <mergeCell ref="AZ75:AZ76"/>
    <mergeCell ref="BL75:BL76"/>
    <mergeCell ref="CJ75:CJ76"/>
    <mergeCell ref="AE76:AF76"/>
    <mergeCell ref="M69:M70"/>
    <mergeCell ref="Y69:Y70"/>
    <mergeCell ref="AE69:AF69"/>
    <mergeCell ref="AN69:AN70"/>
    <mergeCell ref="AZ69:AZ70"/>
    <mergeCell ref="BL69:BL70"/>
    <mergeCell ref="CJ69:CJ70"/>
    <mergeCell ref="B70:K71"/>
    <mergeCell ref="AE70:AF70"/>
    <mergeCell ref="M71:M72"/>
    <mergeCell ref="Y71:Y72"/>
    <mergeCell ref="AE71:AF71"/>
    <mergeCell ref="AN71:AN72"/>
    <mergeCell ref="AZ71:AZ72"/>
    <mergeCell ref="BL71:BL72"/>
    <mergeCell ref="CJ71:CJ72"/>
    <mergeCell ref="AE72:AF72"/>
    <mergeCell ref="M65:M66"/>
    <mergeCell ref="Y65:Y66"/>
    <mergeCell ref="AE65:AF65"/>
    <mergeCell ref="AN65:AN66"/>
    <mergeCell ref="AZ65:AZ66"/>
    <mergeCell ref="BL65:BL66"/>
    <mergeCell ref="CJ65:CJ66"/>
    <mergeCell ref="AE66:AF66"/>
    <mergeCell ref="M67:M68"/>
    <mergeCell ref="Y67:Y68"/>
    <mergeCell ref="AE67:AF67"/>
    <mergeCell ref="AN67:AN68"/>
    <mergeCell ref="AZ67:AZ68"/>
    <mergeCell ref="BL67:BL68"/>
    <mergeCell ref="CJ67:CJ68"/>
    <mergeCell ref="AE68:AF68"/>
    <mergeCell ref="M61:M62"/>
    <mergeCell ref="Y61:Y62"/>
    <mergeCell ref="AE61:AF61"/>
    <mergeCell ref="AN61:AN62"/>
    <mergeCell ref="AZ61:AZ62"/>
    <mergeCell ref="BL61:BL62"/>
    <mergeCell ref="CJ61:CJ62"/>
    <mergeCell ref="AE62:AF62"/>
    <mergeCell ref="M63:M64"/>
    <mergeCell ref="Y63:Y64"/>
    <mergeCell ref="AE63:AF63"/>
    <mergeCell ref="AN63:AN64"/>
    <mergeCell ref="AZ63:AZ64"/>
    <mergeCell ref="BL63:BL64"/>
    <mergeCell ref="CJ63:CJ64"/>
    <mergeCell ref="AE64:AF64"/>
    <mergeCell ref="M57:M58"/>
    <mergeCell ref="Y57:Y58"/>
    <mergeCell ref="AE57:AF57"/>
    <mergeCell ref="AN57:AN58"/>
    <mergeCell ref="AZ57:AZ58"/>
    <mergeCell ref="BL57:BL58"/>
    <mergeCell ref="CJ57:CJ58"/>
    <mergeCell ref="AE58:AF58"/>
    <mergeCell ref="M59:M60"/>
    <mergeCell ref="Y59:Y60"/>
    <mergeCell ref="AE59:AF59"/>
    <mergeCell ref="AN59:AN60"/>
    <mergeCell ref="AZ59:AZ60"/>
    <mergeCell ref="BL59:BL60"/>
    <mergeCell ref="CJ59:CJ60"/>
    <mergeCell ref="AE60:AF60"/>
    <mergeCell ref="M53:M54"/>
    <mergeCell ref="Y53:Y54"/>
    <mergeCell ref="AE53:AF53"/>
    <mergeCell ref="AN53:AN54"/>
    <mergeCell ref="AZ53:AZ54"/>
    <mergeCell ref="BL53:BL54"/>
    <mergeCell ref="CJ53:CJ54"/>
    <mergeCell ref="AE54:AF54"/>
    <mergeCell ref="M55:M56"/>
    <mergeCell ref="Y55:Y56"/>
    <mergeCell ref="AE55:AF55"/>
    <mergeCell ref="AN55:AN56"/>
    <mergeCell ref="AZ55:AZ56"/>
    <mergeCell ref="BL55:BL56"/>
    <mergeCell ref="CJ55:CJ56"/>
    <mergeCell ref="AE56:AF56"/>
    <mergeCell ref="BC49:BC50"/>
    <mergeCell ref="CM49:CM50"/>
    <mergeCell ref="M51:M52"/>
    <mergeCell ref="Y51:Y52"/>
    <mergeCell ref="AE51:AF51"/>
    <mergeCell ref="AN51:AN52"/>
    <mergeCell ref="AZ51:AZ52"/>
    <mergeCell ref="BL51:BL52"/>
    <mergeCell ref="CJ51:CJ52"/>
    <mergeCell ref="AE52:AF52"/>
    <mergeCell ref="BJ49:BJ50"/>
    <mergeCell ref="CK47:CM47"/>
    <mergeCell ref="BU48:BW48"/>
    <mergeCell ref="CK48:CM48"/>
    <mergeCell ref="BF49:BF50"/>
    <mergeCell ref="BH49:BH50"/>
    <mergeCell ref="AG48:AH48"/>
    <mergeCell ref="AI48:AJ48"/>
    <mergeCell ref="AO48:AS48"/>
    <mergeCell ref="AT48:AX48"/>
    <mergeCell ref="BA48:BJ48"/>
    <mergeCell ref="BM48:BT48"/>
    <mergeCell ref="AZ47:AZ50"/>
    <mergeCell ref="BA47:BJ47"/>
    <mergeCell ref="BL47:BL50"/>
    <mergeCell ref="BM47:BW47"/>
    <mergeCell ref="BE49:BE50"/>
    <mergeCell ref="AH49:AH50"/>
    <mergeCell ref="BM49:BM50"/>
    <mergeCell ref="BQ49:BQ50"/>
    <mergeCell ref="BR49:BR50"/>
    <mergeCell ref="BU49:BU50"/>
    <mergeCell ref="BV49:BW50"/>
    <mergeCell ref="AJ49:AJ50"/>
    <mergeCell ref="AS49:AS50"/>
    <mergeCell ref="M43:M44"/>
    <mergeCell ref="Y43:Y44"/>
    <mergeCell ref="AN43:AN44"/>
    <mergeCell ref="AZ43:AZ44"/>
    <mergeCell ref="BL43:BL44"/>
    <mergeCell ref="BX43:BX44"/>
    <mergeCell ref="CE43:CI44"/>
    <mergeCell ref="CJ43:CJ44"/>
    <mergeCell ref="M47:M50"/>
    <mergeCell ref="N47:P48"/>
    <mergeCell ref="Q47:V48"/>
    <mergeCell ref="W47:X48"/>
    <mergeCell ref="Y47:Y50"/>
    <mergeCell ref="Z47:AF48"/>
    <mergeCell ref="AG47:AJ47"/>
    <mergeCell ref="AN47:AN50"/>
    <mergeCell ref="CJ47:CJ50"/>
    <mergeCell ref="Q49:Q50"/>
    <mergeCell ref="R49:R50"/>
    <mergeCell ref="S49:S50"/>
    <mergeCell ref="AD49:AD50"/>
    <mergeCell ref="AE49:AF50"/>
    <mergeCell ref="AT49:AT50"/>
    <mergeCell ref="AV49:AV50"/>
    <mergeCell ref="M41:M42"/>
    <mergeCell ref="Y41:Y42"/>
    <mergeCell ref="AN41:AN42"/>
    <mergeCell ref="AZ41:AZ42"/>
    <mergeCell ref="BL41:BL42"/>
    <mergeCell ref="BX41:BX42"/>
    <mergeCell ref="CJ41:CJ42"/>
    <mergeCell ref="M39:M40"/>
    <mergeCell ref="Y39:Y40"/>
    <mergeCell ref="BX37:BX38"/>
    <mergeCell ref="CJ37:CJ38"/>
    <mergeCell ref="M35:M36"/>
    <mergeCell ref="Y35:Y36"/>
    <mergeCell ref="AN35:AN36"/>
    <mergeCell ref="AZ35:AZ36"/>
    <mergeCell ref="BL35:BL36"/>
    <mergeCell ref="BX35:BX36"/>
    <mergeCell ref="AN39:AN40"/>
    <mergeCell ref="AZ39:AZ40"/>
    <mergeCell ref="BL39:BL40"/>
    <mergeCell ref="BX39:BX40"/>
    <mergeCell ref="CJ35:CJ36"/>
    <mergeCell ref="M37:M38"/>
    <mergeCell ref="Y37:Y38"/>
    <mergeCell ref="AN37:AN38"/>
    <mergeCell ref="AZ37:AZ38"/>
    <mergeCell ref="BL37:BL38"/>
    <mergeCell ref="CJ39:CJ40"/>
    <mergeCell ref="CJ31:CJ32"/>
    <mergeCell ref="M25:M26"/>
    <mergeCell ref="Y25:Y26"/>
    <mergeCell ref="AN25:AN26"/>
    <mergeCell ref="AZ25:AZ26"/>
    <mergeCell ref="BL25:BL26"/>
    <mergeCell ref="BX25:BX26"/>
    <mergeCell ref="CJ25:CJ26"/>
    <mergeCell ref="M33:M34"/>
    <mergeCell ref="Y33:Y34"/>
    <mergeCell ref="AN33:AN34"/>
    <mergeCell ref="AZ33:AZ34"/>
    <mergeCell ref="BL33:BL34"/>
    <mergeCell ref="BX33:BX34"/>
    <mergeCell ref="CJ33:CJ34"/>
    <mergeCell ref="M31:M32"/>
    <mergeCell ref="Y31:Y32"/>
    <mergeCell ref="AN31:AN32"/>
    <mergeCell ref="AZ31:AZ32"/>
    <mergeCell ref="BL31:BL32"/>
    <mergeCell ref="BX31:BX32"/>
    <mergeCell ref="BX29:BX30"/>
    <mergeCell ref="CJ29:CJ30"/>
    <mergeCell ref="M27:M28"/>
    <mergeCell ref="Y27:Y28"/>
    <mergeCell ref="AN27:AN28"/>
    <mergeCell ref="AZ27:AZ28"/>
    <mergeCell ref="BL27:BL28"/>
    <mergeCell ref="BX27:BX28"/>
    <mergeCell ref="CJ27:CJ28"/>
    <mergeCell ref="M29:M30"/>
    <mergeCell ref="Y29:Y30"/>
    <mergeCell ref="AN29:AN30"/>
    <mergeCell ref="AZ29:AZ30"/>
    <mergeCell ref="BL29:BL30"/>
    <mergeCell ref="M21:M22"/>
    <mergeCell ref="Y21:Y22"/>
    <mergeCell ref="AN21:AN22"/>
    <mergeCell ref="AZ21:AZ22"/>
    <mergeCell ref="BL21:BL22"/>
    <mergeCell ref="BX21:BX22"/>
    <mergeCell ref="CJ21:CJ22"/>
    <mergeCell ref="Y23:Y24"/>
    <mergeCell ref="AN23:AN24"/>
    <mergeCell ref="AZ23:AZ24"/>
    <mergeCell ref="BL23:BL24"/>
    <mergeCell ref="BX23:BX24"/>
    <mergeCell ref="CE23:CH24"/>
    <mergeCell ref="CJ23:CJ24"/>
    <mergeCell ref="M23:M24"/>
    <mergeCell ref="M19:M20"/>
    <mergeCell ref="Y19:Y20"/>
    <mergeCell ref="AN19:AN20"/>
    <mergeCell ref="AZ19:AZ20"/>
    <mergeCell ref="BL19:BL20"/>
    <mergeCell ref="BX19:BX20"/>
    <mergeCell ref="CJ19:CJ20"/>
    <mergeCell ref="M17:M18"/>
    <mergeCell ref="Y17:Y18"/>
    <mergeCell ref="M15:M16"/>
    <mergeCell ref="Y15:Y16"/>
    <mergeCell ref="AN15:AN16"/>
    <mergeCell ref="AZ15:AZ16"/>
    <mergeCell ref="BL15:BL16"/>
    <mergeCell ref="BX15:BX16"/>
    <mergeCell ref="CJ15:CJ16"/>
    <mergeCell ref="AN17:AN18"/>
    <mergeCell ref="AZ17:AZ18"/>
    <mergeCell ref="BL17:BL18"/>
    <mergeCell ref="BX17:BX18"/>
    <mergeCell ref="CJ17:CJ18"/>
    <mergeCell ref="CA11:CA12"/>
    <mergeCell ref="CQ11:CQ12"/>
    <mergeCell ref="CR11:CS12"/>
    <mergeCell ref="CN10:CN11"/>
    <mergeCell ref="CO10:CO12"/>
    <mergeCell ref="CP10:CS10"/>
    <mergeCell ref="CB10:CB11"/>
    <mergeCell ref="M13:M14"/>
    <mergeCell ref="Y13:Y14"/>
    <mergeCell ref="AN13:AN14"/>
    <mergeCell ref="AZ13:AZ14"/>
    <mergeCell ref="BL13:BL14"/>
    <mergeCell ref="BX13:BX14"/>
    <mergeCell ref="CJ13:CJ14"/>
    <mergeCell ref="BY9:CC9"/>
    <mergeCell ref="CJ9:CJ12"/>
    <mergeCell ref="CK9:CS9"/>
    <mergeCell ref="CC10:CC12"/>
    <mergeCell ref="CK10:CK11"/>
    <mergeCell ref="CL10:CL11"/>
    <mergeCell ref="CM10:CM11"/>
    <mergeCell ref="M10:M12"/>
    <mergeCell ref="N10:N12"/>
    <mergeCell ref="O10:O12"/>
    <mergeCell ref="P10:T10"/>
    <mergeCell ref="U10:V10"/>
    <mergeCell ref="Y10:Y12"/>
    <mergeCell ref="Z10:AC10"/>
    <mergeCell ref="AD10:AG10"/>
    <mergeCell ref="AH10:AH12"/>
    <mergeCell ref="BE11:BE12"/>
    <mergeCell ref="AI10:AJ11"/>
    <mergeCell ref="BA10:BJ10"/>
    <mergeCell ref="BM10:BP10"/>
    <mergeCell ref="BQ10:BV10"/>
    <mergeCell ref="BY10:CA10"/>
    <mergeCell ref="BF11:BF12"/>
    <mergeCell ref="BH11:BH12"/>
    <mergeCell ref="V6:X8"/>
    <mergeCell ref="AN9:AN12"/>
    <mergeCell ref="AO9:AT10"/>
    <mergeCell ref="AU9:AY10"/>
    <mergeCell ref="AZ9:AZ12"/>
    <mergeCell ref="BA9:BJ9"/>
    <mergeCell ref="BL9:BL12"/>
    <mergeCell ref="BM9:BV9"/>
    <mergeCell ref="BX9:BX12"/>
    <mergeCell ref="BJ11:BJ12"/>
    <mergeCell ref="BQ11:BQ12"/>
    <mergeCell ref="AF11:AF12"/>
    <mergeCell ref="AG11:AG12"/>
    <mergeCell ref="AS11:AS12"/>
    <mergeCell ref="AT11:AT12"/>
    <mergeCell ref="AY11:AY12"/>
    <mergeCell ref="BC11:BC12"/>
    <mergeCell ref="BR11:BS12"/>
    <mergeCell ref="BV11:BV12"/>
    <mergeCell ref="CG1:CI1"/>
    <mergeCell ref="CJ1:CL4"/>
    <mergeCell ref="CM1:CM2"/>
    <mergeCell ref="CG2:CI2"/>
    <mergeCell ref="CA3:CA4"/>
    <mergeCell ref="CB3:CE4"/>
    <mergeCell ref="CG3:CI3"/>
    <mergeCell ref="CN1:CQ2"/>
    <mergeCell ref="CS1:CU1"/>
    <mergeCell ref="CS2:CU2"/>
    <mergeCell ref="CM3:CM4"/>
    <mergeCell ref="CN3:CQ4"/>
    <mergeCell ref="CS3:CU3"/>
    <mergeCell ref="CG4:CI4"/>
    <mergeCell ref="CS4:CU4"/>
    <mergeCell ref="BL1:BN4"/>
    <mergeCell ref="BO1:BO2"/>
    <mergeCell ref="BP1:BS2"/>
    <mergeCell ref="BU1:BW1"/>
    <mergeCell ref="BI2:BK2"/>
    <mergeCell ref="BU2:BW2"/>
    <mergeCell ref="BX1:BZ4"/>
    <mergeCell ref="CA1:CA2"/>
    <mergeCell ref="CB1:CE2"/>
    <mergeCell ref="BP3:BS4"/>
    <mergeCell ref="BU3:BW3"/>
    <mergeCell ref="BI4:BK4"/>
    <mergeCell ref="BU4:BW4"/>
    <mergeCell ref="BI3:BK3"/>
    <mergeCell ref="BO3:BO4"/>
    <mergeCell ref="AW1:AY1"/>
    <mergeCell ref="AZ1:BB4"/>
    <mergeCell ref="BC1:BC2"/>
    <mergeCell ref="AW2:AY2"/>
    <mergeCell ref="AQ3:AQ4"/>
    <mergeCell ref="AR3:AU4"/>
    <mergeCell ref="AW3:AY3"/>
    <mergeCell ref="BD1:BG2"/>
    <mergeCell ref="BI1:BK1"/>
    <mergeCell ref="AQ1:AQ2"/>
    <mergeCell ref="AW4:AY4"/>
    <mergeCell ref="BC3:BC4"/>
    <mergeCell ref="BD3:BG4"/>
    <mergeCell ref="Q1:T2"/>
    <mergeCell ref="V1:X1"/>
    <mergeCell ref="Y1:AA4"/>
    <mergeCell ref="AB1:AB2"/>
    <mergeCell ref="AC1:AF2"/>
    <mergeCell ref="AH1:AJ1"/>
    <mergeCell ref="V2:X2"/>
    <mergeCell ref="AH2:AJ2"/>
    <mergeCell ref="AR1:AU2"/>
    <mergeCell ref="Q3:T4"/>
    <mergeCell ref="V3:X3"/>
    <mergeCell ref="AB3:AB4"/>
    <mergeCell ref="AC3:AF4"/>
    <mergeCell ref="AH3:AJ3"/>
    <mergeCell ref="AN1:AP4"/>
    <mergeCell ref="V4:X4"/>
    <mergeCell ref="AH4:AJ4"/>
    <mergeCell ref="A1:C4"/>
    <mergeCell ref="D1:D2"/>
    <mergeCell ref="E1:H2"/>
    <mergeCell ref="J1:L1"/>
    <mergeCell ref="M1:O4"/>
    <mergeCell ref="P1:P2"/>
    <mergeCell ref="J2:L2"/>
    <mergeCell ref="D3:D4"/>
    <mergeCell ref="E3:H4"/>
    <mergeCell ref="J3:L3"/>
    <mergeCell ref="P3:P4"/>
    <mergeCell ref="J4:L4"/>
  </mergeCells>
  <phoneticPr fontId="3" type="noConversion"/>
  <conditionalFormatting sqref="Y89:Z120">
    <cfRule type="cellIs" dxfId="159" priority="49" operator="between">
      <formula>$T$6</formula>
      <formula>0</formula>
    </cfRule>
    <cfRule type="cellIs" dxfId="158" priority="47" operator="lessThan">
      <formula>0</formula>
    </cfRule>
    <cfRule type="cellIs" dxfId="157" priority="48" operator="greaterThan">
      <formula>$T$6</formula>
    </cfRule>
  </conditionalFormatting>
  <conditionalFormatting sqref="Z51:AC82">
    <cfRule type="cellIs" dxfId="156" priority="7" operator="lessThan">
      <formula>0</formula>
    </cfRule>
    <cfRule type="cellIs" dxfId="155" priority="8" operator="greaterThan">
      <formula>$T$6</formula>
    </cfRule>
    <cfRule type="cellIs" dxfId="154" priority="9" operator="between">
      <formula>$T$6</formula>
      <formula>0</formula>
    </cfRule>
  </conditionalFormatting>
  <conditionalFormatting sqref="AD51:AD82">
    <cfRule type="cellIs" dxfId="153" priority="70" operator="greaterThan">
      <formula>1</formula>
    </cfRule>
    <cfRule type="cellIs" dxfId="152" priority="69" operator="lessThan">
      <formula>1</formula>
    </cfRule>
  </conditionalFormatting>
  <conditionalFormatting sqref="AF13:AG36">
    <cfRule type="cellIs" dxfId="151" priority="30" operator="equal">
      <formula>"OK"</formula>
    </cfRule>
    <cfRule type="cellIs" dxfId="150" priority="29" operator="equal">
      <formula>"N/C"</formula>
    </cfRule>
  </conditionalFormatting>
  <conditionalFormatting sqref="AF39:AG44">
    <cfRule type="cellIs" dxfId="149" priority="6" operator="equal">
      <formula>"OK"</formula>
    </cfRule>
    <cfRule type="cellIs" dxfId="148" priority="5" operator="equal">
      <formula>"N/C"</formula>
    </cfRule>
  </conditionalFormatting>
  <conditionalFormatting sqref="AJ51:AM76 AH51:AH82 AJ77:AJ82">
    <cfRule type="cellIs" dxfId="147" priority="67" operator="lessThan">
      <formula>2</formula>
    </cfRule>
    <cfRule type="cellIs" dxfId="146" priority="68" operator="greaterThan">
      <formula>2</formula>
    </cfRule>
  </conditionalFormatting>
  <conditionalFormatting sqref="AK13:AK36">
    <cfRule type="cellIs" dxfId="145" priority="12" operator="lessThan">
      <formula>1</formula>
    </cfRule>
    <cfRule type="cellIs" dxfId="144" priority="13" operator="greaterThan">
      <formula>1</formula>
    </cfRule>
  </conditionalFormatting>
  <conditionalFormatting sqref="AK39:AK44">
    <cfRule type="cellIs" dxfId="143" priority="3" operator="lessThan">
      <formula>1</formula>
    </cfRule>
    <cfRule type="cellIs" dxfId="142" priority="4" operator="greaterThan">
      <formula>1</formula>
    </cfRule>
  </conditionalFormatting>
  <conditionalFormatting sqref="AL13:AM36">
    <cfRule type="cellIs" dxfId="141" priority="11" operator="greaterThan">
      <formula>2</formula>
    </cfRule>
    <cfRule type="cellIs" dxfId="140" priority="10" operator="lessThan">
      <formula>2</formula>
    </cfRule>
  </conditionalFormatting>
  <conditionalFormatting sqref="AL39:AM44">
    <cfRule type="cellIs" dxfId="139" priority="2" operator="greaterThan">
      <formula>2</formula>
    </cfRule>
    <cfRule type="cellIs" dxfId="138" priority="1" operator="lessThan">
      <formula>2</formula>
    </cfRule>
  </conditionalFormatting>
  <conditionalFormatting sqref="AS13:AS36">
    <cfRule type="cellIs" dxfId="137" priority="60" operator="equal">
      <formula>"N/C"</formula>
    </cfRule>
    <cfRule type="cellIs" dxfId="136" priority="61" operator="equal">
      <formula>"OK"</formula>
    </cfRule>
  </conditionalFormatting>
  <conditionalFormatting sqref="AS51:AS76">
    <cfRule type="cellIs" dxfId="135" priority="58" operator="equal">
      <formula>"N/C"</formula>
    </cfRule>
    <cfRule type="cellIs" dxfId="134" priority="59" operator="equal">
      <formula>"OK"</formula>
    </cfRule>
  </conditionalFormatting>
  <conditionalFormatting sqref="AT13:AT36">
    <cfRule type="cellIs" dxfId="133" priority="65" operator="equal">
      <formula>$U13</formula>
    </cfRule>
    <cfRule type="cellIs" dxfId="132" priority="66" operator="greaterThan">
      <formula>$U13</formula>
    </cfRule>
  </conditionalFormatting>
  <conditionalFormatting sqref="AY13:AY36">
    <cfRule type="cellIs" dxfId="131" priority="56" operator="equal">
      <formula>"N/C"</formula>
    </cfRule>
    <cfRule type="cellIs" dxfId="130" priority="57" operator="equal">
      <formula>"OK"</formula>
    </cfRule>
  </conditionalFormatting>
  <conditionalFormatting sqref="BH13:BH36">
    <cfRule type="cellIs" dxfId="129" priority="54" operator="equal">
      <formula>"N/C"</formula>
    </cfRule>
    <cfRule type="cellIs" dxfId="128" priority="55" operator="equal">
      <formula>"OK"</formula>
    </cfRule>
  </conditionalFormatting>
  <conditionalFormatting sqref="BH51:BH76">
    <cfRule type="cellIs" dxfId="127" priority="52" operator="equal">
      <formula>"N/C"</formula>
    </cfRule>
    <cfRule type="cellIs" dxfId="126" priority="53" operator="equal">
      <formula>"OK"</formula>
    </cfRule>
  </conditionalFormatting>
  <conditionalFormatting sqref="BV13:BV36">
    <cfRule type="cellIs" dxfId="125" priority="45" operator="equal">
      <formula>"N/C"</formula>
    </cfRule>
    <cfRule type="cellIs" dxfId="124" priority="46" operator="equal">
      <formula>"OK"</formula>
    </cfRule>
  </conditionalFormatting>
  <conditionalFormatting sqref="CC13:CC36">
    <cfRule type="cellIs" dxfId="123" priority="44" operator="equal">
      <formula>"OK"</formula>
    </cfRule>
    <cfRule type="cellIs" dxfId="122" priority="43" operator="equal">
      <formula>"N/C"</formula>
    </cfRule>
  </conditionalFormatting>
  <conditionalFormatting sqref="CM51:CM74">
    <cfRule type="cellIs" dxfId="121" priority="40" operator="equal">
      <formula>"OK"</formula>
    </cfRule>
    <cfRule type="cellIs" dxfId="120" priority="39" operator="equal">
      <formula>"N/C"</formula>
    </cfRule>
  </conditionalFormatting>
  <conditionalFormatting sqref="CM13:CN36">
    <cfRule type="cellIs" dxfId="119" priority="14" operator="lessThan">
      <formula>0</formula>
    </cfRule>
    <cfRule type="cellIs" dxfId="118" priority="16" operator="between">
      <formula>$T$6</formula>
      <formula>0</formula>
    </cfRule>
    <cfRule type="cellIs" dxfId="117" priority="15" operator="greaterThan">
      <formula>$T$6</formula>
    </cfRule>
  </conditionalFormatting>
  <conditionalFormatting sqref="CO13:CO36">
    <cfRule type="cellIs" dxfId="116" priority="42" operator="equal">
      <formula>"OK"</formula>
    </cfRule>
    <cfRule type="cellIs" dxfId="115" priority="41" operator="equal">
      <formula>"N/C"</formula>
    </cfRule>
  </conditionalFormatting>
  <dataValidations disablePrompts="1" count="5">
    <dataValidation type="list" allowBlank="1" showInputMessage="1" showErrorMessage="1" sqref="AU9:AU12 BE13:BE44 AU50 AU47:AU48 BW51:BW82 CS13:CS44 BS13:BS44 BE51:BE82" xr:uid="{C44695C6-C26E-407C-BF28-FC56F5362768}">
      <formula1>$N$91:$N$102</formula1>
    </dataValidation>
    <dataValidation type="list" allowBlank="1" showInputMessage="1" showErrorMessage="1" sqref="BQ51:BQ82" xr:uid="{1D037B8C-174B-47DA-BB8B-F945953B4890}">
      <formula1>"Empotrado, Articulado"</formula1>
    </dataValidation>
    <dataValidation type="list" allowBlank="1" showInputMessage="1" showErrorMessage="1" sqref="C43:C44 C13:C40 O13:O44" xr:uid="{E82FB910-75F9-41A5-9F2A-2E92050CEE21}">
      <formula1>"Central, Medianera, Esquinera"</formula1>
    </dataValidation>
    <dataValidation type="list" allowBlank="1" showInputMessage="1" showErrorMessage="1" sqref="AV51:AV82" xr:uid="{4EE912B2-281D-4DA2-8270-703A4BA77C44}">
      <formula1>"DES,DMO,DMI"</formula1>
    </dataValidation>
    <dataValidation type="list" allowBlank="1" showInputMessage="1" showErrorMessage="1" sqref="AH13:AH44" xr:uid="{4A565312-950F-4FCE-8082-08D9485789CA}">
      <formula1>"Central,L,B,Esquinera"</formula1>
    </dataValidation>
  </dataValidations>
  <printOptions horizontalCentered="1" verticalCentered="1"/>
  <pageMargins left="0.39370078740157483" right="0.39370078740157483" top="0.47244094488188981" bottom="0.47244094488188981" header="0.31496062992125984" footer="0.31496062992125984"/>
  <pageSetup scale="59" fitToWidth="0" orientation="portrait" r:id="rId1"/>
  <colBreaks count="7" manualBreakCount="7">
    <brk id="12" max="83" man="1"/>
    <brk id="24" max="83" man="1"/>
    <brk id="39" max="83" man="1"/>
    <brk id="51" max="1048575" man="1"/>
    <brk id="63" max="83" man="1"/>
    <brk id="75" max="83" man="1"/>
    <brk id="87" max="83" man="1"/>
  </col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7732-690C-4E9F-B5F1-F1C79193B174}">
  <sheetPr>
    <pageSetUpPr fitToPage="1"/>
  </sheetPr>
  <dimension ref="A1:DB126"/>
  <sheetViews>
    <sheetView view="pageBreakPreview" topLeftCell="J4" zoomScale="85" zoomScaleNormal="85" zoomScaleSheetLayoutView="85" workbookViewId="0">
      <selection activeCell="Y15" sqref="Y15:AC22"/>
    </sheetView>
  </sheetViews>
  <sheetFormatPr baseColWidth="10" defaultColWidth="11.140625" defaultRowHeight="15" x14ac:dyDescent="0.25"/>
  <cols>
    <col min="1" max="14" width="11.140625" style="111"/>
    <col min="15" max="87" width="11.140625" style="111" customWidth="1"/>
    <col min="88" max="104" width="11.140625" style="114"/>
    <col min="105" max="106" width="19.5703125" style="114" customWidth="1"/>
    <col min="107" max="16384" width="11.140625" style="114"/>
  </cols>
  <sheetData>
    <row r="1" spans="1:106" s="113" customFormat="1" ht="15" customHeight="1" x14ac:dyDescent="0.25">
      <c r="A1" s="320" t="s">
        <v>549</v>
      </c>
      <c r="B1" s="320"/>
      <c r="C1" s="320"/>
      <c r="D1" s="322" t="s">
        <v>0</v>
      </c>
      <c r="E1" s="322" t="str">
        <f>'9. REPORTE ETABS'!H1</f>
        <v>EDIFICACIÓN LOCALES COMERCIALES</v>
      </c>
      <c r="F1" s="322"/>
      <c r="G1" s="322"/>
      <c r="H1" s="322"/>
      <c r="I1" s="110" t="s">
        <v>2</v>
      </c>
      <c r="J1" s="323" t="str">
        <f>'9. REPORTE ETABS'!Q1</f>
        <v>Mayo de 2025</v>
      </c>
      <c r="K1" s="324"/>
      <c r="L1" s="324"/>
      <c r="M1" s="320" t="s">
        <v>549</v>
      </c>
      <c r="N1" s="320"/>
      <c r="O1" s="320"/>
      <c r="P1" s="322" t="s">
        <v>0</v>
      </c>
      <c r="Q1" s="322" t="str">
        <f>E1</f>
        <v>EDIFICACIÓN LOCALES COMERCIALES</v>
      </c>
      <c r="R1" s="322"/>
      <c r="S1" s="322"/>
      <c r="T1" s="322"/>
      <c r="U1" s="110" t="s">
        <v>2</v>
      </c>
      <c r="V1" s="323" t="str">
        <f>J1</f>
        <v>Mayo de 2025</v>
      </c>
      <c r="W1" s="324"/>
      <c r="X1" s="324"/>
      <c r="Y1" s="320" t="s">
        <v>549</v>
      </c>
      <c r="Z1" s="320"/>
      <c r="AA1" s="320"/>
      <c r="AB1" s="322" t="s">
        <v>0</v>
      </c>
      <c r="AC1" s="322" t="str">
        <f>Q1</f>
        <v>EDIFICACIÓN LOCALES COMERCIALES</v>
      </c>
      <c r="AD1" s="322"/>
      <c r="AE1" s="322"/>
      <c r="AF1" s="322"/>
      <c r="AG1" s="110" t="s">
        <v>2</v>
      </c>
      <c r="AH1" s="323" t="str">
        <f>V1</f>
        <v>Mayo de 2025</v>
      </c>
      <c r="AI1" s="324"/>
      <c r="AJ1" s="324"/>
      <c r="AK1" s="110"/>
      <c r="AL1" s="110"/>
      <c r="AM1" s="110"/>
      <c r="AN1" s="320" t="s">
        <v>549</v>
      </c>
      <c r="AO1" s="320"/>
      <c r="AP1" s="320"/>
      <c r="AQ1" s="322" t="s">
        <v>0</v>
      </c>
      <c r="AR1" s="322" t="str">
        <f>Q1</f>
        <v>EDIFICACIÓN LOCALES COMERCIALES</v>
      </c>
      <c r="AS1" s="322"/>
      <c r="AT1" s="322"/>
      <c r="AU1" s="322"/>
      <c r="AV1" s="110" t="s">
        <v>2</v>
      </c>
      <c r="AW1" s="323" t="str">
        <f>V1</f>
        <v>Mayo de 2025</v>
      </c>
      <c r="AX1" s="324"/>
      <c r="AY1" s="324"/>
      <c r="AZ1" s="320" t="s">
        <v>549</v>
      </c>
      <c r="BA1" s="320"/>
      <c r="BB1" s="320"/>
      <c r="BC1" s="322" t="s">
        <v>0</v>
      </c>
      <c r="BD1" s="322" t="str">
        <f>AC1</f>
        <v>EDIFICACIÓN LOCALES COMERCIALES</v>
      </c>
      <c r="BE1" s="322"/>
      <c r="BF1" s="322"/>
      <c r="BG1" s="322"/>
      <c r="BH1" s="110" t="s">
        <v>2</v>
      </c>
      <c r="BI1" s="323" t="str">
        <f>AH1</f>
        <v>Mayo de 2025</v>
      </c>
      <c r="BJ1" s="324"/>
      <c r="BK1" s="324"/>
      <c r="BL1" s="320" t="s">
        <v>632</v>
      </c>
      <c r="BM1" s="320"/>
      <c r="BN1" s="320"/>
      <c r="BO1" s="322" t="s">
        <v>0</v>
      </c>
      <c r="BP1" s="324" t="str">
        <f>BD1</f>
        <v>EDIFICACIÓN LOCALES COMERCIALES</v>
      </c>
      <c r="BQ1" s="324"/>
      <c r="BR1" s="324"/>
      <c r="BS1" s="324"/>
      <c r="BT1" s="110" t="s">
        <v>2</v>
      </c>
      <c r="BU1" s="323" t="str">
        <f>BI1</f>
        <v>Mayo de 2025</v>
      </c>
      <c r="BV1" s="324"/>
      <c r="BW1" s="324"/>
      <c r="BX1" s="320" t="s">
        <v>632</v>
      </c>
      <c r="BY1" s="320"/>
      <c r="BZ1" s="320"/>
      <c r="CA1" s="322" t="s">
        <v>0</v>
      </c>
      <c r="CB1" s="324" t="str">
        <f>BP1</f>
        <v>EDIFICACIÓN LOCALES COMERCIALES</v>
      </c>
      <c r="CC1" s="324"/>
      <c r="CD1" s="324"/>
      <c r="CE1" s="324"/>
      <c r="CF1" s="110" t="s">
        <v>2</v>
      </c>
      <c r="CG1" s="323" t="str">
        <f>BU1</f>
        <v>Mayo de 2025</v>
      </c>
      <c r="CH1" s="324"/>
      <c r="CI1" s="324"/>
      <c r="CJ1" s="327" t="s">
        <v>632</v>
      </c>
      <c r="CK1" s="320"/>
      <c r="CL1" s="320"/>
      <c r="CM1" s="322" t="s">
        <v>0</v>
      </c>
      <c r="CN1" s="324" t="str">
        <f>CB1</f>
        <v>EDIFICACIÓN LOCALES COMERCIALES</v>
      </c>
      <c r="CO1" s="324"/>
      <c r="CP1" s="324"/>
      <c r="CQ1" s="324"/>
      <c r="CR1" s="110" t="s">
        <v>2</v>
      </c>
      <c r="CS1" s="323" t="str">
        <f>CG1</f>
        <v>Mayo de 2025</v>
      </c>
      <c r="CT1" s="324"/>
      <c r="CU1" s="324"/>
    </row>
    <row r="2" spans="1:106" s="113" customFormat="1" ht="15" customHeight="1" x14ac:dyDescent="0.25">
      <c r="A2" s="320"/>
      <c r="B2" s="320"/>
      <c r="C2" s="320"/>
      <c r="D2" s="322"/>
      <c r="E2" s="322"/>
      <c r="F2" s="322"/>
      <c r="G2" s="322"/>
      <c r="H2" s="322"/>
      <c r="I2" s="109" t="s">
        <v>3</v>
      </c>
      <c r="J2" s="324" t="str">
        <f>'9. REPORTE ETABS'!Q2</f>
        <v xml:space="preserve"> </v>
      </c>
      <c r="K2" s="324"/>
      <c r="L2" s="324"/>
      <c r="M2" s="320"/>
      <c r="N2" s="320"/>
      <c r="O2" s="320"/>
      <c r="P2" s="322"/>
      <c r="Q2" s="322"/>
      <c r="R2" s="322"/>
      <c r="S2" s="322"/>
      <c r="T2" s="322"/>
      <c r="U2" s="109" t="s">
        <v>3</v>
      </c>
      <c r="V2" s="324" t="str">
        <f>J2</f>
        <v xml:space="preserve"> </v>
      </c>
      <c r="W2" s="324"/>
      <c r="X2" s="324"/>
      <c r="Y2" s="320"/>
      <c r="Z2" s="320"/>
      <c r="AA2" s="320"/>
      <c r="AB2" s="322"/>
      <c r="AC2" s="322"/>
      <c r="AD2" s="322"/>
      <c r="AE2" s="322"/>
      <c r="AF2" s="322"/>
      <c r="AG2" s="109" t="s">
        <v>3</v>
      </c>
      <c r="AH2" s="324" t="str">
        <f>V2</f>
        <v xml:space="preserve"> </v>
      </c>
      <c r="AI2" s="324"/>
      <c r="AJ2" s="324"/>
      <c r="AK2" s="110"/>
      <c r="AL2" s="110"/>
      <c r="AM2" s="110"/>
      <c r="AN2" s="320"/>
      <c r="AO2" s="320"/>
      <c r="AP2" s="320"/>
      <c r="AQ2" s="322"/>
      <c r="AR2" s="322"/>
      <c r="AS2" s="322"/>
      <c r="AT2" s="322"/>
      <c r="AU2" s="322"/>
      <c r="AV2" s="109" t="s">
        <v>3</v>
      </c>
      <c r="AW2" s="324" t="str">
        <f>V2</f>
        <v xml:space="preserve"> </v>
      </c>
      <c r="AX2" s="324"/>
      <c r="AY2" s="324"/>
      <c r="AZ2" s="320"/>
      <c r="BA2" s="320"/>
      <c r="BB2" s="320"/>
      <c r="BC2" s="322"/>
      <c r="BD2" s="322"/>
      <c r="BE2" s="322"/>
      <c r="BF2" s="322"/>
      <c r="BG2" s="322"/>
      <c r="BH2" s="109" t="s">
        <v>3</v>
      </c>
      <c r="BI2" s="324" t="str">
        <f>AH2</f>
        <v xml:space="preserve"> </v>
      </c>
      <c r="BJ2" s="324"/>
      <c r="BK2" s="324"/>
      <c r="BL2" s="320"/>
      <c r="BM2" s="320"/>
      <c r="BN2" s="320"/>
      <c r="BO2" s="322"/>
      <c r="BP2" s="324"/>
      <c r="BQ2" s="324"/>
      <c r="BR2" s="324"/>
      <c r="BS2" s="324"/>
      <c r="BT2" s="109" t="s">
        <v>3</v>
      </c>
      <c r="BU2" s="324" t="str">
        <f>BI2</f>
        <v xml:space="preserve"> </v>
      </c>
      <c r="BV2" s="324"/>
      <c r="BW2" s="324"/>
      <c r="BX2" s="320"/>
      <c r="BY2" s="320"/>
      <c r="BZ2" s="320"/>
      <c r="CA2" s="322"/>
      <c r="CB2" s="324"/>
      <c r="CC2" s="324"/>
      <c r="CD2" s="324"/>
      <c r="CE2" s="324"/>
      <c r="CF2" s="109" t="s">
        <v>3</v>
      </c>
      <c r="CG2" s="324" t="str">
        <f>BU2</f>
        <v xml:space="preserve"> </v>
      </c>
      <c r="CH2" s="324"/>
      <c r="CI2" s="324"/>
      <c r="CJ2" s="327"/>
      <c r="CK2" s="320"/>
      <c r="CL2" s="320"/>
      <c r="CM2" s="322"/>
      <c r="CN2" s="324"/>
      <c r="CO2" s="324"/>
      <c r="CP2" s="324"/>
      <c r="CQ2" s="324"/>
      <c r="CR2" s="109" t="s">
        <v>3</v>
      </c>
      <c r="CS2" s="324" t="str">
        <f>CG2</f>
        <v xml:space="preserve"> </v>
      </c>
      <c r="CT2" s="324"/>
      <c r="CU2" s="324"/>
    </row>
    <row r="3" spans="1:106" s="113" customFormat="1" ht="15" customHeight="1" x14ac:dyDescent="0.25">
      <c r="A3" s="321"/>
      <c r="B3" s="321"/>
      <c r="C3" s="321"/>
      <c r="D3" s="325" t="s">
        <v>1</v>
      </c>
      <c r="E3" s="326" t="str">
        <f>'9. REPORTE ETABS'!H3</f>
        <v>REPORTES DE DISEÑO</v>
      </c>
      <c r="F3" s="326"/>
      <c r="G3" s="326"/>
      <c r="H3" s="326"/>
      <c r="I3" s="115" t="s">
        <v>633</v>
      </c>
      <c r="J3" s="326">
        <v>1</v>
      </c>
      <c r="K3" s="326"/>
      <c r="L3" s="326"/>
      <c r="M3" s="321"/>
      <c r="N3" s="321"/>
      <c r="O3" s="321"/>
      <c r="P3" s="325" t="s">
        <v>1</v>
      </c>
      <c r="Q3" s="326" t="str">
        <f>E3</f>
        <v>REPORTES DE DISEÑO</v>
      </c>
      <c r="R3" s="326"/>
      <c r="S3" s="326"/>
      <c r="T3" s="326"/>
      <c r="U3" s="115" t="s">
        <v>633</v>
      </c>
      <c r="V3" s="326">
        <f>J3</f>
        <v>1</v>
      </c>
      <c r="W3" s="326"/>
      <c r="X3" s="326"/>
      <c r="Y3" s="321"/>
      <c r="Z3" s="321"/>
      <c r="AA3" s="321"/>
      <c r="AB3" s="325" t="s">
        <v>1</v>
      </c>
      <c r="AC3" s="326" t="str">
        <f>Q3</f>
        <v>REPORTES DE DISEÑO</v>
      </c>
      <c r="AD3" s="326"/>
      <c r="AE3" s="326"/>
      <c r="AF3" s="326"/>
      <c r="AG3" s="115" t="s">
        <v>633</v>
      </c>
      <c r="AH3" s="326">
        <f>V3</f>
        <v>1</v>
      </c>
      <c r="AI3" s="326"/>
      <c r="AJ3" s="326"/>
      <c r="AK3" s="115"/>
      <c r="AL3" s="115"/>
      <c r="AM3" s="115"/>
      <c r="AN3" s="321"/>
      <c r="AO3" s="321"/>
      <c r="AP3" s="321"/>
      <c r="AQ3" s="325" t="s">
        <v>1</v>
      </c>
      <c r="AR3" s="326" t="str">
        <f>Q3</f>
        <v>REPORTES DE DISEÑO</v>
      </c>
      <c r="AS3" s="326"/>
      <c r="AT3" s="326"/>
      <c r="AU3" s="326"/>
      <c r="AV3" s="115" t="s">
        <v>633</v>
      </c>
      <c r="AW3" s="326">
        <f>V3</f>
        <v>1</v>
      </c>
      <c r="AX3" s="326"/>
      <c r="AY3" s="326"/>
      <c r="AZ3" s="321"/>
      <c r="BA3" s="321"/>
      <c r="BB3" s="321"/>
      <c r="BC3" s="325" t="s">
        <v>1</v>
      </c>
      <c r="BD3" s="326" t="str">
        <f>AC3</f>
        <v>REPORTES DE DISEÑO</v>
      </c>
      <c r="BE3" s="326"/>
      <c r="BF3" s="326"/>
      <c r="BG3" s="326"/>
      <c r="BH3" s="115" t="s">
        <v>633</v>
      </c>
      <c r="BI3" s="326">
        <f>AH3</f>
        <v>1</v>
      </c>
      <c r="BJ3" s="326"/>
      <c r="BK3" s="326"/>
      <c r="BL3" s="321"/>
      <c r="BM3" s="321"/>
      <c r="BN3" s="321"/>
      <c r="BO3" s="325" t="s">
        <v>1</v>
      </c>
      <c r="BP3" s="326" t="str">
        <f>BD3</f>
        <v>REPORTES DE DISEÑO</v>
      </c>
      <c r="BQ3" s="326"/>
      <c r="BR3" s="326"/>
      <c r="BS3" s="326"/>
      <c r="BT3" s="115" t="s">
        <v>633</v>
      </c>
      <c r="BU3" s="326">
        <f>BI3</f>
        <v>1</v>
      </c>
      <c r="BV3" s="326"/>
      <c r="BW3" s="326"/>
      <c r="BX3" s="321"/>
      <c r="BY3" s="321"/>
      <c r="BZ3" s="321"/>
      <c r="CA3" s="325" t="s">
        <v>1</v>
      </c>
      <c r="CB3" s="326" t="str">
        <f>BP3</f>
        <v>REPORTES DE DISEÑO</v>
      </c>
      <c r="CC3" s="326"/>
      <c r="CD3" s="326"/>
      <c r="CE3" s="326"/>
      <c r="CF3" s="115" t="s">
        <v>633</v>
      </c>
      <c r="CG3" s="326">
        <f>BU3</f>
        <v>1</v>
      </c>
      <c r="CH3" s="326"/>
      <c r="CI3" s="326"/>
      <c r="CJ3" s="328"/>
      <c r="CK3" s="321"/>
      <c r="CL3" s="321"/>
      <c r="CM3" s="325" t="s">
        <v>1</v>
      </c>
      <c r="CN3" s="326" t="str">
        <f>CB3</f>
        <v>REPORTES DE DISEÑO</v>
      </c>
      <c r="CO3" s="326"/>
      <c r="CP3" s="326"/>
      <c r="CQ3" s="326"/>
      <c r="CR3" s="115" t="s">
        <v>633</v>
      </c>
      <c r="CS3" s="326">
        <f>CG3</f>
        <v>1</v>
      </c>
      <c r="CT3" s="326"/>
      <c r="CU3" s="326"/>
    </row>
    <row r="4" spans="1:106" s="113" customFormat="1" ht="15" customHeight="1" x14ac:dyDescent="0.25">
      <c r="A4" s="320"/>
      <c r="B4" s="320"/>
      <c r="C4" s="320"/>
      <c r="D4" s="322"/>
      <c r="E4" s="324"/>
      <c r="F4" s="324"/>
      <c r="G4" s="324"/>
      <c r="H4" s="324"/>
      <c r="I4" s="110" t="s">
        <v>4</v>
      </c>
      <c r="J4" s="324" t="str">
        <f>'9. REPORTE ETABS'!Q3</f>
        <v>R0</v>
      </c>
      <c r="K4" s="324"/>
      <c r="L4" s="324"/>
      <c r="M4" s="320"/>
      <c r="N4" s="320"/>
      <c r="O4" s="320"/>
      <c r="P4" s="322"/>
      <c r="Q4" s="324"/>
      <c r="R4" s="324"/>
      <c r="S4" s="324"/>
      <c r="T4" s="324"/>
      <c r="U4" s="110" t="s">
        <v>4</v>
      </c>
      <c r="V4" s="324" t="str">
        <f>J4</f>
        <v>R0</v>
      </c>
      <c r="W4" s="324"/>
      <c r="X4" s="324"/>
      <c r="Y4" s="320"/>
      <c r="Z4" s="320"/>
      <c r="AA4" s="320"/>
      <c r="AB4" s="322"/>
      <c r="AC4" s="324"/>
      <c r="AD4" s="324"/>
      <c r="AE4" s="324"/>
      <c r="AF4" s="324"/>
      <c r="AG4" s="110" t="s">
        <v>4</v>
      </c>
      <c r="AH4" s="324" t="str">
        <f>V4</f>
        <v>R0</v>
      </c>
      <c r="AI4" s="324"/>
      <c r="AJ4" s="324"/>
      <c r="AK4" s="110"/>
      <c r="AL4" s="110"/>
      <c r="AM4" s="110"/>
      <c r="AN4" s="320"/>
      <c r="AO4" s="320"/>
      <c r="AP4" s="320"/>
      <c r="AQ4" s="322"/>
      <c r="AR4" s="324"/>
      <c r="AS4" s="324"/>
      <c r="AT4" s="324"/>
      <c r="AU4" s="324"/>
      <c r="AV4" s="110" t="s">
        <v>4</v>
      </c>
      <c r="AW4" s="324" t="str">
        <f>V4</f>
        <v>R0</v>
      </c>
      <c r="AX4" s="324"/>
      <c r="AY4" s="324"/>
      <c r="AZ4" s="320"/>
      <c r="BA4" s="320"/>
      <c r="BB4" s="320"/>
      <c r="BC4" s="322"/>
      <c r="BD4" s="324"/>
      <c r="BE4" s="324"/>
      <c r="BF4" s="324"/>
      <c r="BG4" s="324"/>
      <c r="BH4" s="110" t="s">
        <v>4</v>
      </c>
      <c r="BI4" s="324" t="str">
        <f>AH4</f>
        <v>R0</v>
      </c>
      <c r="BJ4" s="324"/>
      <c r="BK4" s="324"/>
      <c r="BL4" s="320"/>
      <c r="BM4" s="320"/>
      <c r="BN4" s="320"/>
      <c r="BO4" s="322"/>
      <c r="BP4" s="324"/>
      <c r="BQ4" s="324"/>
      <c r="BR4" s="324"/>
      <c r="BS4" s="324"/>
      <c r="BT4" s="110" t="s">
        <v>4</v>
      </c>
      <c r="BU4" s="324" t="str">
        <f>BI4</f>
        <v>R0</v>
      </c>
      <c r="BV4" s="324"/>
      <c r="BW4" s="324"/>
      <c r="BX4" s="320"/>
      <c r="BY4" s="320"/>
      <c r="BZ4" s="320"/>
      <c r="CA4" s="322"/>
      <c r="CB4" s="324"/>
      <c r="CC4" s="324"/>
      <c r="CD4" s="324"/>
      <c r="CE4" s="324"/>
      <c r="CF4" s="110" t="s">
        <v>4</v>
      </c>
      <c r="CG4" s="324" t="str">
        <f>BU4</f>
        <v>R0</v>
      </c>
      <c r="CH4" s="324"/>
      <c r="CI4" s="324"/>
      <c r="CJ4" s="327"/>
      <c r="CK4" s="320"/>
      <c r="CL4" s="320"/>
      <c r="CM4" s="322"/>
      <c r="CN4" s="324"/>
      <c r="CO4" s="324"/>
      <c r="CP4" s="324"/>
      <c r="CQ4" s="324"/>
      <c r="CR4" s="110" t="s">
        <v>4</v>
      </c>
      <c r="CS4" s="324" t="str">
        <f>CG4</f>
        <v>R0</v>
      </c>
      <c r="CT4" s="324"/>
      <c r="CU4" s="324"/>
    </row>
    <row r="5" spans="1:106" ht="15" customHeight="1" x14ac:dyDescent="0.25">
      <c r="A5" s="116"/>
      <c r="B5" s="114"/>
      <c r="C5" s="114"/>
      <c r="D5" s="114"/>
      <c r="E5" s="114"/>
      <c r="F5" s="114"/>
      <c r="G5" s="114"/>
      <c r="H5" s="114"/>
      <c r="I5" s="114"/>
      <c r="J5" s="114"/>
      <c r="K5" s="114"/>
      <c r="L5" s="117"/>
      <c r="M5" s="118"/>
      <c r="N5" s="119"/>
      <c r="O5" s="119"/>
      <c r="P5" s="119"/>
      <c r="Q5" s="119"/>
      <c r="R5" s="119"/>
      <c r="S5" s="119"/>
      <c r="T5" s="119"/>
      <c r="U5" s="119"/>
      <c r="V5" s="119"/>
      <c r="W5" s="119"/>
      <c r="X5" s="120"/>
      <c r="Y5" s="121"/>
      <c r="AJ5" s="122"/>
      <c r="AN5" s="121"/>
      <c r="AY5" s="122"/>
      <c r="AZ5" s="121"/>
      <c r="BK5" s="122"/>
      <c r="BL5" s="121"/>
      <c r="BW5" s="122"/>
      <c r="BX5" s="116"/>
      <c r="BY5" s="114"/>
      <c r="BZ5" s="114"/>
      <c r="CA5" s="114"/>
      <c r="CB5" s="114"/>
      <c r="CC5" s="114"/>
      <c r="CD5" s="114"/>
      <c r="CE5" s="114"/>
      <c r="CF5" s="114"/>
      <c r="CG5" s="114"/>
      <c r="CH5" s="114"/>
      <c r="CI5" s="117"/>
      <c r="CU5" s="117"/>
    </row>
    <row r="6" spans="1:106" ht="15" customHeight="1" x14ac:dyDescent="0.25">
      <c r="A6" s="123"/>
      <c r="B6" s="124"/>
      <c r="C6" s="188"/>
      <c r="D6" s="124"/>
      <c r="E6" s="124"/>
      <c r="F6" s="124"/>
      <c r="G6" s="124"/>
      <c r="H6" s="125"/>
      <c r="I6" s="124"/>
      <c r="J6" s="124"/>
      <c r="K6" s="124"/>
      <c r="L6" s="126"/>
      <c r="M6" s="116"/>
      <c r="N6" s="114" t="s">
        <v>9</v>
      </c>
      <c r="O6" s="189">
        <v>28</v>
      </c>
      <c r="P6" s="114" t="s">
        <v>10</v>
      </c>
      <c r="Q6" s="114"/>
      <c r="R6" s="114"/>
      <c r="S6" s="190" t="s">
        <v>766</v>
      </c>
      <c r="T6" s="191">
        <f>10.61*9.81*1.33</f>
        <v>138.43185300000002</v>
      </c>
      <c r="U6" s="114" t="s">
        <v>634</v>
      </c>
      <c r="V6" s="329" t="s">
        <v>765</v>
      </c>
      <c r="W6" s="329"/>
      <c r="X6" s="330"/>
      <c r="Y6" s="121"/>
      <c r="AJ6" s="122"/>
      <c r="AK6" s="208">
        <f>MAX(AK13:AK44)</f>
        <v>0.93730672481429667</v>
      </c>
      <c r="AN6" s="121"/>
      <c r="AY6" s="122"/>
      <c r="AZ6" s="121"/>
      <c r="BK6" s="122"/>
      <c r="BL6" s="121"/>
      <c r="BW6" s="122"/>
      <c r="BX6" s="116"/>
      <c r="BY6" s="114"/>
      <c r="BZ6" s="114"/>
      <c r="CA6" s="114"/>
      <c r="CB6" s="114"/>
      <c r="CC6" s="114"/>
      <c r="CD6" s="114"/>
      <c r="CE6" s="114"/>
      <c r="CF6" s="114"/>
      <c r="CG6" s="114"/>
      <c r="CH6" s="114"/>
      <c r="CI6" s="117"/>
      <c r="CU6" s="117"/>
    </row>
    <row r="7" spans="1:106" ht="15" customHeight="1" x14ac:dyDescent="0.25">
      <c r="A7" s="123"/>
      <c r="B7" s="124"/>
      <c r="C7" s="188"/>
      <c r="D7" s="124"/>
      <c r="E7" s="124"/>
      <c r="F7" s="124"/>
      <c r="G7" s="124"/>
      <c r="H7" s="125"/>
      <c r="I7" s="124"/>
      <c r="J7" s="124"/>
      <c r="K7" s="124"/>
      <c r="L7" s="126"/>
      <c r="M7" s="116"/>
      <c r="N7" s="114" t="s">
        <v>26</v>
      </c>
      <c r="O7" s="189">
        <v>420</v>
      </c>
      <c r="P7" s="114" t="s">
        <v>10</v>
      </c>
      <c r="Q7" s="114"/>
      <c r="R7" s="114"/>
      <c r="S7" s="190" t="s">
        <v>635</v>
      </c>
      <c r="T7" s="191">
        <v>17.2</v>
      </c>
      <c r="U7" s="114" t="s">
        <v>636</v>
      </c>
      <c r="V7" s="329"/>
      <c r="W7" s="329"/>
      <c r="X7" s="330"/>
      <c r="Y7" s="121"/>
      <c r="AB7" s="194"/>
      <c r="AJ7" s="122"/>
      <c r="AN7" s="121"/>
      <c r="AY7" s="122"/>
      <c r="AZ7" s="121"/>
      <c r="BK7" s="122"/>
      <c r="BL7" s="121"/>
      <c r="BW7" s="122"/>
      <c r="BX7" s="116"/>
      <c r="BY7" s="114"/>
      <c r="BZ7" s="114"/>
      <c r="CA7" s="114"/>
      <c r="CB7" s="114"/>
      <c r="CC7" s="114"/>
      <c r="CD7" s="114"/>
      <c r="CE7" s="114"/>
      <c r="CF7" s="114"/>
      <c r="CG7" s="114"/>
      <c r="CH7" s="114"/>
      <c r="CI7" s="117"/>
      <c r="CU7" s="117"/>
    </row>
    <row r="8" spans="1:106" ht="15" customHeight="1" x14ac:dyDescent="0.25">
      <c r="A8" s="123"/>
      <c r="B8" s="124"/>
      <c r="C8" s="188"/>
      <c r="D8" s="124"/>
      <c r="E8" s="124"/>
      <c r="F8" s="124"/>
      <c r="G8" s="124"/>
      <c r="H8" s="125"/>
      <c r="I8" s="124"/>
      <c r="J8" s="124"/>
      <c r="K8" s="124"/>
      <c r="L8" s="126"/>
      <c r="M8" s="116"/>
      <c r="N8" s="114" t="s">
        <v>11</v>
      </c>
      <c r="O8" s="192">
        <f>4700*SQRT(O6)</f>
        <v>24870.062324007155</v>
      </c>
      <c r="P8" s="193" t="s">
        <v>180</v>
      </c>
      <c r="Q8" s="114"/>
      <c r="R8" s="114"/>
      <c r="S8" s="190" t="s">
        <v>637</v>
      </c>
      <c r="T8" s="191">
        <v>24</v>
      </c>
      <c r="U8" s="114" t="s">
        <v>636</v>
      </c>
      <c r="V8" s="329"/>
      <c r="W8" s="329"/>
      <c r="X8" s="330"/>
      <c r="Y8" s="121"/>
      <c r="AJ8" s="122"/>
      <c r="AN8" s="121"/>
      <c r="AY8" s="122"/>
      <c r="AZ8" s="121"/>
      <c r="BK8" s="122"/>
      <c r="BL8" s="121"/>
      <c r="BW8" s="122"/>
      <c r="BX8" s="116"/>
      <c r="BY8" s="114"/>
      <c r="BZ8" s="114"/>
      <c r="CA8" s="114"/>
      <c r="CB8" s="114"/>
      <c r="CC8" s="114"/>
      <c r="CD8" s="114"/>
      <c r="CE8" s="114"/>
      <c r="CF8" s="114"/>
      <c r="CG8" s="114"/>
      <c r="CH8" s="114"/>
      <c r="CI8" s="117"/>
      <c r="CU8" s="117"/>
    </row>
    <row r="9" spans="1:106" ht="15" customHeight="1" x14ac:dyDescent="0.25">
      <c r="A9" s="123"/>
      <c r="B9" s="124"/>
      <c r="C9" s="188"/>
      <c r="D9" s="124"/>
      <c r="E9" s="124"/>
      <c r="F9" s="124"/>
      <c r="G9" s="124"/>
      <c r="H9" s="125"/>
      <c r="I9" s="124"/>
      <c r="J9" s="124"/>
      <c r="K9" s="124"/>
      <c r="L9" s="126"/>
      <c r="M9" s="127"/>
      <c r="N9" s="128"/>
      <c r="O9" s="129"/>
      <c r="P9" s="128"/>
      <c r="Q9" s="128"/>
      <c r="R9" s="128"/>
      <c r="S9" s="128"/>
      <c r="T9" s="130"/>
      <c r="U9" s="128"/>
      <c r="V9" s="128"/>
      <c r="W9" s="128"/>
      <c r="X9" s="131"/>
      <c r="Y9" s="121"/>
      <c r="AF9" s="124"/>
      <c r="AG9" s="124"/>
      <c r="AH9" s="124"/>
      <c r="AI9" s="124"/>
      <c r="AJ9" s="126"/>
      <c r="AK9" s="126"/>
      <c r="AL9" s="126"/>
      <c r="AM9" s="126"/>
      <c r="AN9" s="331" t="s">
        <v>638</v>
      </c>
      <c r="AO9" s="332" t="s">
        <v>639</v>
      </c>
      <c r="AP9" s="333"/>
      <c r="AQ9" s="333"/>
      <c r="AR9" s="333"/>
      <c r="AS9" s="333"/>
      <c r="AT9" s="333"/>
      <c r="AU9" s="333" t="s">
        <v>640</v>
      </c>
      <c r="AV9" s="336"/>
      <c r="AW9" s="333"/>
      <c r="AX9" s="333"/>
      <c r="AY9" s="336"/>
      <c r="AZ9" s="331" t="s">
        <v>638</v>
      </c>
      <c r="BA9" s="338" t="s">
        <v>641</v>
      </c>
      <c r="BB9" s="338"/>
      <c r="BC9" s="338"/>
      <c r="BD9" s="338"/>
      <c r="BE9" s="338"/>
      <c r="BF9" s="338"/>
      <c r="BG9" s="338"/>
      <c r="BH9" s="338"/>
      <c r="BI9" s="338"/>
      <c r="BJ9" s="338"/>
      <c r="BK9" s="122"/>
      <c r="BL9" s="338" t="s">
        <v>642</v>
      </c>
      <c r="BM9" s="338" t="s">
        <v>643</v>
      </c>
      <c r="BN9" s="338"/>
      <c r="BO9" s="338"/>
      <c r="BP9" s="338"/>
      <c r="BQ9" s="338"/>
      <c r="BR9" s="338"/>
      <c r="BS9" s="338"/>
      <c r="BT9" s="338"/>
      <c r="BU9" s="338"/>
      <c r="BV9" s="338"/>
      <c r="BW9" s="126"/>
      <c r="BX9" s="339" t="s">
        <v>642</v>
      </c>
      <c r="BY9" s="343" t="s">
        <v>643</v>
      </c>
      <c r="BZ9" s="344"/>
      <c r="CA9" s="344"/>
      <c r="CB9" s="344"/>
      <c r="CC9" s="345"/>
      <c r="CD9" s="124"/>
      <c r="CE9" s="124"/>
      <c r="CF9" s="124"/>
      <c r="CG9" s="124"/>
      <c r="CH9" s="124"/>
      <c r="CI9" s="126"/>
      <c r="CJ9" s="346" t="s">
        <v>642</v>
      </c>
      <c r="CK9" s="347" t="s">
        <v>644</v>
      </c>
      <c r="CL9" s="347"/>
      <c r="CM9" s="347"/>
      <c r="CN9" s="347"/>
      <c r="CO9" s="347"/>
      <c r="CP9" s="347"/>
      <c r="CQ9" s="347"/>
      <c r="CR9" s="347"/>
      <c r="CS9" s="347"/>
      <c r="CU9" s="117"/>
      <c r="CV9" s="137"/>
      <c r="CW9" s="137"/>
      <c r="CX9" s="137"/>
      <c r="CY9" s="137"/>
      <c r="CZ9" s="137"/>
      <c r="DA9" s="137"/>
    </row>
    <row r="10" spans="1:106" s="112" customFormat="1" ht="15" customHeight="1" x14ac:dyDescent="0.2">
      <c r="A10" s="123"/>
      <c r="B10" s="124"/>
      <c r="C10" s="188"/>
      <c r="D10" s="124"/>
      <c r="E10" s="124"/>
      <c r="F10" s="124"/>
      <c r="G10" s="124"/>
      <c r="H10" s="125"/>
      <c r="I10" s="124"/>
      <c r="J10" s="124"/>
      <c r="K10" s="124"/>
      <c r="L10" s="126"/>
      <c r="M10" s="331" t="s">
        <v>638</v>
      </c>
      <c r="N10" s="331" t="s">
        <v>290</v>
      </c>
      <c r="O10" s="348" t="s">
        <v>645</v>
      </c>
      <c r="P10" s="338" t="s">
        <v>646</v>
      </c>
      <c r="Q10" s="338"/>
      <c r="R10" s="338"/>
      <c r="S10" s="338"/>
      <c r="T10" s="338"/>
      <c r="U10" s="338" t="s">
        <v>647</v>
      </c>
      <c r="V10" s="338"/>
      <c r="W10" s="138" t="s">
        <v>648</v>
      </c>
      <c r="X10" s="138" t="s">
        <v>649</v>
      </c>
      <c r="Y10" s="331" t="s">
        <v>638</v>
      </c>
      <c r="Z10" s="331" t="s">
        <v>650</v>
      </c>
      <c r="AA10" s="331"/>
      <c r="AB10" s="331"/>
      <c r="AC10" s="331"/>
      <c r="AD10" s="338" t="s">
        <v>767</v>
      </c>
      <c r="AE10" s="338"/>
      <c r="AF10" s="338"/>
      <c r="AG10" s="338"/>
      <c r="AH10" s="331" t="s">
        <v>808</v>
      </c>
      <c r="AI10" s="331" t="s">
        <v>807</v>
      </c>
      <c r="AJ10" s="331"/>
      <c r="AK10" s="202"/>
      <c r="AL10" s="202"/>
      <c r="AM10" s="202"/>
      <c r="AN10" s="331"/>
      <c r="AO10" s="334"/>
      <c r="AP10" s="335"/>
      <c r="AQ10" s="335"/>
      <c r="AR10" s="335"/>
      <c r="AS10" s="335"/>
      <c r="AT10" s="335"/>
      <c r="AU10" s="335"/>
      <c r="AV10" s="337"/>
      <c r="AW10" s="335"/>
      <c r="AX10" s="335"/>
      <c r="AY10" s="337"/>
      <c r="AZ10" s="331"/>
      <c r="BA10" s="338" t="s">
        <v>652</v>
      </c>
      <c r="BB10" s="338"/>
      <c r="BC10" s="338"/>
      <c r="BD10" s="338"/>
      <c r="BE10" s="338"/>
      <c r="BF10" s="338"/>
      <c r="BG10" s="338"/>
      <c r="BH10" s="338"/>
      <c r="BI10" s="338"/>
      <c r="BJ10" s="338"/>
      <c r="BK10" s="139"/>
      <c r="BL10" s="338"/>
      <c r="BM10" s="338" t="s">
        <v>708</v>
      </c>
      <c r="BN10" s="338"/>
      <c r="BO10" s="338"/>
      <c r="BP10" s="338"/>
      <c r="BQ10" s="338" t="s">
        <v>656</v>
      </c>
      <c r="BR10" s="338"/>
      <c r="BS10" s="338"/>
      <c r="BT10" s="338"/>
      <c r="BU10" s="338"/>
      <c r="BV10" s="338"/>
      <c r="BW10" s="139"/>
      <c r="BX10" s="340"/>
      <c r="BY10" s="338" t="s">
        <v>656</v>
      </c>
      <c r="BZ10" s="338"/>
      <c r="CA10" s="338"/>
      <c r="CB10" s="338" t="s">
        <v>658</v>
      </c>
      <c r="CC10" s="338" t="s">
        <v>660</v>
      </c>
      <c r="CD10" s="124"/>
      <c r="CE10" s="124"/>
      <c r="CF10" s="124"/>
      <c r="CG10" s="124"/>
      <c r="CH10" s="124"/>
      <c r="CI10" s="126"/>
      <c r="CJ10" s="346"/>
      <c r="CK10" s="331" t="s">
        <v>657</v>
      </c>
      <c r="CL10" s="331" t="s">
        <v>139</v>
      </c>
      <c r="CM10" s="331" t="s">
        <v>658</v>
      </c>
      <c r="CN10" s="331" t="s">
        <v>659</v>
      </c>
      <c r="CO10" s="338" t="s">
        <v>660</v>
      </c>
      <c r="CP10" s="338" t="s">
        <v>656</v>
      </c>
      <c r="CQ10" s="338"/>
      <c r="CR10" s="338"/>
      <c r="CS10" s="338"/>
      <c r="CU10" s="139"/>
      <c r="CV10" s="137"/>
      <c r="CW10" s="331" t="s">
        <v>638</v>
      </c>
      <c r="CX10" s="331" t="s">
        <v>290</v>
      </c>
      <c r="CY10" s="140"/>
      <c r="CZ10" s="140"/>
      <c r="DA10" s="331" t="s">
        <v>653</v>
      </c>
      <c r="DB10" s="331" t="s">
        <v>654</v>
      </c>
    </row>
    <row r="11" spans="1:106" ht="15" customHeight="1" x14ac:dyDescent="0.25">
      <c r="A11" s="123"/>
      <c r="B11" s="124"/>
      <c r="C11" s="188"/>
      <c r="D11" s="124"/>
      <c r="E11" s="124"/>
      <c r="F11" s="124"/>
      <c r="G11" s="124"/>
      <c r="H11" s="125"/>
      <c r="I11" s="124"/>
      <c r="J11" s="124"/>
      <c r="K11" s="124"/>
      <c r="L11" s="126"/>
      <c r="M11" s="331"/>
      <c r="N11" s="331"/>
      <c r="O11" s="348"/>
      <c r="P11" s="138" t="s">
        <v>255</v>
      </c>
      <c r="Q11" s="138" t="s">
        <v>256</v>
      </c>
      <c r="R11" s="138" t="s">
        <v>661</v>
      </c>
      <c r="S11" s="138" t="s">
        <v>662</v>
      </c>
      <c r="T11" s="141" t="s">
        <v>663</v>
      </c>
      <c r="U11" s="141" t="s">
        <v>313</v>
      </c>
      <c r="V11" s="132" t="s">
        <v>314</v>
      </c>
      <c r="W11" s="132" t="s">
        <v>664</v>
      </c>
      <c r="X11" s="132" t="s">
        <v>665</v>
      </c>
      <c r="Y11" s="331"/>
      <c r="Z11" s="132" t="s">
        <v>666</v>
      </c>
      <c r="AA11" s="132" t="s">
        <v>667</v>
      </c>
      <c r="AB11" s="132" t="s">
        <v>668</v>
      </c>
      <c r="AC11" s="132" t="s">
        <v>669</v>
      </c>
      <c r="AD11" s="132" t="s">
        <v>670</v>
      </c>
      <c r="AE11" s="132" t="s">
        <v>671</v>
      </c>
      <c r="AF11" s="332" t="s">
        <v>761</v>
      </c>
      <c r="AG11" s="336" t="s">
        <v>762</v>
      </c>
      <c r="AH11" s="331"/>
      <c r="AI11" s="331"/>
      <c r="AJ11" s="331"/>
      <c r="AK11" s="202"/>
      <c r="AL11" s="202"/>
      <c r="AM11" s="202"/>
      <c r="AN11" s="331"/>
      <c r="AO11" s="132" t="s">
        <v>677</v>
      </c>
      <c r="AP11" s="132" t="s">
        <v>678</v>
      </c>
      <c r="AQ11" s="132" t="s">
        <v>679</v>
      </c>
      <c r="AR11" s="132" t="s">
        <v>680</v>
      </c>
      <c r="AS11" s="338" t="s">
        <v>660</v>
      </c>
      <c r="AT11" s="338" t="s">
        <v>313</v>
      </c>
      <c r="AU11" s="132" t="s">
        <v>681</v>
      </c>
      <c r="AV11" s="132" t="s">
        <v>682</v>
      </c>
      <c r="AW11" s="135" t="s">
        <v>683</v>
      </c>
      <c r="AX11" s="132" t="s">
        <v>684</v>
      </c>
      <c r="AY11" s="338" t="s">
        <v>660</v>
      </c>
      <c r="AZ11" s="331"/>
      <c r="BA11" s="142" t="s">
        <v>685</v>
      </c>
      <c r="BB11" s="142" t="s">
        <v>413</v>
      </c>
      <c r="BC11" s="341" t="s">
        <v>414</v>
      </c>
      <c r="BD11" s="142" t="s">
        <v>415</v>
      </c>
      <c r="BE11" s="341" t="s">
        <v>394</v>
      </c>
      <c r="BF11" s="341" t="s">
        <v>416</v>
      </c>
      <c r="BG11" s="142" t="s">
        <v>686</v>
      </c>
      <c r="BH11" s="341" t="s">
        <v>660</v>
      </c>
      <c r="BI11" s="142" t="s">
        <v>687</v>
      </c>
      <c r="BJ11" s="342" t="s">
        <v>688</v>
      </c>
      <c r="BK11" s="122"/>
      <c r="BL11" s="338"/>
      <c r="BM11" s="132" t="s">
        <v>54</v>
      </c>
      <c r="BN11" s="132" t="s">
        <v>726</v>
      </c>
      <c r="BO11" s="132" t="s">
        <v>693</v>
      </c>
      <c r="BP11" s="132" t="s">
        <v>694</v>
      </c>
      <c r="BQ11" s="338" t="s">
        <v>416</v>
      </c>
      <c r="BR11" s="338" t="s">
        <v>695</v>
      </c>
      <c r="BS11" s="338"/>
      <c r="BT11" s="132" t="s">
        <v>727</v>
      </c>
      <c r="BU11" s="132" t="s">
        <v>139</v>
      </c>
      <c r="BV11" s="338" t="s">
        <v>660</v>
      </c>
      <c r="BW11" s="122"/>
      <c r="BX11" s="340"/>
      <c r="BY11" s="132" t="s">
        <v>727</v>
      </c>
      <c r="BZ11" s="132" t="s">
        <v>139</v>
      </c>
      <c r="CA11" s="338" t="s">
        <v>660</v>
      </c>
      <c r="CB11" s="338"/>
      <c r="CC11" s="338"/>
      <c r="CD11" s="124"/>
      <c r="CE11" s="124"/>
      <c r="CF11" s="124"/>
      <c r="CG11" s="124"/>
      <c r="CH11" s="124"/>
      <c r="CI11" s="126"/>
      <c r="CJ11" s="346"/>
      <c r="CK11" s="331"/>
      <c r="CL11" s="331"/>
      <c r="CM11" s="331"/>
      <c r="CN11" s="331"/>
      <c r="CO11" s="338"/>
      <c r="CP11" s="132" t="s">
        <v>694</v>
      </c>
      <c r="CQ11" s="338" t="s">
        <v>416</v>
      </c>
      <c r="CR11" s="338" t="s">
        <v>695</v>
      </c>
      <c r="CS11" s="338"/>
      <c r="CU11" s="117"/>
      <c r="CW11" s="331"/>
      <c r="CX11" s="331"/>
      <c r="CY11" s="132" t="s">
        <v>667</v>
      </c>
      <c r="CZ11" s="134" t="s">
        <v>669</v>
      </c>
      <c r="DA11" s="331"/>
      <c r="DB11" s="331"/>
    </row>
    <row r="12" spans="1:106" ht="15" customHeight="1" x14ac:dyDescent="0.25">
      <c r="A12" s="123"/>
      <c r="B12" s="124"/>
      <c r="C12" s="188"/>
      <c r="D12" s="124"/>
      <c r="E12" s="124"/>
      <c r="F12" s="124"/>
      <c r="G12" s="124"/>
      <c r="H12" s="125"/>
      <c r="I12" s="124"/>
      <c r="J12" s="124"/>
      <c r="K12" s="124"/>
      <c r="L12" s="126"/>
      <c r="M12" s="331"/>
      <c r="N12" s="331"/>
      <c r="O12" s="348"/>
      <c r="P12" s="138" t="s">
        <v>95</v>
      </c>
      <c r="Q12" s="138" t="s">
        <v>95</v>
      </c>
      <c r="R12" s="138" t="s">
        <v>95</v>
      </c>
      <c r="S12" s="138" t="s">
        <v>411</v>
      </c>
      <c r="T12" s="141" t="s">
        <v>411</v>
      </c>
      <c r="U12" s="141" t="s">
        <v>101</v>
      </c>
      <c r="V12" s="132" t="s">
        <v>101</v>
      </c>
      <c r="W12" s="138" t="s">
        <v>95</v>
      </c>
      <c r="X12" s="138" t="s">
        <v>95</v>
      </c>
      <c r="Y12" s="331"/>
      <c r="Z12" s="132" t="s">
        <v>101</v>
      </c>
      <c r="AA12" s="132" t="s">
        <v>101</v>
      </c>
      <c r="AB12" s="132" t="s">
        <v>101</v>
      </c>
      <c r="AC12" s="132" t="s">
        <v>101</v>
      </c>
      <c r="AD12" s="132" t="s">
        <v>101</v>
      </c>
      <c r="AE12" s="132" t="s">
        <v>101</v>
      </c>
      <c r="AF12" s="334"/>
      <c r="AG12" s="337"/>
      <c r="AH12" s="331"/>
      <c r="AI12" s="132" t="s">
        <v>147</v>
      </c>
      <c r="AJ12" s="132" t="s">
        <v>53</v>
      </c>
      <c r="AK12" s="132"/>
      <c r="AL12" s="132"/>
      <c r="AM12" s="132"/>
      <c r="AN12" s="331"/>
      <c r="AO12" s="132" t="s">
        <v>95</v>
      </c>
      <c r="AP12" s="132" t="s">
        <v>95</v>
      </c>
      <c r="AQ12" s="132" t="s">
        <v>95</v>
      </c>
      <c r="AR12" s="132" t="s">
        <v>95</v>
      </c>
      <c r="AS12" s="338"/>
      <c r="AT12" s="338"/>
      <c r="AU12" s="132" t="s">
        <v>95</v>
      </c>
      <c r="AV12" s="132" t="s">
        <v>95</v>
      </c>
      <c r="AW12" s="135" t="s">
        <v>95</v>
      </c>
      <c r="AX12" s="132" t="s">
        <v>95</v>
      </c>
      <c r="AY12" s="338"/>
      <c r="AZ12" s="331"/>
      <c r="BA12" s="132" t="s">
        <v>411</v>
      </c>
      <c r="BB12" s="132" t="s">
        <v>634</v>
      </c>
      <c r="BC12" s="338"/>
      <c r="BD12" s="132" t="s">
        <v>309</v>
      </c>
      <c r="BE12" s="338"/>
      <c r="BF12" s="338"/>
      <c r="BG12" s="132" t="s">
        <v>309</v>
      </c>
      <c r="BH12" s="338"/>
      <c r="BI12" s="132" t="s">
        <v>101</v>
      </c>
      <c r="BJ12" s="331"/>
      <c r="BK12" s="122"/>
      <c r="BL12" s="338"/>
      <c r="BM12" s="132" t="s">
        <v>101</v>
      </c>
      <c r="BN12" s="132" t="s">
        <v>729</v>
      </c>
      <c r="BO12" s="132" t="s">
        <v>95</v>
      </c>
      <c r="BP12" s="132" t="s">
        <v>309</v>
      </c>
      <c r="BQ12" s="338"/>
      <c r="BR12" s="338"/>
      <c r="BS12" s="338"/>
      <c r="BT12" s="132" t="s">
        <v>309</v>
      </c>
      <c r="BU12" s="132" t="s">
        <v>95</v>
      </c>
      <c r="BV12" s="338"/>
      <c r="BW12" s="122"/>
      <c r="BX12" s="341"/>
      <c r="BY12" s="132" t="s">
        <v>309</v>
      </c>
      <c r="BZ12" s="132" t="s">
        <v>95</v>
      </c>
      <c r="CA12" s="338"/>
      <c r="CB12" s="132" t="s">
        <v>634</v>
      </c>
      <c r="CC12" s="338"/>
      <c r="CD12" s="124"/>
      <c r="CE12" s="124"/>
      <c r="CF12" s="124"/>
      <c r="CG12" s="124"/>
      <c r="CH12" s="124"/>
      <c r="CI12" s="126"/>
      <c r="CJ12" s="346"/>
      <c r="CK12" s="136" t="s">
        <v>411</v>
      </c>
      <c r="CL12" s="136" t="s">
        <v>95</v>
      </c>
      <c r="CM12" s="136" t="s">
        <v>634</v>
      </c>
      <c r="CN12" s="136" t="s">
        <v>634</v>
      </c>
      <c r="CO12" s="338"/>
      <c r="CP12" s="132" t="s">
        <v>309</v>
      </c>
      <c r="CQ12" s="338"/>
      <c r="CR12" s="338"/>
      <c r="CS12" s="338"/>
      <c r="CU12" s="117"/>
      <c r="CW12" s="331"/>
      <c r="CX12" s="331"/>
      <c r="CY12" s="132" t="s">
        <v>101</v>
      </c>
      <c r="CZ12" s="134" t="s">
        <v>101</v>
      </c>
      <c r="DA12" s="331"/>
      <c r="DB12" s="331"/>
    </row>
    <row r="13" spans="1:106" ht="15" customHeight="1" x14ac:dyDescent="0.25">
      <c r="A13" s="123"/>
      <c r="B13" s="124"/>
      <c r="C13" s="188"/>
      <c r="D13" s="124"/>
      <c r="E13" s="124"/>
      <c r="F13" s="124"/>
      <c r="G13" s="124"/>
      <c r="H13" s="125"/>
      <c r="I13" s="124"/>
      <c r="J13" s="124"/>
      <c r="K13" s="124"/>
      <c r="L13" s="126"/>
      <c r="M13" s="349" t="str">
        <f>Y13</f>
        <v>Z1</v>
      </c>
      <c r="N13" s="143">
        <v>288</v>
      </c>
      <c r="O13" s="144" t="s">
        <v>837</v>
      </c>
      <c r="P13" s="145">
        <v>24.195</v>
      </c>
      <c r="Q13" s="145">
        <v>3.7187999999999999</v>
      </c>
      <c r="R13" s="145">
        <v>382.06180000000001</v>
      </c>
      <c r="S13" s="145">
        <v>-5.9253999999999998</v>
      </c>
      <c r="T13" s="145">
        <v>40.624200000000002</v>
      </c>
      <c r="U13" s="145">
        <v>0.6</v>
      </c>
      <c r="V13" s="206">
        <f>+U13-0.075</f>
        <v>0.52500000000000002</v>
      </c>
      <c r="W13" s="147">
        <f>(AA13*AC13*U13+W51*X51*(U51-U13))*$T$8</f>
        <v>254.99999999999994</v>
      </c>
      <c r="X13" s="147">
        <f>(AA13*AC13-W51*X51)*(U51-U13)*$T$7</f>
        <v>395.5139999999999</v>
      </c>
      <c r="Y13" s="349" t="s">
        <v>698</v>
      </c>
      <c r="Z13" s="148">
        <f t="shared" ref="Z13:Z44" si="0">IF(O13="Medianera",3*W51/2,MAX(6*AE13,SQRT(N51/$T$6),1))</f>
        <v>2.7311336621851994</v>
      </c>
      <c r="AA13" s="149">
        <v>4.0999999999999996</v>
      </c>
      <c r="AB13" s="148">
        <f>IF(O13="Medianera",2*N51/(AA13*$T$6),MAX(Z13,AD13*6,1))</f>
        <v>2.7311336621851994</v>
      </c>
      <c r="AC13" s="149">
        <v>4.0999999999999996</v>
      </c>
      <c r="AD13" s="150">
        <f>P51/N51</f>
        <v>8.6205971513180935E-2</v>
      </c>
      <c r="AE13" s="150">
        <f t="shared" ref="AE13:AE44" si="1">O51/N51</f>
        <v>1.4644929699107806E-3</v>
      </c>
      <c r="AF13" s="53" t="str">
        <f>IF(AD13&gt;AC13/6,"N/C","OK")</f>
        <v>OK</v>
      </c>
      <c r="AG13" s="53" t="str">
        <f>IF(AE13&gt;AA13/6,"N/C","OK")</f>
        <v>OK</v>
      </c>
      <c r="AH13" s="155" t="str">
        <f>O13</f>
        <v>Central</v>
      </c>
      <c r="AI13" s="153">
        <f>IF(OR(AH13="L",AH13="Esquinera"),AC13-X51/2,AC13/2)</f>
        <v>2.0499999999999998</v>
      </c>
      <c r="AJ13" s="153">
        <f>IF(OR(AH13="B",AH13="Esquinera"),AA13-W51/2,AA13/2)</f>
        <v>2.0499999999999998</v>
      </c>
      <c r="AK13" s="152">
        <f>AD51</f>
        <v>0.50065909242419182</v>
      </c>
      <c r="AL13" s="150">
        <f>AH51</f>
        <v>23.780255172770179</v>
      </c>
      <c r="AM13" s="150">
        <f>AJ51</f>
        <v>1399.8018714455757</v>
      </c>
      <c r="AN13" s="349" t="str">
        <f>Y13</f>
        <v>Z1</v>
      </c>
      <c r="AO13" s="153">
        <f t="shared" ref="AO13:AO36" si="2">N51/(AA13*AC13)*(AA13*AC13-(W51-V13)*(X51-V13))</f>
        <v>1038.7568196237357</v>
      </c>
      <c r="AP13" s="153">
        <f t="shared" ref="AP13:AP36" si="3">0.75*0.17*(1+2/R51)*SQRT($O$6)*T51*V13*(1000^2)/(10^3)</f>
        <v>2897.999646289953</v>
      </c>
      <c r="AQ13" s="153">
        <f t="shared" ref="AQ13:AQ36" si="4">0.75*0.083*(Q51*V13/T51+2)*SQRT($O$6)*T51*V13*(1000^2)/(10^3)</f>
        <v>5360.9205221532384</v>
      </c>
      <c r="AR13" s="153">
        <f t="shared" ref="AR13:AR36" si="5">0.75*0.33*SQRT($O$6)*T51*V13*(1000^2)/(10^3)</f>
        <v>3437.823109814552</v>
      </c>
      <c r="AS13" s="53" t="str">
        <f t="shared" ref="AS13:AS36" si="6">IF(AO13&lt;MIN(AP13:AR13),"OK","N/C")</f>
        <v>OK</v>
      </c>
      <c r="AT13" s="153">
        <f t="shared" ref="AT13:AT36" si="7">IF(AS13&lt;&gt;"OK",AO13*10^3/(1000^2*0.75*0.33*SQRT($O$6)*T51)+0.075,V13+0.075)</f>
        <v>0.6</v>
      </c>
      <c r="AU13" s="150">
        <f t="shared" ref="AU13:AU36" si="8">+N51/AA13*((AA13-W51)/2-V13)</f>
        <v>245.55156219512187</v>
      </c>
      <c r="AV13" s="153">
        <f t="shared" ref="AV13:AV36" si="9">+N51/AC13*((AC13-X51)/2-V13)</f>
        <v>339.99447073170722</v>
      </c>
      <c r="AW13" s="154">
        <f t="shared" ref="AW13:AW36" si="10">0.75*0.17*SQRT($O$6)*AA13*V13*(1000^2/10^3)</f>
        <v>1452.2198227519655</v>
      </c>
      <c r="AX13" s="153">
        <f t="shared" ref="AX13:AX36" si="11">0.75*0.17*SQRT($O$6)*AC13*V13*(1000^2/10^3)</f>
        <v>1452.2198227519655</v>
      </c>
      <c r="AY13" s="53" t="str">
        <f t="shared" ref="AY13:AY36" si="12">IF(AND(AU13&lt;AW13,AV13&lt;AX13),"OK","N/C")</f>
        <v>OK</v>
      </c>
      <c r="AZ13" s="349" t="str">
        <f>AN13</f>
        <v>Z1</v>
      </c>
      <c r="BA13" s="153">
        <f t="shared" ref="BA13:BA36" si="13">SUM(N51/(2*AA13)*(AA13/2-W51/2)^2,P51)</f>
        <v>372.34292560975598</v>
      </c>
      <c r="BB13" s="153">
        <f t="shared" ref="BB13:BB36" si="14">BA13/(0.9*AA13*V13^2)</f>
        <v>366.09865541827799</v>
      </c>
      <c r="BC13" s="150">
        <f t="shared" ref="BC13:BC36" si="15">MAX(0.85*$O$6/$O$7*(1-SQRT(1-2*BB13/(0.85*$O$6*10^3))),0.0018)</f>
        <v>1.8E-3</v>
      </c>
      <c r="BD13" s="148">
        <f t="shared" ref="BD13:BD36" si="16">+BC13*AA13*V13*100^2</f>
        <v>38.744999999999997</v>
      </c>
      <c r="BE13" s="144">
        <v>5</v>
      </c>
      <c r="BF13" s="144">
        <v>27</v>
      </c>
      <c r="BG13" s="155">
        <f t="shared" ref="BG13:BG36" si="17">VLOOKUP(BE13,$N$91:$T$102,7,)*BF13</f>
        <v>53.73</v>
      </c>
      <c r="BH13" s="53" t="str">
        <f t="shared" ref="BH13:BH36" si="18">IF(BG13&gt;=BD13,"OK","N/C")</f>
        <v>OK</v>
      </c>
      <c r="BI13" s="148">
        <f t="shared" ref="BI13:BI36" si="19">ROUND((AA13-2*0.075)/BF13,2)</f>
        <v>0.15</v>
      </c>
      <c r="BJ13" s="155" t="str">
        <f t="shared" ref="BJ13:BJ36" si="20">BF13&amp;"#"&amp;BE13&amp;"@"&amp;ROUNDDOWN(BI13*100/5,0)*5</f>
        <v>27#5@15</v>
      </c>
      <c r="BK13" s="197">
        <f t="shared" ref="BK13:BK36" si="21">BD13/BG13</f>
        <v>0.72110552763819091</v>
      </c>
      <c r="BL13" s="349" t="str">
        <f>AZ13</f>
        <v>Z1</v>
      </c>
      <c r="BM13" s="155">
        <f t="shared" ref="BM13:BM36" si="22">IF(AT51="SÍ",U51-U13-AX51/2,0)</f>
        <v>0</v>
      </c>
      <c r="BN13" s="153">
        <f t="shared" ref="BN13:BN36" si="23">IF(AT51="SÍ",O51,0)</f>
        <v>0</v>
      </c>
      <c r="BO13" s="153">
        <f t="shared" ref="BO13:BO36" si="24">IF(AT51="SÍ",(N51*(AA13-W51)-2*BN13)/(2*(BM13+U13)),0)</f>
        <v>0</v>
      </c>
      <c r="BP13" s="153">
        <f t="shared" ref="BP13:BP36" si="25">MAX(0.0033*2*AY51*(AW51-0.04)*100^2,0.0033*AY51*AW51*100^2,BO13*100^2/(0.9*10^3*$O$7))</f>
        <v>9.2317499999999999</v>
      </c>
      <c r="BQ13" s="144">
        <v>10</v>
      </c>
      <c r="BR13" s="155" t="s">
        <v>191</v>
      </c>
      <c r="BS13" s="144">
        <v>6</v>
      </c>
      <c r="BT13" s="153">
        <f t="shared" ref="BT13:BT36" si="26">BQ13*VLOOKUP(BS13,$N$91:$T$102,7,)</f>
        <v>28.4</v>
      </c>
      <c r="BU13" s="153">
        <f t="shared" ref="BU13:BU36" si="27">0.9*$O$7*BT13*10^3/(100^2)</f>
        <v>1073.5199999999998</v>
      </c>
      <c r="BV13" s="53" t="str">
        <f t="shared" ref="BV13:BV36" si="28">IF(AND(BU13&gt;=BO13,BT13&gt;=BP13),"OK","N/C")</f>
        <v>OK</v>
      </c>
      <c r="BW13" s="122"/>
      <c r="BX13" s="349" t="str">
        <f>BL13</f>
        <v>Z1</v>
      </c>
      <c r="BY13" s="153">
        <f t="shared" ref="BY13:BY36" si="29">BU51*VLOOKUP(BW51,$N$91:$T$102,7,)</f>
        <v>17.04</v>
      </c>
      <c r="BZ13" s="153">
        <f t="shared" ref="BZ13:BZ36" si="30">0.9*$O$7*BY13*10^3/(100^2)</f>
        <v>644.11199999999997</v>
      </c>
      <c r="CA13" s="155" t="str">
        <f t="shared" ref="CA13:CA36" si="31">IF(AND(BZ13&gt;=BS51,BY13&gt;=BT51),"OK","N/C")</f>
        <v>OK</v>
      </c>
      <c r="CB13" s="153">
        <f t="shared" ref="CB13:CB36" si="32">N51/(AA13*AC13)+BP51*BR51^2*BM13^2*AA13*BS51/(6*10^3*$O$8*V51)</f>
        <v>61.426281975014867</v>
      </c>
      <c r="CC13" s="53" t="str">
        <f t="shared" ref="CC13:CC36" si="33">IF(AND(CB13&lt;=$T$6,CB13&gt;0),"OK","N/C")</f>
        <v>OK</v>
      </c>
      <c r="CI13" s="122"/>
      <c r="CJ13" s="349" t="str">
        <f>BX13</f>
        <v>Z1</v>
      </c>
      <c r="CK13" s="153">
        <f t="shared" ref="CK13:CK36" si="34">SQRT(O51^2+P51^2)</f>
        <v>89.027043927561692</v>
      </c>
      <c r="CL13" s="153">
        <f t="shared" ref="CL13:CL36" si="35">IF(AT51="SÍ",(N51*(AA13-W51)/2*SQRT(2)/2-CK13)/(BM13+U13+BP51*BR51^2*BM13^2*AA13^4/(36*10^3*$O$8*V51)),0)</f>
        <v>0</v>
      </c>
      <c r="CM13" s="150">
        <f t="shared" ref="CM13:CM36" si="36">IF(O13="Esquinera",N51/(AA13^2)+BP51*AA13*SQRT(2)*BR51^2*AC13^2*CL13/(6*10^3*$O$8*V51),0)</f>
        <v>0</v>
      </c>
      <c r="CN13" s="150">
        <f t="shared" ref="CN13:CN36" si="37">IF(O13="Esquinera",N51/(AA13^2)-BP51*AA13*SQRT(2)*BR51^2*AC13^2*CL13/(6*10^3*$O$8*V51),0)</f>
        <v>0</v>
      </c>
      <c r="CO13" s="53" t="str">
        <f t="shared" ref="CO13:CO36" si="38">IF(AND(CM13&lt;=$T$6,CN13&gt;=0),"OK","N/C")</f>
        <v>OK</v>
      </c>
      <c r="CP13" s="158">
        <f t="shared" ref="CP13:CP36" si="39">BT51</f>
        <v>9.2317499999999999</v>
      </c>
      <c r="CQ13" s="144">
        <v>10</v>
      </c>
      <c r="CR13" s="155" t="s">
        <v>191</v>
      </c>
      <c r="CS13" s="144">
        <v>6</v>
      </c>
      <c r="CU13" s="117"/>
      <c r="CW13" s="349" t="str">
        <f>AZ13</f>
        <v>Z1</v>
      </c>
      <c r="CX13" s="111">
        <f t="shared" ref="CX13:CX36" si="40">N13</f>
        <v>288</v>
      </c>
      <c r="CY13" s="156">
        <f t="shared" ref="CY13:CY36" si="41">AA13</f>
        <v>4.0999999999999996</v>
      </c>
      <c r="CZ13" s="156">
        <f t="shared" ref="CZ13:CZ36" si="42">AC13</f>
        <v>4.0999999999999996</v>
      </c>
      <c r="DA13" s="140" t="str">
        <f t="shared" ref="DA13:DA36" si="43">BJ13</f>
        <v>27#5@15</v>
      </c>
      <c r="DB13" s="140" t="str">
        <f t="shared" ref="DB13:DB36" si="44">BJ51</f>
        <v>27#5@15</v>
      </c>
    </row>
    <row r="14" spans="1:106" ht="15" customHeight="1" x14ac:dyDescent="0.25">
      <c r="A14" s="123"/>
      <c r="B14" s="124"/>
      <c r="C14" s="188"/>
      <c r="D14" s="124"/>
      <c r="E14" s="124"/>
      <c r="F14" s="124"/>
      <c r="G14" s="124"/>
      <c r="H14" s="125"/>
      <c r="I14" s="124"/>
      <c r="J14" s="124"/>
      <c r="K14" s="124"/>
      <c r="L14" s="126"/>
      <c r="M14" s="350"/>
      <c r="N14" s="143">
        <v>288</v>
      </c>
      <c r="O14" s="144" t="s">
        <v>837</v>
      </c>
      <c r="P14" s="145">
        <v>40.999099999999999</v>
      </c>
      <c r="Q14" s="145">
        <v>5.1459999999999999</v>
      </c>
      <c r="R14" s="145">
        <v>551.23220000000003</v>
      </c>
      <c r="S14" s="145">
        <v>-7.9317000000000002</v>
      </c>
      <c r="T14" s="145">
        <v>67.688699999999997</v>
      </c>
      <c r="U14" s="145">
        <v>0.6</v>
      </c>
      <c r="V14" s="146">
        <f t="shared" ref="V14:V44" si="45">+U14-0.075</f>
        <v>0.52500000000000002</v>
      </c>
      <c r="W14" s="147">
        <f t="shared" ref="W14:W44" si="46">(AA14*AC14*U14+W52*X52*(U52-U14))*$T$8</f>
        <v>254.99999999999994</v>
      </c>
      <c r="X14" s="147">
        <f t="shared" ref="X14:X44" si="47">(AA14*AC14-W52*X52)*(U52-U14)*$T$7</f>
        <v>395.5139999999999</v>
      </c>
      <c r="Y14" s="350"/>
      <c r="Z14" s="148">
        <f t="shared" si="0"/>
        <v>2.9463773186698585</v>
      </c>
      <c r="AA14" s="149">
        <v>4.0999999999999996</v>
      </c>
      <c r="AB14" s="148">
        <f t="shared" ref="AB14:AB44" si="48">IF(O14="Medianera",2*N52/(AA14*$T$6),MAX(Z14,AD14*6,1))</f>
        <v>2.9463773186698585</v>
      </c>
      <c r="AC14" s="149">
        <v>4.0999999999999996</v>
      </c>
      <c r="AD14" s="150">
        <f t="shared" ref="AD14:AD44" si="49">P52/N52</f>
        <v>0.12455783092969215</v>
      </c>
      <c r="AE14" s="150">
        <f t="shared" si="1"/>
        <v>1.9640586340110748E-3</v>
      </c>
      <c r="AF14" s="53" t="str">
        <f t="shared" ref="AF14:AF44" si="50">IF(AD14&gt;AC14/6,"N/C","OK")</f>
        <v>OK</v>
      </c>
      <c r="AG14" s="53" t="str">
        <f t="shared" ref="AG14:AG44" si="51">IF(AE14&gt;AA14/6,"N/C","OK")</f>
        <v>OK</v>
      </c>
      <c r="AH14" s="155" t="str">
        <f t="shared" ref="AH14:AH44" si="52">O14</f>
        <v>Central</v>
      </c>
      <c r="AI14" s="153">
        <f t="shared" ref="AI14:AI44" si="53">IF(OR(AH14="L",AH14="Esquinera"),AC14-X52/2,AC14/2)</f>
        <v>2.0499999999999998</v>
      </c>
      <c r="AJ14" s="153">
        <f t="shared" ref="AJ14:AJ44" si="54">IF(OR(AH14="B",AH14="Esquinera"),AA14-W52/2,AA14/2)</f>
        <v>2.0499999999999998</v>
      </c>
      <c r="AK14" s="152">
        <f t="shared" ref="AK14:AK44" si="55">AD52</f>
        <v>0.61204561797001944</v>
      </c>
      <c r="AL14" s="150">
        <f t="shared" ref="AL14:AL44" si="56">AH52</f>
        <v>16.458218521460459</v>
      </c>
      <c r="AM14" s="150">
        <f t="shared" ref="AM14:AM44" si="57">AJ52</f>
        <v>1043.7570266491548</v>
      </c>
      <c r="AN14" s="350"/>
      <c r="AO14" s="153">
        <f t="shared" si="2"/>
        <v>1208.9398770597857</v>
      </c>
      <c r="AP14" s="153">
        <f t="shared" si="3"/>
        <v>2897.999646289953</v>
      </c>
      <c r="AQ14" s="153">
        <f t="shared" si="4"/>
        <v>5360.9205221532384</v>
      </c>
      <c r="AR14" s="153">
        <f t="shared" si="5"/>
        <v>3437.823109814552</v>
      </c>
      <c r="AS14" s="53" t="str">
        <f t="shared" si="6"/>
        <v>OK</v>
      </c>
      <c r="AT14" s="153">
        <f t="shared" si="7"/>
        <v>0.6</v>
      </c>
      <c r="AU14" s="150">
        <f t="shared" si="8"/>
        <v>285.78110853658524</v>
      </c>
      <c r="AV14" s="153">
        <f t="shared" si="9"/>
        <v>395.696919512195</v>
      </c>
      <c r="AW14" s="154">
        <f t="shared" si="10"/>
        <v>1452.2198227519655</v>
      </c>
      <c r="AX14" s="153">
        <f t="shared" si="11"/>
        <v>1452.2198227519655</v>
      </c>
      <c r="AY14" s="53" t="str">
        <f t="shared" si="12"/>
        <v>OK</v>
      </c>
      <c r="AZ14" s="350"/>
      <c r="BA14" s="153">
        <f t="shared" si="13"/>
        <v>479.43433292682909</v>
      </c>
      <c r="BB14" s="153">
        <f t="shared" si="14"/>
        <v>471.39411701843341</v>
      </c>
      <c r="BC14" s="150">
        <f t="shared" si="15"/>
        <v>1.8E-3</v>
      </c>
      <c r="BD14" s="148">
        <f t="shared" si="16"/>
        <v>38.744999999999997</v>
      </c>
      <c r="BE14" s="144">
        <v>5</v>
      </c>
      <c r="BF14" s="144">
        <v>27</v>
      </c>
      <c r="BG14" s="155">
        <f t="shared" si="17"/>
        <v>53.73</v>
      </c>
      <c r="BH14" s="53" t="str">
        <f t="shared" si="18"/>
        <v>OK</v>
      </c>
      <c r="BI14" s="148">
        <f t="shared" si="19"/>
        <v>0.15</v>
      </c>
      <c r="BJ14" s="155" t="str">
        <f t="shared" si="20"/>
        <v>27#5@15</v>
      </c>
      <c r="BK14" s="197">
        <f t="shared" si="21"/>
        <v>0.72110552763819091</v>
      </c>
      <c r="BL14" s="350"/>
      <c r="BM14" s="155">
        <f t="shared" si="22"/>
        <v>0</v>
      </c>
      <c r="BN14" s="153">
        <f t="shared" si="23"/>
        <v>0</v>
      </c>
      <c r="BO14" s="153">
        <f t="shared" si="24"/>
        <v>0</v>
      </c>
      <c r="BP14" s="153">
        <f t="shared" si="25"/>
        <v>9.2317499999999999</v>
      </c>
      <c r="BQ14" s="144">
        <v>10</v>
      </c>
      <c r="BR14" s="155" t="s">
        <v>191</v>
      </c>
      <c r="BS14" s="144">
        <v>6</v>
      </c>
      <c r="BT14" s="153">
        <f t="shared" si="26"/>
        <v>28.4</v>
      </c>
      <c r="BU14" s="153">
        <f t="shared" si="27"/>
        <v>1073.5199999999998</v>
      </c>
      <c r="BV14" s="53" t="str">
        <f t="shared" si="28"/>
        <v>OK</v>
      </c>
      <c r="BW14" s="122"/>
      <c r="BX14" s="350"/>
      <c r="BY14" s="153">
        <f t="shared" si="29"/>
        <v>17.04</v>
      </c>
      <c r="BZ14" s="153">
        <f t="shared" si="30"/>
        <v>644.11199999999997</v>
      </c>
      <c r="CA14" s="155" t="str">
        <f t="shared" si="31"/>
        <v>OK</v>
      </c>
      <c r="CB14" s="153">
        <f t="shared" si="32"/>
        <v>71.489958358120163</v>
      </c>
      <c r="CC14" s="53" t="str">
        <f t="shared" si="33"/>
        <v>OK</v>
      </c>
      <c r="CI14" s="122"/>
      <c r="CJ14" s="350"/>
      <c r="CK14" s="153">
        <f t="shared" si="34"/>
        <v>149.70550774002939</v>
      </c>
      <c r="CL14" s="153">
        <f t="shared" si="35"/>
        <v>0</v>
      </c>
      <c r="CM14" s="150">
        <f t="shared" si="36"/>
        <v>0</v>
      </c>
      <c r="CN14" s="150">
        <f t="shared" si="37"/>
        <v>0</v>
      </c>
      <c r="CO14" s="53" t="str">
        <f t="shared" si="38"/>
        <v>OK</v>
      </c>
      <c r="CP14" s="158">
        <f t="shared" si="39"/>
        <v>9.2317499999999999</v>
      </c>
      <c r="CQ14" s="144">
        <v>10</v>
      </c>
      <c r="CR14" s="155" t="s">
        <v>191</v>
      </c>
      <c r="CS14" s="144">
        <v>6</v>
      </c>
      <c r="CU14" s="117"/>
      <c r="CW14" s="350"/>
      <c r="CX14" s="111">
        <f t="shared" si="40"/>
        <v>288</v>
      </c>
      <c r="CY14" s="156">
        <f t="shared" si="41"/>
        <v>4.0999999999999996</v>
      </c>
      <c r="CZ14" s="156">
        <f t="shared" si="42"/>
        <v>4.0999999999999996</v>
      </c>
      <c r="DA14" s="140" t="str">
        <f t="shared" si="43"/>
        <v>27#5@15</v>
      </c>
      <c r="DB14" s="140" t="str">
        <f t="shared" si="44"/>
        <v>27#5@15</v>
      </c>
    </row>
    <row r="15" spans="1:106" ht="15" customHeight="1" x14ac:dyDescent="0.25">
      <c r="A15" s="123"/>
      <c r="B15" s="124"/>
      <c r="C15" s="188"/>
      <c r="D15" s="124"/>
      <c r="E15" s="124"/>
      <c r="F15" s="124"/>
      <c r="G15" s="124"/>
      <c r="H15" s="125"/>
      <c r="I15" s="124"/>
      <c r="J15" s="124"/>
      <c r="K15" s="124"/>
      <c r="L15" s="126"/>
      <c r="M15" s="349">
        <f>Y15</f>
        <v>0</v>
      </c>
      <c r="N15" s="143">
        <v>288</v>
      </c>
      <c r="O15" s="144" t="s">
        <v>837</v>
      </c>
      <c r="P15" s="145">
        <v>24.195</v>
      </c>
      <c r="Q15" s="145">
        <v>3.7187999999999999</v>
      </c>
      <c r="R15" s="145">
        <v>382.06180000000001</v>
      </c>
      <c r="S15" s="145">
        <v>-5.9253999999999998</v>
      </c>
      <c r="T15" s="145">
        <v>40.624200000000002</v>
      </c>
      <c r="U15" s="145">
        <v>0.6</v>
      </c>
      <c r="V15" s="146">
        <f t="shared" si="45"/>
        <v>0.52500000000000002</v>
      </c>
      <c r="W15" s="147">
        <f t="shared" si="46"/>
        <v>254.99999999999994</v>
      </c>
      <c r="X15" s="147">
        <f t="shared" si="47"/>
        <v>395.5139999999999</v>
      </c>
      <c r="Y15" s="349"/>
      <c r="Z15" s="148">
        <f t="shared" si="0"/>
        <v>2.7311336621851994</v>
      </c>
      <c r="AA15" s="149">
        <v>4.0999999999999996</v>
      </c>
      <c r="AB15" s="148">
        <f t="shared" si="48"/>
        <v>2.7311336621851994</v>
      </c>
      <c r="AC15" s="149">
        <v>4.0999999999999996</v>
      </c>
      <c r="AD15" s="150">
        <f t="shared" si="49"/>
        <v>8.6205971513180935E-2</v>
      </c>
      <c r="AE15" s="150">
        <f t="shared" si="1"/>
        <v>1.4644929699107806E-3</v>
      </c>
      <c r="AF15" s="53" t="str">
        <f t="shared" si="50"/>
        <v>OK</v>
      </c>
      <c r="AG15" s="53" t="str">
        <f t="shared" si="51"/>
        <v>OK</v>
      </c>
      <c r="AH15" s="155" t="s">
        <v>147</v>
      </c>
      <c r="AI15" s="153">
        <f t="shared" si="53"/>
        <v>3.9249999999999998</v>
      </c>
      <c r="AJ15" s="153">
        <f t="shared" si="54"/>
        <v>2.0499999999999998</v>
      </c>
      <c r="AK15" s="152">
        <f t="shared" si="55"/>
        <v>0.50065909242419182</v>
      </c>
      <c r="AL15" s="150">
        <f t="shared" si="56"/>
        <v>45.530488562499009</v>
      </c>
      <c r="AM15" s="150">
        <f t="shared" si="57"/>
        <v>1399.8018714455757</v>
      </c>
      <c r="AN15" s="349">
        <f>Y15</f>
        <v>0</v>
      </c>
      <c r="AO15" s="153">
        <f t="shared" si="2"/>
        <v>1038.7568196237357</v>
      </c>
      <c r="AP15" s="153">
        <f t="shared" si="3"/>
        <v>2897.999646289953</v>
      </c>
      <c r="AQ15" s="153">
        <f t="shared" si="4"/>
        <v>5360.9205221532384</v>
      </c>
      <c r="AR15" s="153">
        <f t="shared" si="5"/>
        <v>3437.823109814552</v>
      </c>
      <c r="AS15" s="53" t="str">
        <f t="shared" si="6"/>
        <v>OK</v>
      </c>
      <c r="AT15" s="153">
        <f t="shared" si="7"/>
        <v>0.6</v>
      </c>
      <c r="AU15" s="150">
        <f t="shared" si="8"/>
        <v>245.55156219512187</v>
      </c>
      <c r="AV15" s="153">
        <f t="shared" si="9"/>
        <v>339.99447073170722</v>
      </c>
      <c r="AW15" s="154">
        <f t="shared" si="10"/>
        <v>1452.2198227519655</v>
      </c>
      <c r="AX15" s="153">
        <f t="shared" si="11"/>
        <v>1452.2198227519655</v>
      </c>
      <c r="AY15" s="53" t="str">
        <f t="shared" si="12"/>
        <v>OK</v>
      </c>
      <c r="AZ15" s="349">
        <f>AN15</f>
        <v>0</v>
      </c>
      <c r="BA15" s="153">
        <f t="shared" si="13"/>
        <v>372.34292560975598</v>
      </c>
      <c r="BB15" s="153">
        <f t="shared" si="14"/>
        <v>366.09865541827799</v>
      </c>
      <c r="BC15" s="150">
        <f t="shared" si="15"/>
        <v>1.8E-3</v>
      </c>
      <c r="BD15" s="148">
        <f t="shared" si="16"/>
        <v>38.744999999999997</v>
      </c>
      <c r="BE15" s="144">
        <v>5</v>
      </c>
      <c r="BF15" s="144">
        <v>27</v>
      </c>
      <c r="BG15" s="155">
        <f t="shared" si="17"/>
        <v>53.73</v>
      </c>
      <c r="BH15" s="53" t="str">
        <f t="shared" si="18"/>
        <v>OK</v>
      </c>
      <c r="BI15" s="148">
        <f t="shared" si="19"/>
        <v>0.15</v>
      </c>
      <c r="BJ15" s="155" t="str">
        <f t="shared" si="20"/>
        <v>27#5@15</v>
      </c>
      <c r="BK15" s="197">
        <f t="shared" si="21"/>
        <v>0.72110552763819091</v>
      </c>
      <c r="BL15" s="349">
        <f>AZ15</f>
        <v>0</v>
      </c>
      <c r="BM15" s="155">
        <f t="shared" si="22"/>
        <v>0</v>
      </c>
      <c r="BN15" s="153">
        <f t="shared" si="23"/>
        <v>0</v>
      </c>
      <c r="BO15" s="153">
        <f t="shared" si="24"/>
        <v>0</v>
      </c>
      <c r="BP15" s="153">
        <f t="shared" si="25"/>
        <v>9.2317499999999999</v>
      </c>
      <c r="BQ15" s="144">
        <v>10</v>
      </c>
      <c r="BR15" s="155" t="s">
        <v>191</v>
      </c>
      <c r="BS15" s="144">
        <v>6</v>
      </c>
      <c r="BT15" s="153">
        <f t="shared" si="26"/>
        <v>28.4</v>
      </c>
      <c r="BU15" s="153">
        <f t="shared" si="27"/>
        <v>1073.5199999999998</v>
      </c>
      <c r="BV15" s="53" t="str">
        <f t="shared" si="28"/>
        <v>OK</v>
      </c>
      <c r="BW15" s="122"/>
      <c r="BX15" s="349">
        <f>BL15</f>
        <v>0</v>
      </c>
      <c r="BY15" s="153">
        <f t="shared" si="29"/>
        <v>17.04</v>
      </c>
      <c r="BZ15" s="153">
        <f t="shared" si="30"/>
        <v>644.11199999999997</v>
      </c>
      <c r="CA15" s="155" t="str">
        <f t="shared" si="31"/>
        <v>OK</v>
      </c>
      <c r="CB15" s="153">
        <f t="shared" si="32"/>
        <v>61.426281975014867</v>
      </c>
      <c r="CC15" s="53" t="str">
        <f t="shared" si="33"/>
        <v>OK</v>
      </c>
      <c r="CI15" s="122"/>
      <c r="CJ15" s="349">
        <f>BX15</f>
        <v>0</v>
      </c>
      <c r="CK15" s="153">
        <f t="shared" si="34"/>
        <v>89.027043927561692</v>
      </c>
      <c r="CL15" s="153">
        <f t="shared" si="35"/>
        <v>0</v>
      </c>
      <c r="CM15" s="150">
        <f t="shared" si="36"/>
        <v>0</v>
      </c>
      <c r="CN15" s="150">
        <f t="shared" si="37"/>
        <v>0</v>
      </c>
      <c r="CO15" s="53" t="str">
        <f t="shared" si="38"/>
        <v>OK</v>
      </c>
      <c r="CP15" s="158">
        <f t="shared" si="39"/>
        <v>9.2317499999999999</v>
      </c>
      <c r="CQ15" s="144">
        <v>10</v>
      </c>
      <c r="CR15" s="155" t="s">
        <v>191</v>
      </c>
      <c r="CS15" s="144">
        <v>6</v>
      </c>
      <c r="CU15" s="117"/>
      <c r="CW15" s="349">
        <f>AZ15</f>
        <v>0</v>
      </c>
      <c r="CX15" s="111">
        <f t="shared" si="40"/>
        <v>288</v>
      </c>
      <c r="CY15" s="156">
        <f t="shared" si="41"/>
        <v>4.0999999999999996</v>
      </c>
      <c r="CZ15" s="156">
        <f t="shared" si="42"/>
        <v>4.0999999999999996</v>
      </c>
      <c r="DA15" s="140" t="str">
        <f t="shared" si="43"/>
        <v>27#5@15</v>
      </c>
      <c r="DB15" s="140" t="str">
        <f t="shared" si="44"/>
        <v>27#5@15</v>
      </c>
    </row>
    <row r="16" spans="1:106" ht="15" customHeight="1" x14ac:dyDescent="0.25">
      <c r="A16" s="123"/>
      <c r="B16" s="124"/>
      <c r="C16" s="188"/>
      <c r="D16" s="124"/>
      <c r="E16" s="124"/>
      <c r="F16" s="124"/>
      <c r="G16" s="124"/>
      <c r="H16" s="125"/>
      <c r="I16" s="124"/>
      <c r="J16" s="124"/>
      <c r="K16" s="124"/>
      <c r="L16" s="126"/>
      <c r="M16" s="350"/>
      <c r="N16" s="143">
        <v>288</v>
      </c>
      <c r="O16" s="144" t="s">
        <v>837</v>
      </c>
      <c r="P16" s="145">
        <v>24.1694</v>
      </c>
      <c r="Q16" s="145">
        <v>3.7372000000000001</v>
      </c>
      <c r="R16" s="145">
        <v>387.84699999999998</v>
      </c>
      <c r="S16" s="145">
        <v>-5.9562999999999997</v>
      </c>
      <c r="T16" s="145">
        <v>40.541800000000002</v>
      </c>
      <c r="U16" s="145">
        <v>0.6</v>
      </c>
      <c r="V16" s="146">
        <f t="shared" si="45"/>
        <v>0.52500000000000002</v>
      </c>
      <c r="W16" s="147">
        <f t="shared" si="46"/>
        <v>254.99999999999994</v>
      </c>
      <c r="X16" s="147">
        <f t="shared" si="47"/>
        <v>395.5139999999999</v>
      </c>
      <c r="Y16" s="350"/>
      <c r="Z16" s="148">
        <f t="shared" si="0"/>
        <v>2.7387738206164376</v>
      </c>
      <c r="AA16" s="149">
        <v>4.0999999999999996</v>
      </c>
      <c r="AB16" s="148">
        <f t="shared" si="48"/>
        <v>2.7387738206164376</v>
      </c>
      <c r="AC16" s="149">
        <v>4.0999999999999996</v>
      </c>
      <c r="AD16" s="150">
        <f t="shared" si="49"/>
        <v>8.5597012984886769E-2</v>
      </c>
      <c r="AE16" s="150">
        <f t="shared" si="1"/>
        <v>1.4620156188454695E-3</v>
      </c>
      <c r="AF16" s="53" t="str">
        <f t="shared" si="50"/>
        <v>OK</v>
      </c>
      <c r="AG16" s="53" t="str">
        <f t="shared" si="51"/>
        <v>OK</v>
      </c>
      <c r="AH16" s="155" t="s">
        <v>147</v>
      </c>
      <c r="AI16" s="153">
        <f t="shared" si="53"/>
        <v>3.9249999999999998</v>
      </c>
      <c r="AJ16" s="153">
        <f t="shared" si="54"/>
        <v>2.0499999999999998</v>
      </c>
      <c r="AK16" s="152">
        <f t="shared" si="55"/>
        <v>0.50306486253427463</v>
      </c>
      <c r="AL16" s="150">
        <f t="shared" si="56"/>
        <v>45.854403829407083</v>
      </c>
      <c r="AM16" s="150">
        <f t="shared" si="57"/>
        <v>1402.1738027797899</v>
      </c>
      <c r="AN16" s="350"/>
      <c r="AO16" s="153">
        <f t="shared" si="2"/>
        <v>1044.5766499479475</v>
      </c>
      <c r="AP16" s="153">
        <f t="shared" si="3"/>
        <v>2897.999646289953</v>
      </c>
      <c r="AQ16" s="153">
        <f t="shared" si="4"/>
        <v>5360.9205221532384</v>
      </c>
      <c r="AR16" s="153">
        <f t="shared" si="5"/>
        <v>3437.823109814552</v>
      </c>
      <c r="AS16" s="53" t="str">
        <f t="shared" si="6"/>
        <v>OK</v>
      </c>
      <c r="AT16" s="153">
        <f t="shared" si="7"/>
        <v>0.6</v>
      </c>
      <c r="AU16" s="150">
        <f t="shared" si="8"/>
        <v>246.92731097560969</v>
      </c>
      <c r="AV16" s="153">
        <f t="shared" si="9"/>
        <v>341.89935365853648</v>
      </c>
      <c r="AW16" s="154">
        <f t="shared" si="10"/>
        <v>1452.2198227519655</v>
      </c>
      <c r="AX16" s="153">
        <f t="shared" si="11"/>
        <v>1452.2198227519655</v>
      </c>
      <c r="AY16" s="53" t="str">
        <f t="shared" si="12"/>
        <v>OK</v>
      </c>
      <c r="AZ16" s="350"/>
      <c r="BA16" s="153">
        <f t="shared" si="13"/>
        <v>373.79672804878038</v>
      </c>
      <c r="BB16" s="153">
        <f t="shared" si="14"/>
        <v>367.5280772806621</v>
      </c>
      <c r="BC16" s="150">
        <f t="shared" si="15"/>
        <v>1.8E-3</v>
      </c>
      <c r="BD16" s="148">
        <f t="shared" si="16"/>
        <v>38.744999999999997</v>
      </c>
      <c r="BE16" s="144">
        <v>5</v>
      </c>
      <c r="BF16" s="144">
        <v>27</v>
      </c>
      <c r="BG16" s="155">
        <f t="shared" si="17"/>
        <v>53.73</v>
      </c>
      <c r="BH16" s="53" t="str">
        <f t="shared" si="18"/>
        <v>OK</v>
      </c>
      <c r="BI16" s="148">
        <f t="shared" si="19"/>
        <v>0.15</v>
      </c>
      <c r="BJ16" s="155" t="str">
        <f t="shared" si="20"/>
        <v>27#5@15</v>
      </c>
      <c r="BK16" s="197">
        <f t="shared" si="21"/>
        <v>0.72110552763819091</v>
      </c>
      <c r="BL16" s="350"/>
      <c r="BM16" s="155">
        <f t="shared" si="22"/>
        <v>0</v>
      </c>
      <c r="BN16" s="153">
        <f t="shared" si="23"/>
        <v>0</v>
      </c>
      <c r="BO16" s="153">
        <f t="shared" si="24"/>
        <v>0</v>
      </c>
      <c r="BP16" s="153">
        <f t="shared" si="25"/>
        <v>9.2317499999999999</v>
      </c>
      <c r="BQ16" s="144">
        <v>10</v>
      </c>
      <c r="BR16" s="155" t="s">
        <v>191</v>
      </c>
      <c r="BS16" s="144">
        <v>6</v>
      </c>
      <c r="BT16" s="153">
        <f t="shared" si="26"/>
        <v>28.4</v>
      </c>
      <c r="BU16" s="153">
        <f t="shared" si="27"/>
        <v>1073.5199999999998</v>
      </c>
      <c r="BV16" s="53" t="str">
        <f t="shared" si="28"/>
        <v>OK</v>
      </c>
      <c r="BW16" s="122"/>
      <c r="BX16" s="350"/>
      <c r="BY16" s="153">
        <f t="shared" si="29"/>
        <v>17.04</v>
      </c>
      <c r="BZ16" s="153">
        <f t="shared" si="30"/>
        <v>644.11199999999997</v>
      </c>
      <c r="CA16" s="155" t="str">
        <f t="shared" si="31"/>
        <v>OK</v>
      </c>
      <c r="CB16" s="153">
        <f t="shared" si="32"/>
        <v>61.770434265318258</v>
      </c>
      <c r="CC16" s="53" t="str">
        <f t="shared" si="33"/>
        <v>OK</v>
      </c>
      <c r="CI16" s="122"/>
      <c r="CJ16" s="350"/>
      <c r="CK16" s="153">
        <f t="shared" si="34"/>
        <v>88.893563793842802</v>
      </c>
      <c r="CL16" s="153">
        <f t="shared" si="35"/>
        <v>0</v>
      </c>
      <c r="CM16" s="150">
        <f t="shared" si="36"/>
        <v>0</v>
      </c>
      <c r="CN16" s="150">
        <f t="shared" si="37"/>
        <v>0</v>
      </c>
      <c r="CO16" s="53" t="str">
        <f t="shared" si="38"/>
        <v>OK</v>
      </c>
      <c r="CP16" s="158">
        <f t="shared" si="39"/>
        <v>9.2317499999999999</v>
      </c>
      <c r="CQ16" s="144">
        <v>10</v>
      </c>
      <c r="CR16" s="155" t="s">
        <v>191</v>
      </c>
      <c r="CS16" s="144">
        <v>6</v>
      </c>
      <c r="CU16" s="117"/>
      <c r="CW16" s="350"/>
      <c r="CX16" s="111">
        <f t="shared" si="40"/>
        <v>288</v>
      </c>
      <c r="CY16" s="156">
        <f t="shared" si="41"/>
        <v>4.0999999999999996</v>
      </c>
      <c r="CZ16" s="156">
        <f t="shared" si="42"/>
        <v>4.0999999999999996</v>
      </c>
      <c r="DA16" s="140" t="str">
        <f t="shared" si="43"/>
        <v>27#5@15</v>
      </c>
      <c r="DB16" s="140" t="str">
        <f t="shared" si="44"/>
        <v>27#5@15</v>
      </c>
    </row>
    <row r="17" spans="1:106" ht="15" customHeight="1" x14ac:dyDescent="0.25">
      <c r="A17" s="123"/>
      <c r="B17" s="124"/>
      <c r="C17" s="188"/>
      <c r="D17" s="124"/>
      <c r="E17" s="124"/>
      <c r="F17" s="124"/>
      <c r="G17" s="124"/>
      <c r="H17" s="125"/>
      <c r="I17" s="124"/>
      <c r="J17" s="124"/>
      <c r="K17" s="124"/>
      <c r="L17" s="126"/>
      <c r="M17" s="349">
        <f>Y17</f>
        <v>0</v>
      </c>
      <c r="N17" s="143">
        <v>288</v>
      </c>
      <c r="O17" s="144" t="s">
        <v>837</v>
      </c>
      <c r="P17" s="145">
        <v>36.7789</v>
      </c>
      <c r="Q17" s="145">
        <v>4.8029999999999999</v>
      </c>
      <c r="R17" s="145">
        <v>513.27850000000001</v>
      </c>
      <c r="S17" s="145">
        <v>-7.4532999999999996</v>
      </c>
      <c r="T17" s="145">
        <v>60.860799999999998</v>
      </c>
      <c r="U17" s="145">
        <v>0.6</v>
      </c>
      <c r="V17" s="146">
        <f t="shared" si="45"/>
        <v>0.52500000000000002</v>
      </c>
      <c r="W17" s="147">
        <f t="shared" si="46"/>
        <v>254.99999999999994</v>
      </c>
      <c r="X17" s="147">
        <f t="shared" si="47"/>
        <v>395.5139999999999</v>
      </c>
      <c r="Y17" s="349"/>
      <c r="Z17" s="148">
        <f t="shared" si="0"/>
        <v>2.8994776198462091</v>
      </c>
      <c r="AA17" s="149">
        <v>4.0999999999999996</v>
      </c>
      <c r="AB17" s="148">
        <f t="shared" si="48"/>
        <v>2.8994776198462091</v>
      </c>
      <c r="AC17" s="149">
        <v>4.0999999999999996</v>
      </c>
      <c r="AD17" s="150">
        <f t="shared" si="49"/>
        <v>0.11550048655580786</v>
      </c>
      <c r="AE17" s="150">
        <f t="shared" si="1"/>
        <v>1.8497283665258202E-3</v>
      </c>
      <c r="AF17" s="53" t="str">
        <f t="shared" si="50"/>
        <v>OK</v>
      </c>
      <c r="AG17" s="53" t="str">
        <f t="shared" si="51"/>
        <v>OK</v>
      </c>
      <c r="AH17" s="155" t="str">
        <f t="shared" si="52"/>
        <v>Central</v>
      </c>
      <c r="AI17" s="153">
        <f t="shared" si="53"/>
        <v>2.0499999999999998</v>
      </c>
      <c r="AJ17" s="153">
        <f t="shared" si="54"/>
        <v>2.0499999999999998</v>
      </c>
      <c r="AK17" s="152">
        <f t="shared" si="55"/>
        <v>0.58600336133167541</v>
      </c>
      <c r="AL17" s="150">
        <f t="shared" si="56"/>
        <v>17.748842980063767</v>
      </c>
      <c r="AM17" s="150">
        <f t="shared" si="57"/>
        <v>1108.27083430111</v>
      </c>
      <c r="AN17" s="349">
        <f>Y17</f>
        <v>0</v>
      </c>
      <c r="AO17" s="153">
        <f t="shared" si="2"/>
        <v>1170.758985443932</v>
      </c>
      <c r="AP17" s="153">
        <f t="shared" si="3"/>
        <v>2897.999646289953</v>
      </c>
      <c r="AQ17" s="153">
        <f t="shared" si="4"/>
        <v>5360.9205221532384</v>
      </c>
      <c r="AR17" s="153">
        <f t="shared" si="5"/>
        <v>3437.823109814552</v>
      </c>
      <c r="AS17" s="53" t="str">
        <f t="shared" si="6"/>
        <v>OK</v>
      </c>
      <c r="AT17" s="153">
        <f t="shared" si="7"/>
        <v>0.6</v>
      </c>
      <c r="AU17" s="150">
        <f t="shared" si="8"/>
        <v>276.75553353658529</v>
      </c>
      <c r="AV17" s="153">
        <f t="shared" si="9"/>
        <v>383.19996951219497</v>
      </c>
      <c r="AW17" s="154">
        <f t="shared" si="10"/>
        <v>1452.2198227519655</v>
      </c>
      <c r="AX17" s="153">
        <f t="shared" si="11"/>
        <v>1452.2198227519655</v>
      </c>
      <c r="AY17" s="53" t="str">
        <f t="shared" si="12"/>
        <v>OK</v>
      </c>
      <c r="AZ17" s="349">
        <f>AN17</f>
        <v>0</v>
      </c>
      <c r="BA17" s="153">
        <f t="shared" si="13"/>
        <v>453.75190792682906</v>
      </c>
      <c r="BB17" s="153">
        <f t="shared" si="14"/>
        <v>446.14239175741665</v>
      </c>
      <c r="BC17" s="150">
        <f t="shared" si="15"/>
        <v>1.8E-3</v>
      </c>
      <c r="BD17" s="148">
        <f t="shared" si="16"/>
        <v>38.744999999999997</v>
      </c>
      <c r="BE17" s="144">
        <v>5</v>
      </c>
      <c r="BF17" s="144">
        <v>27</v>
      </c>
      <c r="BG17" s="155">
        <f t="shared" si="17"/>
        <v>53.73</v>
      </c>
      <c r="BH17" s="53" t="str">
        <f t="shared" si="18"/>
        <v>OK</v>
      </c>
      <c r="BI17" s="148">
        <f t="shared" si="19"/>
        <v>0.15</v>
      </c>
      <c r="BJ17" s="155" t="str">
        <f t="shared" si="20"/>
        <v>27#5@15</v>
      </c>
      <c r="BK17" s="197">
        <f t="shared" si="21"/>
        <v>0.72110552763819091</v>
      </c>
      <c r="BL17" s="349">
        <f>AZ17</f>
        <v>0</v>
      </c>
      <c r="BM17" s="155">
        <f t="shared" si="22"/>
        <v>0</v>
      </c>
      <c r="BN17" s="153">
        <f t="shared" si="23"/>
        <v>0</v>
      </c>
      <c r="BO17" s="153">
        <f t="shared" si="24"/>
        <v>0</v>
      </c>
      <c r="BP17" s="153">
        <f t="shared" si="25"/>
        <v>9.2317499999999999</v>
      </c>
      <c r="BQ17" s="144">
        <v>10</v>
      </c>
      <c r="BR17" s="155" t="s">
        <v>191</v>
      </c>
      <c r="BS17" s="144">
        <v>6</v>
      </c>
      <c r="BT17" s="153">
        <f t="shared" si="26"/>
        <v>28.4</v>
      </c>
      <c r="BU17" s="153">
        <f t="shared" si="27"/>
        <v>1073.5199999999998</v>
      </c>
      <c r="BV17" s="53" t="str">
        <f t="shared" si="28"/>
        <v>OK</v>
      </c>
      <c r="BW17" s="122"/>
      <c r="BX17" s="349">
        <f>BL17</f>
        <v>0</v>
      </c>
      <c r="BY17" s="153">
        <f t="shared" si="29"/>
        <v>17.04</v>
      </c>
      <c r="BZ17" s="153">
        <f t="shared" si="30"/>
        <v>644.11199999999997</v>
      </c>
      <c r="CA17" s="155" t="str">
        <f t="shared" si="31"/>
        <v>OK</v>
      </c>
      <c r="CB17" s="153">
        <f t="shared" si="32"/>
        <v>69.232153480071375</v>
      </c>
      <c r="CC17" s="53" t="str">
        <f t="shared" si="33"/>
        <v>OK</v>
      </c>
      <c r="CI17" s="122"/>
      <c r="CJ17" s="349">
        <f>BX17</f>
        <v>0</v>
      </c>
      <c r="CK17" s="153">
        <f t="shared" si="34"/>
        <v>134.43583652899252</v>
      </c>
      <c r="CL17" s="153">
        <f t="shared" si="35"/>
        <v>0</v>
      </c>
      <c r="CM17" s="150">
        <f t="shared" si="36"/>
        <v>0</v>
      </c>
      <c r="CN17" s="150">
        <f t="shared" si="37"/>
        <v>0</v>
      </c>
      <c r="CO17" s="53" t="str">
        <f t="shared" si="38"/>
        <v>OK</v>
      </c>
      <c r="CP17" s="158">
        <f t="shared" si="39"/>
        <v>9.2317499999999999</v>
      </c>
      <c r="CQ17" s="144">
        <v>10</v>
      </c>
      <c r="CR17" s="155" t="s">
        <v>191</v>
      </c>
      <c r="CS17" s="144">
        <v>6</v>
      </c>
      <c r="CU17" s="117"/>
      <c r="CW17" s="349">
        <f>AZ17</f>
        <v>0</v>
      </c>
      <c r="CX17" s="111">
        <f t="shared" si="40"/>
        <v>288</v>
      </c>
      <c r="CY17" s="156">
        <f t="shared" si="41"/>
        <v>4.0999999999999996</v>
      </c>
      <c r="CZ17" s="156">
        <f t="shared" si="42"/>
        <v>4.0999999999999996</v>
      </c>
      <c r="DA17" s="140" t="str">
        <f t="shared" si="43"/>
        <v>27#5@15</v>
      </c>
      <c r="DB17" s="140" t="str">
        <f t="shared" si="44"/>
        <v>27#5@15</v>
      </c>
    </row>
    <row r="18" spans="1:106" ht="15" customHeight="1" x14ac:dyDescent="0.25">
      <c r="A18" s="123"/>
      <c r="B18" s="124"/>
      <c r="C18" s="188"/>
      <c r="D18" s="124"/>
      <c r="E18" s="124"/>
      <c r="F18" s="124"/>
      <c r="G18" s="124"/>
      <c r="H18" s="125"/>
      <c r="I18" s="124"/>
      <c r="J18" s="124"/>
      <c r="K18" s="124"/>
      <c r="L18" s="126"/>
      <c r="M18" s="350"/>
      <c r="N18" s="143">
        <v>288</v>
      </c>
      <c r="O18" s="144" t="s">
        <v>837</v>
      </c>
      <c r="P18" s="145">
        <v>36.798099999999998</v>
      </c>
      <c r="Q18" s="145">
        <v>4.7892000000000001</v>
      </c>
      <c r="R18" s="145">
        <v>508.93959999999998</v>
      </c>
      <c r="S18" s="145">
        <v>-7.4302000000000001</v>
      </c>
      <c r="T18" s="145">
        <v>60.922600000000003</v>
      </c>
      <c r="U18" s="145">
        <v>0.6</v>
      </c>
      <c r="V18" s="146">
        <f t="shared" si="45"/>
        <v>0.52500000000000002</v>
      </c>
      <c r="W18" s="147">
        <f t="shared" si="46"/>
        <v>254.99999999999994</v>
      </c>
      <c r="X18" s="147">
        <f t="shared" si="47"/>
        <v>395.5139999999999</v>
      </c>
      <c r="Y18" s="350"/>
      <c r="Z18" s="148">
        <f t="shared" si="0"/>
        <v>2.8940675956444801</v>
      </c>
      <c r="AA18" s="149">
        <v>4.0999999999999996</v>
      </c>
      <c r="AB18" s="148">
        <f t="shared" si="48"/>
        <v>2.8940675956444801</v>
      </c>
      <c r="AC18" s="149">
        <v>4.0999999999999996</v>
      </c>
      <c r="AD18" s="150">
        <f t="shared" si="49"/>
        <v>0.11601913177034426</v>
      </c>
      <c r="AE18" s="150">
        <f t="shared" si="1"/>
        <v>1.8527692699388751E-3</v>
      </c>
      <c r="AF18" s="53" t="str">
        <f t="shared" si="50"/>
        <v>OK</v>
      </c>
      <c r="AG18" s="53" t="str">
        <f t="shared" si="51"/>
        <v>OK</v>
      </c>
      <c r="AH18" s="155" t="str">
        <f t="shared" si="52"/>
        <v>Central</v>
      </c>
      <c r="AI18" s="153">
        <f t="shared" si="53"/>
        <v>2.0499999999999998</v>
      </c>
      <c r="AJ18" s="153">
        <f t="shared" si="54"/>
        <v>2.0499999999999998</v>
      </c>
      <c r="AK18" s="152">
        <f t="shared" si="55"/>
        <v>0.58419898658356251</v>
      </c>
      <c r="AL18" s="150">
        <f t="shared" si="56"/>
        <v>17.669499579240966</v>
      </c>
      <c r="AM18" s="150">
        <f t="shared" si="57"/>
        <v>1106.4518573689597</v>
      </c>
      <c r="AN18" s="350"/>
      <c r="AO18" s="153">
        <f t="shared" si="2"/>
        <v>1166.3941127007731</v>
      </c>
      <c r="AP18" s="153">
        <f t="shared" si="3"/>
        <v>2897.999646289953</v>
      </c>
      <c r="AQ18" s="153">
        <f t="shared" si="4"/>
        <v>5360.9205221532384</v>
      </c>
      <c r="AR18" s="153">
        <f t="shared" si="5"/>
        <v>3437.823109814552</v>
      </c>
      <c r="AS18" s="53" t="str">
        <f t="shared" si="6"/>
        <v>OK</v>
      </c>
      <c r="AT18" s="153">
        <f t="shared" si="7"/>
        <v>0.6</v>
      </c>
      <c r="AU18" s="150">
        <f t="shared" si="8"/>
        <v>275.72372195121943</v>
      </c>
      <c r="AV18" s="153">
        <f t="shared" si="9"/>
        <v>381.77130731707308</v>
      </c>
      <c r="AW18" s="154">
        <f t="shared" si="10"/>
        <v>1452.2198227519655</v>
      </c>
      <c r="AX18" s="153">
        <f t="shared" si="11"/>
        <v>1452.2198227519655</v>
      </c>
      <c r="AY18" s="53" t="str">
        <f t="shared" si="12"/>
        <v>OK</v>
      </c>
      <c r="AZ18" s="350"/>
      <c r="BA18" s="153">
        <f t="shared" si="13"/>
        <v>452.66155609756083</v>
      </c>
      <c r="BB18" s="153">
        <f t="shared" si="14"/>
        <v>445.0703253606286</v>
      </c>
      <c r="BC18" s="150">
        <f t="shared" si="15"/>
        <v>1.8E-3</v>
      </c>
      <c r="BD18" s="148">
        <f t="shared" si="16"/>
        <v>38.744999999999997</v>
      </c>
      <c r="BE18" s="144">
        <v>5</v>
      </c>
      <c r="BF18" s="144">
        <v>27</v>
      </c>
      <c r="BG18" s="155">
        <f t="shared" si="17"/>
        <v>53.73</v>
      </c>
      <c r="BH18" s="53" t="str">
        <f>IF(BG18&gt;=BD18,"OK","N/C")</f>
        <v>OK</v>
      </c>
      <c r="BI18" s="148">
        <f t="shared" si="19"/>
        <v>0.15</v>
      </c>
      <c r="BJ18" s="155" t="str">
        <f t="shared" si="20"/>
        <v>27#5@15</v>
      </c>
      <c r="BK18" s="197">
        <f t="shared" si="21"/>
        <v>0.72110552763819091</v>
      </c>
      <c r="BL18" s="350"/>
      <c r="BM18" s="155">
        <f t="shared" si="22"/>
        <v>0</v>
      </c>
      <c r="BN18" s="153">
        <f t="shared" si="23"/>
        <v>0</v>
      </c>
      <c r="BO18" s="153">
        <f t="shared" si="24"/>
        <v>0</v>
      </c>
      <c r="BP18" s="153">
        <f t="shared" si="25"/>
        <v>9.2317499999999999</v>
      </c>
      <c r="BQ18" s="144">
        <v>10</v>
      </c>
      <c r="BR18" s="155" t="s">
        <v>191</v>
      </c>
      <c r="BS18" s="144">
        <v>6</v>
      </c>
      <c r="BT18" s="153">
        <f t="shared" si="26"/>
        <v>28.4</v>
      </c>
      <c r="BU18" s="153">
        <f t="shared" si="27"/>
        <v>1073.5199999999998</v>
      </c>
      <c r="BV18" s="53" t="str">
        <f t="shared" si="28"/>
        <v>OK</v>
      </c>
      <c r="BW18" s="122"/>
      <c r="BX18" s="350"/>
      <c r="BY18" s="153">
        <f t="shared" si="29"/>
        <v>17.04</v>
      </c>
      <c r="BZ18" s="153">
        <f t="shared" si="30"/>
        <v>644.11199999999997</v>
      </c>
      <c r="CA18" s="155" t="str">
        <f t="shared" si="31"/>
        <v>OK</v>
      </c>
      <c r="CB18" s="153">
        <f t="shared" si="32"/>
        <v>68.974039262343837</v>
      </c>
      <c r="CC18" s="53" t="str">
        <f t="shared" si="33"/>
        <v>OK</v>
      </c>
      <c r="CI18" s="122"/>
      <c r="CJ18" s="350"/>
      <c r="CK18" s="153">
        <f t="shared" si="34"/>
        <v>134.53595176264224</v>
      </c>
      <c r="CL18" s="153">
        <f t="shared" si="35"/>
        <v>0</v>
      </c>
      <c r="CM18" s="150">
        <f t="shared" si="36"/>
        <v>0</v>
      </c>
      <c r="CN18" s="150">
        <f t="shared" si="37"/>
        <v>0</v>
      </c>
      <c r="CO18" s="53" t="str">
        <f t="shared" si="38"/>
        <v>OK</v>
      </c>
      <c r="CP18" s="158">
        <f t="shared" si="39"/>
        <v>9.2317499999999999</v>
      </c>
      <c r="CQ18" s="144">
        <v>10</v>
      </c>
      <c r="CR18" s="155" t="s">
        <v>191</v>
      </c>
      <c r="CS18" s="144">
        <v>6</v>
      </c>
      <c r="CU18" s="117"/>
      <c r="CW18" s="350"/>
      <c r="CX18" s="111">
        <f t="shared" si="40"/>
        <v>288</v>
      </c>
      <c r="CY18" s="156">
        <f t="shared" si="41"/>
        <v>4.0999999999999996</v>
      </c>
      <c r="CZ18" s="156">
        <f t="shared" si="42"/>
        <v>4.0999999999999996</v>
      </c>
      <c r="DA18" s="140" t="str">
        <f t="shared" si="43"/>
        <v>27#5@15</v>
      </c>
      <c r="DB18" s="140" t="str">
        <f t="shared" si="44"/>
        <v>27#5@15</v>
      </c>
    </row>
    <row r="19" spans="1:106" ht="15" customHeight="1" x14ac:dyDescent="0.25">
      <c r="A19" s="123"/>
      <c r="B19" s="124"/>
      <c r="C19" s="188"/>
      <c r="D19" s="124"/>
      <c r="E19" s="124"/>
      <c r="F19" s="124"/>
      <c r="G19" s="124"/>
      <c r="H19" s="125"/>
      <c r="I19" s="124"/>
      <c r="J19" s="124"/>
      <c r="K19" s="124"/>
      <c r="L19" s="126"/>
      <c r="M19" s="349">
        <f>Y19</f>
        <v>0</v>
      </c>
      <c r="N19" s="143">
        <v>288</v>
      </c>
      <c r="O19" s="144" t="s">
        <v>837</v>
      </c>
      <c r="P19" s="145">
        <v>24.165700000000001</v>
      </c>
      <c r="Q19" s="145">
        <v>3.7397999999999998</v>
      </c>
      <c r="R19" s="145">
        <v>388.67349999999999</v>
      </c>
      <c r="S19" s="145">
        <v>-5.9607000000000001</v>
      </c>
      <c r="T19" s="145">
        <v>40.530099999999997</v>
      </c>
      <c r="U19" s="145">
        <v>0.6</v>
      </c>
      <c r="V19" s="146">
        <f t="shared" si="45"/>
        <v>0.52500000000000002</v>
      </c>
      <c r="W19" s="147">
        <f t="shared" si="46"/>
        <v>254.99999999999994</v>
      </c>
      <c r="X19" s="147">
        <f t="shared" si="47"/>
        <v>395.5139999999999</v>
      </c>
      <c r="Y19" s="349"/>
      <c r="Z19" s="148">
        <f t="shared" si="0"/>
        <v>2.7398635891581438</v>
      </c>
      <c r="AA19" s="149">
        <v>4.0999999999999996</v>
      </c>
      <c r="AB19" s="148">
        <f t="shared" si="48"/>
        <v>2.7398635891581438</v>
      </c>
      <c r="AC19" s="149">
        <v>4.0999999999999996</v>
      </c>
      <c r="AD19" s="150">
        <f t="shared" si="49"/>
        <v>8.551055512118845E-2</v>
      </c>
      <c r="AE19" s="150">
        <f t="shared" si="1"/>
        <v>1.4616226619354061E-3</v>
      </c>
      <c r="AF19" s="53" t="str">
        <f t="shared" si="50"/>
        <v>OK</v>
      </c>
      <c r="AG19" s="53" t="str">
        <f t="shared" si="51"/>
        <v>OK</v>
      </c>
      <c r="AH19" s="155" t="s">
        <v>53</v>
      </c>
      <c r="AI19" s="153">
        <f t="shared" si="53"/>
        <v>2.0499999999999998</v>
      </c>
      <c r="AJ19" s="153">
        <f t="shared" si="54"/>
        <v>3.55</v>
      </c>
      <c r="AK19" s="152">
        <f t="shared" si="55"/>
        <v>0.50340852645993894</v>
      </c>
      <c r="AL19" s="150">
        <f t="shared" si="56"/>
        <v>23.973648599224628</v>
      </c>
      <c r="AM19" s="150">
        <f t="shared" si="57"/>
        <v>2428.8074428862997</v>
      </c>
      <c r="AN19" s="349">
        <f>Y19</f>
        <v>0</v>
      </c>
      <c r="AO19" s="153">
        <f t="shared" si="2"/>
        <v>1045.4080973936643</v>
      </c>
      <c r="AP19" s="153">
        <f t="shared" si="3"/>
        <v>2897.999646289953</v>
      </c>
      <c r="AQ19" s="153">
        <f t="shared" si="4"/>
        <v>5360.9205221532384</v>
      </c>
      <c r="AR19" s="153">
        <f t="shared" si="5"/>
        <v>3437.823109814552</v>
      </c>
      <c r="AS19" s="53" t="str">
        <f t="shared" si="6"/>
        <v>OK</v>
      </c>
      <c r="AT19" s="153">
        <f t="shared" si="7"/>
        <v>0.6</v>
      </c>
      <c r="AU19" s="150">
        <f t="shared" si="8"/>
        <v>247.123856707317</v>
      </c>
      <c r="AV19" s="153">
        <f t="shared" si="9"/>
        <v>342.1714939024389</v>
      </c>
      <c r="AW19" s="154">
        <f t="shared" si="10"/>
        <v>1452.2198227519655</v>
      </c>
      <c r="AX19" s="153">
        <f t="shared" si="11"/>
        <v>1452.2198227519655</v>
      </c>
      <c r="AY19" s="53" t="str">
        <f t="shared" si="12"/>
        <v>OK</v>
      </c>
      <c r="AZ19" s="349">
        <f>AN19</f>
        <v>0</v>
      </c>
      <c r="BA19" s="153">
        <f t="shared" si="13"/>
        <v>374.00441158536569</v>
      </c>
      <c r="BB19" s="153">
        <f t="shared" si="14"/>
        <v>367.73227792009112</v>
      </c>
      <c r="BC19" s="150">
        <f t="shared" si="15"/>
        <v>1.8E-3</v>
      </c>
      <c r="BD19" s="148">
        <f t="shared" si="16"/>
        <v>38.744999999999997</v>
      </c>
      <c r="BE19" s="144">
        <v>5</v>
      </c>
      <c r="BF19" s="144">
        <v>17</v>
      </c>
      <c r="BG19" s="155">
        <f t="shared" si="17"/>
        <v>33.83</v>
      </c>
      <c r="BH19" s="53" t="str">
        <f t="shared" si="18"/>
        <v>N/C</v>
      </c>
      <c r="BI19" s="148">
        <f t="shared" si="19"/>
        <v>0.23</v>
      </c>
      <c r="BJ19" s="155" t="str">
        <f t="shared" si="20"/>
        <v>17#5@20</v>
      </c>
      <c r="BK19" s="197">
        <f t="shared" si="21"/>
        <v>1.1452852497783033</v>
      </c>
      <c r="BL19" s="349">
        <f>AZ19</f>
        <v>0</v>
      </c>
      <c r="BM19" s="155">
        <f t="shared" si="22"/>
        <v>0</v>
      </c>
      <c r="BN19" s="153">
        <f t="shared" si="23"/>
        <v>0</v>
      </c>
      <c r="BO19" s="153">
        <f t="shared" si="24"/>
        <v>0</v>
      </c>
      <c r="BP19" s="153">
        <f t="shared" si="25"/>
        <v>9.2317499999999999</v>
      </c>
      <c r="BQ19" s="144">
        <v>10</v>
      </c>
      <c r="BR19" s="155" t="s">
        <v>191</v>
      </c>
      <c r="BS19" s="144">
        <v>6</v>
      </c>
      <c r="BT19" s="153">
        <f t="shared" si="26"/>
        <v>28.4</v>
      </c>
      <c r="BU19" s="153">
        <f t="shared" si="27"/>
        <v>1073.5199999999998</v>
      </c>
      <c r="BV19" s="53" t="str">
        <f t="shared" si="28"/>
        <v>OK</v>
      </c>
      <c r="BW19" s="122"/>
      <c r="BX19" s="349">
        <f>BL19</f>
        <v>0</v>
      </c>
      <c r="BY19" s="153">
        <f t="shared" si="29"/>
        <v>17.04</v>
      </c>
      <c r="BZ19" s="153">
        <f t="shared" si="30"/>
        <v>644.11199999999997</v>
      </c>
      <c r="CA19" s="155" t="str">
        <f t="shared" si="31"/>
        <v>OK</v>
      </c>
      <c r="CB19" s="153">
        <f t="shared" si="32"/>
        <v>61.819601427721587</v>
      </c>
      <c r="CC19" s="53" t="str">
        <f t="shared" si="33"/>
        <v>OK</v>
      </c>
      <c r="CI19" s="122"/>
      <c r="CJ19" s="349">
        <f>BX19</f>
        <v>0</v>
      </c>
      <c r="CK19" s="153">
        <f t="shared" si="34"/>
        <v>88.874480248606801</v>
      </c>
      <c r="CL19" s="153">
        <f t="shared" si="35"/>
        <v>0</v>
      </c>
      <c r="CM19" s="150">
        <f t="shared" si="36"/>
        <v>0</v>
      </c>
      <c r="CN19" s="150">
        <f t="shared" si="37"/>
        <v>0</v>
      </c>
      <c r="CO19" s="53" t="str">
        <f t="shared" si="38"/>
        <v>OK</v>
      </c>
      <c r="CP19" s="158">
        <f t="shared" si="39"/>
        <v>9.2317499999999999</v>
      </c>
      <c r="CQ19" s="144">
        <v>10</v>
      </c>
      <c r="CR19" s="155" t="s">
        <v>191</v>
      </c>
      <c r="CS19" s="144">
        <v>6</v>
      </c>
      <c r="CU19" s="117"/>
      <c r="CW19" s="349">
        <f>AZ19</f>
        <v>0</v>
      </c>
      <c r="CX19" s="111">
        <f t="shared" si="40"/>
        <v>288</v>
      </c>
      <c r="CY19" s="156">
        <f t="shared" si="41"/>
        <v>4.0999999999999996</v>
      </c>
      <c r="CZ19" s="156">
        <f t="shared" si="42"/>
        <v>4.0999999999999996</v>
      </c>
      <c r="DA19" s="140" t="str">
        <f t="shared" si="43"/>
        <v>17#5@20</v>
      </c>
      <c r="DB19" s="140" t="str">
        <f t="shared" si="44"/>
        <v>17#5@20</v>
      </c>
    </row>
    <row r="20" spans="1:106" ht="15" customHeight="1" x14ac:dyDescent="0.25">
      <c r="A20" s="123"/>
      <c r="B20" s="124"/>
      <c r="C20" s="188"/>
      <c r="D20" s="124"/>
      <c r="E20" s="124"/>
      <c r="F20" s="124"/>
      <c r="G20" s="124"/>
      <c r="H20" s="125"/>
      <c r="I20" s="124"/>
      <c r="J20" s="124"/>
      <c r="K20" s="124"/>
      <c r="L20" s="126"/>
      <c r="M20" s="350"/>
      <c r="N20" s="143">
        <v>288</v>
      </c>
      <c r="O20" s="144" t="s">
        <v>837</v>
      </c>
      <c r="P20" s="145">
        <v>24.195</v>
      </c>
      <c r="Q20" s="145">
        <v>3.7187999999999999</v>
      </c>
      <c r="R20" s="145">
        <v>382.06180000000001</v>
      </c>
      <c r="S20" s="145">
        <v>-5.9253999999999998</v>
      </c>
      <c r="T20" s="145">
        <v>40.624200000000002</v>
      </c>
      <c r="U20" s="145">
        <v>0.6</v>
      </c>
      <c r="V20" s="146">
        <f t="shared" si="45"/>
        <v>0.52500000000000002</v>
      </c>
      <c r="W20" s="147">
        <f t="shared" si="46"/>
        <v>254.99999999999994</v>
      </c>
      <c r="X20" s="147">
        <f t="shared" si="47"/>
        <v>395.5139999999999</v>
      </c>
      <c r="Y20" s="350"/>
      <c r="Z20" s="148">
        <f t="shared" si="0"/>
        <v>2.7311336621851994</v>
      </c>
      <c r="AA20" s="149">
        <v>4.0999999999999996</v>
      </c>
      <c r="AB20" s="148">
        <f t="shared" si="48"/>
        <v>2.7311336621851994</v>
      </c>
      <c r="AC20" s="149">
        <v>4.0999999999999996</v>
      </c>
      <c r="AD20" s="150">
        <f t="shared" si="49"/>
        <v>8.6205971513180935E-2</v>
      </c>
      <c r="AE20" s="150">
        <f t="shared" si="1"/>
        <v>1.4644929699107806E-3</v>
      </c>
      <c r="AF20" s="53" t="str">
        <f t="shared" si="50"/>
        <v>OK</v>
      </c>
      <c r="AG20" s="53" t="str">
        <f t="shared" si="51"/>
        <v>OK</v>
      </c>
      <c r="AH20" s="155" t="s">
        <v>53</v>
      </c>
      <c r="AI20" s="153">
        <f t="shared" si="53"/>
        <v>2.0499999999999998</v>
      </c>
      <c r="AJ20" s="153">
        <f t="shared" si="54"/>
        <v>3.55</v>
      </c>
      <c r="AK20" s="152">
        <f t="shared" si="55"/>
        <v>0.50065909242419182</v>
      </c>
      <c r="AL20" s="150">
        <f t="shared" si="56"/>
        <v>23.780255172770179</v>
      </c>
      <c r="AM20" s="150">
        <f t="shared" si="57"/>
        <v>2424.0471432350214</v>
      </c>
      <c r="AN20" s="350"/>
      <c r="AO20" s="153">
        <f t="shared" si="2"/>
        <v>1038.7568196237357</v>
      </c>
      <c r="AP20" s="153">
        <f t="shared" si="3"/>
        <v>2897.999646289953</v>
      </c>
      <c r="AQ20" s="153">
        <f t="shared" si="4"/>
        <v>5360.9205221532384</v>
      </c>
      <c r="AR20" s="153">
        <f t="shared" si="5"/>
        <v>3437.823109814552</v>
      </c>
      <c r="AS20" s="53" t="str">
        <f t="shared" si="6"/>
        <v>OK</v>
      </c>
      <c r="AT20" s="153">
        <f t="shared" si="7"/>
        <v>0.6</v>
      </c>
      <c r="AU20" s="150">
        <f t="shared" si="8"/>
        <v>245.55156219512187</v>
      </c>
      <c r="AV20" s="153">
        <f t="shared" si="9"/>
        <v>339.99447073170722</v>
      </c>
      <c r="AW20" s="154">
        <f t="shared" si="10"/>
        <v>1452.2198227519655</v>
      </c>
      <c r="AX20" s="153">
        <f t="shared" si="11"/>
        <v>1452.2198227519655</v>
      </c>
      <c r="AY20" s="53" t="str">
        <f t="shared" si="12"/>
        <v>OK</v>
      </c>
      <c r="AZ20" s="350"/>
      <c r="BA20" s="153">
        <f t="shared" si="13"/>
        <v>372.34292560975598</v>
      </c>
      <c r="BB20" s="153">
        <f t="shared" si="14"/>
        <v>366.09865541827799</v>
      </c>
      <c r="BC20" s="150">
        <f t="shared" si="15"/>
        <v>1.8E-3</v>
      </c>
      <c r="BD20" s="148">
        <f t="shared" si="16"/>
        <v>38.744999999999997</v>
      </c>
      <c r="BE20" s="144">
        <v>5</v>
      </c>
      <c r="BF20" s="144">
        <v>17</v>
      </c>
      <c r="BG20" s="155">
        <f t="shared" si="17"/>
        <v>33.83</v>
      </c>
      <c r="BH20" s="53" t="str">
        <f t="shared" si="18"/>
        <v>N/C</v>
      </c>
      <c r="BI20" s="148">
        <f t="shared" si="19"/>
        <v>0.23</v>
      </c>
      <c r="BJ20" s="155" t="str">
        <f t="shared" si="20"/>
        <v>17#5@20</v>
      </c>
      <c r="BK20" s="197">
        <f t="shared" si="21"/>
        <v>1.1452852497783033</v>
      </c>
      <c r="BL20" s="350"/>
      <c r="BM20" s="155">
        <f t="shared" si="22"/>
        <v>0</v>
      </c>
      <c r="BN20" s="153">
        <f t="shared" si="23"/>
        <v>0</v>
      </c>
      <c r="BO20" s="153">
        <f t="shared" si="24"/>
        <v>0</v>
      </c>
      <c r="BP20" s="153">
        <f t="shared" si="25"/>
        <v>9.2317499999999999</v>
      </c>
      <c r="BQ20" s="144">
        <v>10</v>
      </c>
      <c r="BR20" s="155" t="s">
        <v>191</v>
      </c>
      <c r="BS20" s="144">
        <v>6</v>
      </c>
      <c r="BT20" s="153">
        <f t="shared" si="26"/>
        <v>28.4</v>
      </c>
      <c r="BU20" s="153">
        <f t="shared" si="27"/>
        <v>1073.5199999999998</v>
      </c>
      <c r="BV20" s="53" t="str">
        <f t="shared" si="28"/>
        <v>OK</v>
      </c>
      <c r="BW20" s="122"/>
      <c r="BX20" s="350"/>
      <c r="BY20" s="153">
        <f t="shared" si="29"/>
        <v>17.04</v>
      </c>
      <c r="BZ20" s="153">
        <f t="shared" si="30"/>
        <v>644.11199999999997</v>
      </c>
      <c r="CA20" s="155" t="str">
        <f t="shared" si="31"/>
        <v>OK</v>
      </c>
      <c r="CB20" s="153">
        <f t="shared" si="32"/>
        <v>61.426281975014867</v>
      </c>
      <c r="CC20" s="53" t="str">
        <f t="shared" si="33"/>
        <v>OK</v>
      </c>
      <c r="CI20" s="122"/>
      <c r="CJ20" s="350"/>
      <c r="CK20" s="153">
        <f t="shared" si="34"/>
        <v>89.027043927561692</v>
      </c>
      <c r="CL20" s="153">
        <f t="shared" si="35"/>
        <v>0</v>
      </c>
      <c r="CM20" s="150">
        <f t="shared" si="36"/>
        <v>0</v>
      </c>
      <c r="CN20" s="150">
        <f t="shared" si="37"/>
        <v>0</v>
      </c>
      <c r="CO20" s="53" t="str">
        <f t="shared" si="38"/>
        <v>OK</v>
      </c>
      <c r="CP20" s="158">
        <f t="shared" si="39"/>
        <v>9.2317499999999999</v>
      </c>
      <c r="CQ20" s="144">
        <v>10</v>
      </c>
      <c r="CR20" s="155" t="s">
        <v>191</v>
      </c>
      <c r="CS20" s="144">
        <v>6</v>
      </c>
      <c r="CU20" s="117"/>
      <c r="CW20" s="350"/>
      <c r="CX20" s="111">
        <f t="shared" si="40"/>
        <v>288</v>
      </c>
      <c r="CY20" s="156">
        <f t="shared" si="41"/>
        <v>4.0999999999999996</v>
      </c>
      <c r="CZ20" s="156">
        <f t="shared" si="42"/>
        <v>4.0999999999999996</v>
      </c>
      <c r="DA20" s="140" t="str">
        <f t="shared" si="43"/>
        <v>17#5@20</v>
      </c>
      <c r="DB20" s="140" t="str">
        <f t="shared" si="44"/>
        <v>17#5@20</v>
      </c>
    </row>
    <row r="21" spans="1:106" ht="15" customHeight="1" x14ac:dyDescent="0.25">
      <c r="A21" s="123"/>
      <c r="B21" s="124"/>
      <c r="C21" s="188"/>
      <c r="D21" s="124"/>
      <c r="E21" s="124"/>
      <c r="F21" s="124"/>
      <c r="G21" s="124"/>
      <c r="H21" s="125"/>
      <c r="I21" s="124"/>
      <c r="J21" s="124"/>
      <c r="K21" s="124"/>
      <c r="L21" s="126"/>
      <c r="M21" s="349">
        <f>Y21</f>
        <v>0</v>
      </c>
      <c r="N21" s="143">
        <v>288</v>
      </c>
      <c r="O21" s="144" t="s">
        <v>837</v>
      </c>
      <c r="P21" s="145">
        <v>24.195</v>
      </c>
      <c r="Q21" s="145">
        <v>3.7187999999999999</v>
      </c>
      <c r="R21" s="145">
        <v>382.06180000000001</v>
      </c>
      <c r="S21" s="145">
        <v>-5.9253999999999998</v>
      </c>
      <c r="T21" s="145">
        <v>40.624200000000002</v>
      </c>
      <c r="U21" s="145">
        <v>0.6</v>
      </c>
      <c r="V21" s="146">
        <f t="shared" si="45"/>
        <v>0.52500000000000002</v>
      </c>
      <c r="W21" s="147">
        <f t="shared" si="46"/>
        <v>254.99999999999994</v>
      </c>
      <c r="X21" s="147">
        <f t="shared" si="47"/>
        <v>395.5139999999999</v>
      </c>
      <c r="Y21" s="349"/>
      <c r="Z21" s="148">
        <f t="shared" si="0"/>
        <v>2.7311336621851994</v>
      </c>
      <c r="AA21" s="149">
        <v>4.0999999999999996</v>
      </c>
      <c r="AB21" s="148">
        <f t="shared" si="48"/>
        <v>2.7311336621851994</v>
      </c>
      <c r="AC21" s="149">
        <v>4.0999999999999996</v>
      </c>
      <c r="AD21" s="150">
        <f t="shared" si="49"/>
        <v>8.6205971513180935E-2</v>
      </c>
      <c r="AE21" s="150">
        <f t="shared" si="1"/>
        <v>1.4644929699107806E-3</v>
      </c>
      <c r="AF21" s="53" t="str">
        <f t="shared" si="50"/>
        <v>OK</v>
      </c>
      <c r="AG21" s="53" t="str">
        <f t="shared" si="51"/>
        <v>OK</v>
      </c>
      <c r="AH21" s="155" t="str">
        <f t="shared" si="52"/>
        <v>Central</v>
      </c>
      <c r="AI21" s="153">
        <f t="shared" si="53"/>
        <v>2.0499999999999998</v>
      </c>
      <c r="AJ21" s="153">
        <f t="shared" si="54"/>
        <v>2.0499999999999998</v>
      </c>
      <c r="AK21" s="152">
        <f t="shared" si="55"/>
        <v>0.50065909242419182</v>
      </c>
      <c r="AL21" s="150">
        <f t="shared" si="56"/>
        <v>23.780255172770179</v>
      </c>
      <c r="AM21" s="150">
        <f t="shared" si="57"/>
        <v>1399.8018714455757</v>
      </c>
      <c r="AN21" s="349">
        <f>Y21</f>
        <v>0</v>
      </c>
      <c r="AO21" s="153">
        <f t="shared" si="2"/>
        <v>1038.7568196237357</v>
      </c>
      <c r="AP21" s="153">
        <f t="shared" si="3"/>
        <v>2897.999646289953</v>
      </c>
      <c r="AQ21" s="153">
        <f t="shared" si="4"/>
        <v>5360.9205221532384</v>
      </c>
      <c r="AR21" s="153">
        <f t="shared" si="5"/>
        <v>3437.823109814552</v>
      </c>
      <c r="AS21" s="53" t="str">
        <f t="shared" si="6"/>
        <v>OK</v>
      </c>
      <c r="AT21" s="153">
        <f t="shared" si="7"/>
        <v>0.6</v>
      </c>
      <c r="AU21" s="150">
        <f t="shared" si="8"/>
        <v>245.55156219512187</v>
      </c>
      <c r="AV21" s="153">
        <f t="shared" si="9"/>
        <v>339.99447073170722</v>
      </c>
      <c r="AW21" s="154">
        <f t="shared" si="10"/>
        <v>1452.2198227519655</v>
      </c>
      <c r="AX21" s="153">
        <f t="shared" si="11"/>
        <v>1452.2198227519655</v>
      </c>
      <c r="AY21" s="53" t="str">
        <f t="shared" si="12"/>
        <v>OK</v>
      </c>
      <c r="AZ21" s="349">
        <f>AN21</f>
        <v>0</v>
      </c>
      <c r="BA21" s="153">
        <f t="shared" si="13"/>
        <v>372.34292560975598</v>
      </c>
      <c r="BB21" s="153">
        <f t="shared" si="14"/>
        <v>366.09865541827799</v>
      </c>
      <c r="BC21" s="150">
        <f t="shared" si="15"/>
        <v>1.8E-3</v>
      </c>
      <c r="BD21" s="148">
        <f t="shared" si="16"/>
        <v>38.744999999999997</v>
      </c>
      <c r="BE21" s="144">
        <v>5</v>
      </c>
      <c r="BF21" s="144">
        <v>18</v>
      </c>
      <c r="BG21" s="155">
        <f t="shared" si="17"/>
        <v>35.82</v>
      </c>
      <c r="BH21" s="53" t="str">
        <f t="shared" si="18"/>
        <v>N/C</v>
      </c>
      <c r="BI21" s="148">
        <f t="shared" si="19"/>
        <v>0.22</v>
      </c>
      <c r="BJ21" s="155" t="str">
        <f t="shared" si="20"/>
        <v>18#5@20</v>
      </c>
      <c r="BK21" s="197">
        <f t="shared" si="21"/>
        <v>1.0816582914572863</v>
      </c>
      <c r="BL21" s="349">
        <f>AZ21</f>
        <v>0</v>
      </c>
      <c r="BM21" s="155">
        <f t="shared" si="22"/>
        <v>0</v>
      </c>
      <c r="BN21" s="153">
        <f t="shared" si="23"/>
        <v>0</v>
      </c>
      <c r="BO21" s="153">
        <f t="shared" si="24"/>
        <v>0</v>
      </c>
      <c r="BP21" s="153">
        <f t="shared" si="25"/>
        <v>9.2317499999999999</v>
      </c>
      <c r="BQ21" s="144">
        <v>10</v>
      </c>
      <c r="BR21" s="155" t="s">
        <v>191</v>
      </c>
      <c r="BS21" s="144">
        <v>6</v>
      </c>
      <c r="BT21" s="153">
        <f t="shared" si="26"/>
        <v>28.4</v>
      </c>
      <c r="BU21" s="153">
        <f t="shared" si="27"/>
        <v>1073.5199999999998</v>
      </c>
      <c r="BV21" s="53" t="str">
        <f t="shared" si="28"/>
        <v>OK</v>
      </c>
      <c r="BW21" s="122"/>
      <c r="BX21" s="349">
        <f>BL21</f>
        <v>0</v>
      </c>
      <c r="BY21" s="153">
        <f t="shared" si="29"/>
        <v>17.04</v>
      </c>
      <c r="BZ21" s="153">
        <f t="shared" si="30"/>
        <v>644.11199999999997</v>
      </c>
      <c r="CA21" s="155" t="str">
        <f t="shared" si="31"/>
        <v>OK</v>
      </c>
      <c r="CB21" s="153">
        <f t="shared" si="32"/>
        <v>61.426281975014867</v>
      </c>
      <c r="CC21" s="53" t="str">
        <f t="shared" si="33"/>
        <v>OK</v>
      </c>
      <c r="CE21" s="166" t="s">
        <v>731</v>
      </c>
      <c r="CI21" s="117"/>
      <c r="CJ21" s="349">
        <f>BX21</f>
        <v>0</v>
      </c>
      <c r="CK21" s="153">
        <f t="shared" si="34"/>
        <v>89.027043927561692</v>
      </c>
      <c r="CL21" s="153">
        <f t="shared" si="35"/>
        <v>0</v>
      </c>
      <c r="CM21" s="150">
        <f t="shared" si="36"/>
        <v>0</v>
      </c>
      <c r="CN21" s="150">
        <f t="shared" si="37"/>
        <v>0</v>
      </c>
      <c r="CO21" s="53" t="str">
        <f t="shared" si="38"/>
        <v>OK</v>
      </c>
      <c r="CP21" s="158">
        <f t="shared" si="39"/>
        <v>9.2317499999999999</v>
      </c>
      <c r="CQ21" s="144">
        <v>10</v>
      </c>
      <c r="CR21" s="155" t="s">
        <v>191</v>
      </c>
      <c r="CS21" s="144">
        <v>6</v>
      </c>
      <c r="CU21" s="117"/>
      <c r="CW21" s="349">
        <f>AZ21</f>
        <v>0</v>
      </c>
      <c r="CX21" s="111">
        <f t="shared" si="40"/>
        <v>288</v>
      </c>
      <c r="CY21" s="156">
        <f t="shared" si="41"/>
        <v>4.0999999999999996</v>
      </c>
      <c r="CZ21" s="156">
        <f t="shared" si="42"/>
        <v>4.0999999999999996</v>
      </c>
      <c r="DA21" s="140" t="str">
        <f t="shared" si="43"/>
        <v>18#5@20</v>
      </c>
      <c r="DB21" s="140" t="str">
        <f t="shared" si="44"/>
        <v>18#5@20</v>
      </c>
    </row>
    <row r="22" spans="1:106" ht="15" customHeight="1" x14ac:dyDescent="0.25">
      <c r="A22" s="123"/>
      <c r="B22" s="124"/>
      <c r="C22" s="188"/>
      <c r="D22" s="124"/>
      <c r="E22" s="124"/>
      <c r="F22" s="124"/>
      <c r="G22" s="124"/>
      <c r="H22" s="125"/>
      <c r="I22" s="124"/>
      <c r="J22" s="124"/>
      <c r="K22" s="124"/>
      <c r="L22" s="126"/>
      <c r="M22" s="350"/>
      <c r="N22" s="143">
        <v>288</v>
      </c>
      <c r="O22" s="144" t="s">
        <v>837</v>
      </c>
      <c r="P22" s="145">
        <v>24.195</v>
      </c>
      <c r="Q22" s="145">
        <v>3.7187999999999999</v>
      </c>
      <c r="R22" s="145">
        <v>382.06180000000001</v>
      </c>
      <c r="S22" s="145">
        <v>-5.9253999999999998</v>
      </c>
      <c r="T22" s="145">
        <v>40.624200000000002</v>
      </c>
      <c r="U22" s="145">
        <v>0.6</v>
      </c>
      <c r="V22" s="146">
        <f t="shared" si="45"/>
        <v>0.52500000000000002</v>
      </c>
      <c r="W22" s="147">
        <f t="shared" si="46"/>
        <v>254.99999999999994</v>
      </c>
      <c r="X22" s="147">
        <f t="shared" si="47"/>
        <v>395.5139999999999</v>
      </c>
      <c r="Y22" s="350"/>
      <c r="Z22" s="148">
        <f t="shared" si="0"/>
        <v>2.7311336621851994</v>
      </c>
      <c r="AA22" s="149">
        <v>4.0999999999999996</v>
      </c>
      <c r="AB22" s="148">
        <f t="shared" si="48"/>
        <v>2.7311336621851994</v>
      </c>
      <c r="AC22" s="149">
        <v>4.0999999999999996</v>
      </c>
      <c r="AD22" s="150">
        <f t="shared" si="49"/>
        <v>8.6205971513180935E-2</v>
      </c>
      <c r="AE22" s="150">
        <f t="shared" si="1"/>
        <v>1.4644929699107806E-3</v>
      </c>
      <c r="AF22" s="53" t="str">
        <f t="shared" si="50"/>
        <v>OK</v>
      </c>
      <c r="AG22" s="53" t="str">
        <f t="shared" si="51"/>
        <v>OK</v>
      </c>
      <c r="AH22" s="155" t="str">
        <f t="shared" si="52"/>
        <v>Central</v>
      </c>
      <c r="AI22" s="153">
        <f t="shared" si="53"/>
        <v>2.0499999999999998</v>
      </c>
      <c r="AJ22" s="153">
        <f t="shared" si="54"/>
        <v>2.0499999999999998</v>
      </c>
      <c r="AK22" s="152">
        <f t="shared" si="55"/>
        <v>0.50065909242419182</v>
      </c>
      <c r="AL22" s="150">
        <f t="shared" si="56"/>
        <v>23.780255172770179</v>
      </c>
      <c r="AM22" s="150">
        <f t="shared" si="57"/>
        <v>1399.8018714455757</v>
      </c>
      <c r="AN22" s="350"/>
      <c r="AO22" s="153">
        <f t="shared" si="2"/>
        <v>1038.7568196237357</v>
      </c>
      <c r="AP22" s="153">
        <f t="shared" si="3"/>
        <v>2897.999646289953</v>
      </c>
      <c r="AQ22" s="153">
        <f t="shared" si="4"/>
        <v>5360.9205221532384</v>
      </c>
      <c r="AR22" s="153">
        <f t="shared" si="5"/>
        <v>3437.823109814552</v>
      </c>
      <c r="AS22" s="53" t="str">
        <f t="shared" si="6"/>
        <v>OK</v>
      </c>
      <c r="AT22" s="153">
        <f t="shared" si="7"/>
        <v>0.6</v>
      </c>
      <c r="AU22" s="150">
        <f t="shared" si="8"/>
        <v>245.55156219512187</v>
      </c>
      <c r="AV22" s="153">
        <f t="shared" si="9"/>
        <v>339.99447073170722</v>
      </c>
      <c r="AW22" s="154">
        <f t="shared" si="10"/>
        <v>1452.2198227519655</v>
      </c>
      <c r="AX22" s="153">
        <f t="shared" si="11"/>
        <v>1452.2198227519655</v>
      </c>
      <c r="AY22" s="53" t="str">
        <f t="shared" si="12"/>
        <v>OK</v>
      </c>
      <c r="AZ22" s="350"/>
      <c r="BA22" s="153">
        <f t="shared" si="13"/>
        <v>372.34292560975598</v>
      </c>
      <c r="BB22" s="153">
        <f t="shared" si="14"/>
        <v>366.09865541827799</v>
      </c>
      <c r="BC22" s="150">
        <f t="shared" si="15"/>
        <v>1.8E-3</v>
      </c>
      <c r="BD22" s="148">
        <f t="shared" si="16"/>
        <v>38.744999999999997</v>
      </c>
      <c r="BE22" s="144">
        <v>5</v>
      </c>
      <c r="BF22" s="144">
        <v>18</v>
      </c>
      <c r="BG22" s="155">
        <f t="shared" si="17"/>
        <v>35.82</v>
      </c>
      <c r="BH22" s="53" t="str">
        <f t="shared" si="18"/>
        <v>N/C</v>
      </c>
      <c r="BI22" s="148">
        <f t="shared" si="19"/>
        <v>0.22</v>
      </c>
      <c r="BJ22" s="155" t="str">
        <f t="shared" si="20"/>
        <v>18#5@20</v>
      </c>
      <c r="BK22" s="197">
        <f t="shared" si="21"/>
        <v>1.0816582914572863</v>
      </c>
      <c r="BL22" s="350"/>
      <c r="BM22" s="155">
        <f t="shared" si="22"/>
        <v>0</v>
      </c>
      <c r="BN22" s="153">
        <f t="shared" si="23"/>
        <v>0</v>
      </c>
      <c r="BO22" s="153">
        <f t="shared" si="24"/>
        <v>0</v>
      </c>
      <c r="BP22" s="153">
        <f t="shared" si="25"/>
        <v>9.2317499999999999</v>
      </c>
      <c r="BQ22" s="144">
        <v>10</v>
      </c>
      <c r="BR22" s="155" t="s">
        <v>191</v>
      </c>
      <c r="BS22" s="144">
        <v>6</v>
      </c>
      <c r="BT22" s="153">
        <f t="shared" si="26"/>
        <v>28.4</v>
      </c>
      <c r="BU22" s="153">
        <f t="shared" si="27"/>
        <v>1073.5199999999998</v>
      </c>
      <c r="BV22" s="53" t="str">
        <f t="shared" si="28"/>
        <v>OK</v>
      </c>
      <c r="BW22" s="122"/>
      <c r="BX22" s="350"/>
      <c r="BY22" s="153">
        <f t="shared" si="29"/>
        <v>17.04</v>
      </c>
      <c r="BZ22" s="153">
        <f t="shared" si="30"/>
        <v>644.11199999999997</v>
      </c>
      <c r="CA22" s="155" t="str">
        <f t="shared" si="31"/>
        <v>OK</v>
      </c>
      <c r="CB22" s="153">
        <f t="shared" si="32"/>
        <v>61.426281975014867</v>
      </c>
      <c r="CC22" s="53" t="str">
        <f t="shared" si="33"/>
        <v>OK</v>
      </c>
      <c r="CE22" s="166"/>
      <c r="CI22" s="117"/>
      <c r="CJ22" s="350"/>
      <c r="CK22" s="153">
        <f t="shared" si="34"/>
        <v>89.027043927561692</v>
      </c>
      <c r="CL22" s="153">
        <f t="shared" si="35"/>
        <v>0</v>
      </c>
      <c r="CM22" s="150">
        <f t="shared" si="36"/>
        <v>0</v>
      </c>
      <c r="CN22" s="150">
        <f t="shared" si="37"/>
        <v>0</v>
      </c>
      <c r="CO22" s="53" t="str">
        <f t="shared" si="38"/>
        <v>OK</v>
      </c>
      <c r="CP22" s="158">
        <f t="shared" si="39"/>
        <v>9.2317499999999999</v>
      </c>
      <c r="CQ22" s="144">
        <v>10</v>
      </c>
      <c r="CR22" s="155" t="s">
        <v>191</v>
      </c>
      <c r="CS22" s="144">
        <v>6</v>
      </c>
      <c r="CU22" s="117"/>
      <c r="CW22" s="350"/>
      <c r="CX22" s="111">
        <f t="shared" si="40"/>
        <v>288</v>
      </c>
      <c r="CY22" s="156">
        <f t="shared" si="41"/>
        <v>4.0999999999999996</v>
      </c>
      <c r="CZ22" s="156">
        <f t="shared" si="42"/>
        <v>4.0999999999999996</v>
      </c>
      <c r="DA22" s="140" t="str">
        <f t="shared" si="43"/>
        <v>18#5@20</v>
      </c>
      <c r="DB22" s="140" t="str">
        <f t="shared" si="44"/>
        <v>18#5@20</v>
      </c>
    </row>
    <row r="23" spans="1:106" ht="15" customHeight="1" x14ac:dyDescent="0.25">
      <c r="A23" s="123"/>
      <c r="B23" s="124"/>
      <c r="C23" s="188"/>
      <c r="D23" s="124"/>
      <c r="E23" s="124"/>
      <c r="F23" s="124"/>
      <c r="G23" s="124"/>
      <c r="H23" s="125"/>
      <c r="I23" s="124"/>
      <c r="J23" s="124"/>
      <c r="K23" s="124"/>
      <c r="L23" s="126"/>
      <c r="M23" s="349">
        <f>Y23</f>
        <v>0</v>
      </c>
      <c r="N23" s="143">
        <v>288</v>
      </c>
      <c r="O23" s="144" t="s">
        <v>837</v>
      </c>
      <c r="P23" s="145">
        <v>123.7273</v>
      </c>
      <c r="Q23" s="145">
        <v>6.8602999999999996</v>
      </c>
      <c r="R23" s="145">
        <v>417.3107</v>
      </c>
      <c r="S23" s="145">
        <v>7.5895999999999999</v>
      </c>
      <c r="T23" s="145">
        <v>492.00729999999999</v>
      </c>
      <c r="U23" s="145">
        <v>0.6</v>
      </c>
      <c r="V23" s="146">
        <f t="shared" si="45"/>
        <v>0.52500000000000002</v>
      </c>
      <c r="W23" s="147">
        <f t="shared" si="46"/>
        <v>254.99999999999994</v>
      </c>
      <c r="X23" s="147">
        <f t="shared" si="47"/>
        <v>395.5139999999999</v>
      </c>
      <c r="Y23" s="349"/>
      <c r="Z23" s="148">
        <f t="shared" si="0"/>
        <v>2.7773586482492045</v>
      </c>
      <c r="AA23" s="149">
        <v>4.0999999999999996</v>
      </c>
      <c r="AB23" s="148">
        <f t="shared" si="48"/>
        <v>4.1549623266815239</v>
      </c>
      <c r="AC23" s="149">
        <v>4.0999999999999996</v>
      </c>
      <c r="AD23" s="150">
        <f t="shared" si="49"/>
        <v>0.69249372111358731</v>
      </c>
      <c r="AE23" s="150">
        <f t="shared" si="1"/>
        <v>1.9956646442061136E-2</v>
      </c>
      <c r="AF23" s="53" t="str">
        <f t="shared" si="50"/>
        <v>N/C</v>
      </c>
      <c r="AG23" s="53" t="str">
        <f t="shared" si="51"/>
        <v>OK</v>
      </c>
      <c r="AH23" s="155" t="s">
        <v>53</v>
      </c>
      <c r="AI23" s="153">
        <f t="shared" si="53"/>
        <v>2.0499999999999998</v>
      </c>
      <c r="AJ23" s="153">
        <f t="shared" si="54"/>
        <v>3.55</v>
      </c>
      <c r="AK23" s="152">
        <f t="shared" si="55"/>
        <v>0.93730672481429667</v>
      </c>
      <c r="AL23" s="150">
        <f t="shared" si="56"/>
        <v>2.9603156497988596</v>
      </c>
      <c r="AM23" s="150">
        <f t="shared" si="57"/>
        <v>177.8855986804441</v>
      </c>
      <c r="AN23" s="349">
        <f>Y23</f>
        <v>0</v>
      </c>
      <c r="AO23" s="153">
        <f t="shared" si="2"/>
        <v>1074.216720252082</v>
      </c>
      <c r="AP23" s="153">
        <f t="shared" si="3"/>
        <v>2897.999646289953</v>
      </c>
      <c r="AQ23" s="153">
        <f t="shared" si="4"/>
        <v>5360.9205221532384</v>
      </c>
      <c r="AR23" s="153">
        <f t="shared" si="5"/>
        <v>3437.823109814552</v>
      </c>
      <c r="AS23" s="53" t="str">
        <f t="shared" si="6"/>
        <v>OK</v>
      </c>
      <c r="AT23" s="153">
        <f t="shared" si="7"/>
        <v>0.6</v>
      </c>
      <c r="AU23" s="150">
        <f t="shared" si="8"/>
        <v>253.93392256097556</v>
      </c>
      <c r="AV23" s="153">
        <f t="shared" si="9"/>
        <v>351.60081585365845</v>
      </c>
      <c r="AW23" s="154">
        <f t="shared" si="10"/>
        <v>1452.2198227519655</v>
      </c>
      <c r="AX23" s="153">
        <f t="shared" si="11"/>
        <v>1452.2198227519655</v>
      </c>
      <c r="AY23" s="53" t="str">
        <f t="shared" si="12"/>
        <v>OK</v>
      </c>
      <c r="AZ23" s="349">
        <f>AN23</f>
        <v>0</v>
      </c>
      <c r="BA23" s="153">
        <f t="shared" si="13"/>
        <v>1032.4625798780487</v>
      </c>
      <c r="BB23" s="153">
        <f t="shared" si="14"/>
        <v>1015.1479624436197</v>
      </c>
      <c r="BC23" s="150">
        <f t="shared" si="15"/>
        <v>2.4708891941684335E-3</v>
      </c>
      <c r="BD23" s="148">
        <f t="shared" si="16"/>
        <v>53.18588990447553</v>
      </c>
      <c r="BE23" s="144">
        <v>5</v>
      </c>
      <c r="BF23" s="144">
        <v>17</v>
      </c>
      <c r="BG23" s="155">
        <f t="shared" si="17"/>
        <v>33.83</v>
      </c>
      <c r="BH23" s="53" t="str">
        <f t="shared" si="18"/>
        <v>N/C</v>
      </c>
      <c r="BI23" s="148">
        <f t="shared" si="19"/>
        <v>0.23</v>
      </c>
      <c r="BJ23" s="155" t="str">
        <f t="shared" si="20"/>
        <v>17#5@20</v>
      </c>
      <c r="BK23" s="197">
        <f t="shared" si="21"/>
        <v>1.5721516377320583</v>
      </c>
      <c r="BL23" s="349">
        <f>AZ23</f>
        <v>0</v>
      </c>
      <c r="BM23" s="155">
        <f t="shared" si="22"/>
        <v>0</v>
      </c>
      <c r="BN23" s="153">
        <f t="shared" si="23"/>
        <v>0</v>
      </c>
      <c r="BO23" s="153">
        <f t="shared" si="24"/>
        <v>0</v>
      </c>
      <c r="BP23" s="153">
        <f t="shared" si="25"/>
        <v>9.2317499999999999</v>
      </c>
      <c r="BQ23" s="144">
        <v>10</v>
      </c>
      <c r="BR23" s="155" t="s">
        <v>191</v>
      </c>
      <c r="BS23" s="144">
        <v>6</v>
      </c>
      <c r="BT23" s="153">
        <f t="shared" si="26"/>
        <v>28.4</v>
      </c>
      <c r="BU23" s="153">
        <f t="shared" si="27"/>
        <v>1073.5199999999998</v>
      </c>
      <c r="BV23" s="53" t="str">
        <f t="shared" si="28"/>
        <v>OK</v>
      </c>
      <c r="BW23" s="122"/>
      <c r="BX23" s="349">
        <f>BL23</f>
        <v>0</v>
      </c>
      <c r="BY23" s="153">
        <f t="shared" si="29"/>
        <v>17.04</v>
      </c>
      <c r="BZ23" s="153">
        <f t="shared" si="30"/>
        <v>644.11199999999997</v>
      </c>
      <c r="CA23" s="155" t="str">
        <f t="shared" si="31"/>
        <v>OK</v>
      </c>
      <c r="CB23" s="153">
        <f t="shared" si="32"/>
        <v>63.523182629387271</v>
      </c>
      <c r="CC23" s="53" t="str">
        <f t="shared" si="33"/>
        <v>OK</v>
      </c>
      <c r="CE23" s="351" t="s">
        <v>732</v>
      </c>
      <c r="CF23" s="351"/>
      <c r="CG23" s="351"/>
      <c r="CH23" s="351"/>
      <c r="CI23" s="117"/>
      <c r="CJ23" s="349">
        <f>BX23</f>
        <v>0</v>
      </c>
      <c r="CK23" s="153">
        <f t="shared" si="34"/>
        <v>739.76890051937835</v>
      </c>
      <c r="CL23" s="153">
        <f t="shared" si="35"/>
        <v>0</v>
      </c>
      <c r="CM23" s="150">
        <f t="shared" si="36"/>
        <v>0</v>
      </c>
      <c r="CN23" s="150">
        <f t="shared" si="37"/>
        <v>0</v>
      </c>
      <c r="CO23" s="53" t="str">
        <f t="shared" si="38"/>
        <v>OK</v>
      </c>
      <c r="CP23" s="158">
        <f t="shared" si="39"/>
        <v>9.2317499999999999</v>
      </c>
      <c r="CQ23" s="144">
        <v>10</v>
      </c>
      <c r="CR23" s="155" t="s">
        <v>191</v>
      </c>
      <c r="CS23" s="144">
        <v>6</v>
      </c>
      <c r="CU23" s="117"/>
      <c r="CW23" s="349">
        <f>AZ23</f>
        <v>0</v>
      </c>
      <c r="CX23" s="111">
        <f t="shared" si="40"/>
        <v>288</v>
      </c>
      <c r="CY23" s="156">
        <f t="shared" si="41"/>
        <v>4.0999999999999996</v>
      </c>
      <c r="CZ23" s="156">
        <f t="shared" si="42"/>
        <v>4.0999999999999996</v>
      </c>
      <c r="DA23" s="140" t="str">
        <f t="shared" si="43"/>
        <v>17#5@20</v>
      </c>
      <c r="DB23" s="140" t="str">
        <f t="shared" si="44"/>
        <v>17#5@20</v>
      </c>
    </row>
    <row r="24" spans="1:106" ht="15" customHeight="1" x14ac:dyDescent="0.25">
      <c r="A24" s="123"/>
      <c r="B24" s="124"/>
      <c r="C24" s="188"/>
      <c r="D24" s="124"/>
      <c r="E24" s="124"/>
      <c r="F24" s="124"/>
      <c r="G24" s="124"/>
      <c r="H24" s="125"/>
      <c r="I24" s="124"/>
      <c r="J24" s="124"/>
      <c r="K24" s="124"/>
      <c r="L24" s="126"/>
      <c r="M24" s="350"/>
      <c r="N24" s="143">
        <v>288</v>
      </c>
      <c r="O24" s="144" t="s">
        <v>837</v>
      </c>
      <c r="P24" s="145">
        <v>-75.337199999999996</v>
      </c>
      <c r="Q24" s="145">
        <v>0.57730000000000004</v>
      </c>
      <c r="R24" s="145">
        <v>346.81279999999998</v>
      </c>
      <c r="S24" s="145">
        <v>-19.4404</v>
      </c>
      <c r="T24" s="145">
        <v>-410.75889999999998</v>
      </c>
      <c r="U24" s="145">
        <v>0.6</v>
      </c>
      <c r="V24" s="146">
        <f t="shared" si="45"/>
        <v>0.52500000000000002</v>
      </c>
      <c r="W24" s="147">
        <f t="shared" si="46"/>
        <v>254.99999999999994</v>
      </c>
      <c r="X24" s="147">
        <f t="shared" si="47"/>
        <v>395.5139999999999</v>
      </c>
      <c r="Y24" s="350"/>
      <c r="Z24" s="148">
        <f t="shared" si="0"/>
        <v>2.6841125866961186</v>
      </c>
      <c r="AA24" s="149">
        <v>4.0999999999999996</v>
      </c>
      <c r="AB24" s="148">
        <f t="shared" si="48"/>
        <v>2.6841125866961186</v>
      </c>
      <c r="AC24" s="149">
        <v>4.0999999999999996</v>
      </c>
      <c r="AD24" s="150">
        <f t="shared" si="49"/>
        <v>-0.56293814625256233</v>
      </c>
      <c r="AE24" s="150">
        <f t="shared" si="1"/>
        <v>-1.8334812621098727E-2</v>
      </c>
      <c r="AF24" s="53" t="str">
        <f t="shared" si="50"/>
        <v>OK</v>
      </c>
      <c r="AG24" s="53" t="str">
        <f t="shared" si="51"/>
        <v>OK</v>
      </c>
      <c r="AH24" s="155" t="s">
        <v>53</v>
      </c>
      <c r="AI24" s="153">
        <f t="shared" si="53"/>
        <v>2.0499999999999998</v>
      </c>
      <c r="AJ24" s="153">
        <f t="shared" si="54"/>
        <v>3.55</v>
      </c>
      <c r="AK24" s="152">
        <f t="shared" si="55"/>
        <v>0.79315209524394548</v>
      </c>
      <c r="AL24" s="150">
        <f t="shared" si="56"/>
        <v>-3.6416078989258382</v>
      </c>
      <c r="AM24" s="150">
        <f t="shared" si="57"/>
        <v>-193.62074068402799</v>
      </c>
      <c r="AN24" s="350"/>
      <c r="AO24" s="153">
        <f t="shared" si="2"/>
        <v>1003.2968183967874</v>
      </c>
      <c r="AP24" s="153">
        <f t="shared" si="3"/>
        <v>2897.999646289953</v>
      </c>
      <c r="AQ24" s="153">
        <f t="shared" si="4"/>
        <v>5360.9205221532384</v>
      </c>
      <c r="AR24" s="153">
        <f t="shared" si="5"/>
        <v>3437.823109814552</v>
      </c>
      <c r="AS24" s="53" t="str">
        <f t="shared" si="6"/>
        <v>OK</v>
      </c>
      <c r="AT24" s="153">
        <f t="shared" si="7"/>
        <v>0.6</v>
      </c>
      <c r="AU24" s="150">
        <f t="shared" si="8"/>
        <v>237.16917804878042</v>
      </c>
      <c r="AV24" s="153">
        <f t="shared" si="9"/>
        <v>328.38809268292675</v>
      </c>
      <c r="AW24" s="154">
        <f t="shared" si="10"/>
        <v>1452.2198227519655</v>
      </c>
      <c r="AX24" s="153">
        <f t="shared" si="11"/>
        <v>1452.2198227519655</v>
      </c>
      <c r="AY24" s="53" t="str">
        <f t="shared" si="12"/>
        <v>OK</v>
      </c>
      <c r="AZ24" s="350"/>
      <c r="BA24" s="153">
        <f t="shared" si="13"/>
        <v>-287.77655609756101</v>
      </c>
      <c r="BB24" s="153">
        <f t="shared" si="14"/>
        <v>-282.95048193997235</v>
      </c>
      <c r="BC24" s="150">
        <f t="shared" si="15"/>
        <v>1.8E-3</v>
      </c>
      <c r="BD24" s="148">
        <f t="shared" si="16"/>
        <v>38.744999999999997</v>
      </c>
      <c r="BE24" s="144">
        <v>5</v>
      </c>
      <c r="BF24" s="144">
        <v>17</v>
      </c>
      <c r="BG24" s="155">
        <f t="shared" si="17"/>
        <v>33.83</v>
      </c>
      <c r="BH24" s="53" t="str">
        <f t="shared" si="18"/>
        <v>N/C</v>
      </c>
      <c r="BI24" s="148">
        <f t="shared" si="19"/>
        <v>0.23</v>
      </c>
      <c r="BJ24" s="155" t="str">
        <f t="shared" si="20"/>
        <v>17#5@20</v>
      </c>
      <c r="BK24" s="197">
        <f t="shared" si="21"/>
        <v>1.1452852497783033</v>
      </c>
      <c r="BL24" s="350"/>
      <c r="BM24" s="155">
        <f t="shared" si="22"/>
        <v>0</v>
      </c>
      <c r="BN24" s="153">
        <f t="shared" si="23"/>
        <v>0</v>
      </c>
      <c r="BO24" s="153">
        <f t="shared" si="24"/>
        <v>0</v>
      </c>
      <c r="BP24" s="153">
        <f t="shared" si="25"/>
        <v>9.2317499999999999</v>
      </c>
      <c r="BQ24" s="144">
        <v>10</v>
      </c>
      <c r="BR24" s="155" t="s">
        <v>191</v>
      </c>
      <c r="BS24" s="144">
        <v>6</v>
      </c>
      <c r="BT24" s="153">
        <f t="shared" si="26"/>
        <v>28.4</v>
      </c>
      <c r="BU24" s="153">
        <f t="shared" si="27"/>
        <v>1073.5199999999998</v>
      </c>
      <c r="BV24" s="53" t="str">
        <f t="shared" si="28"/>
        <v>OK</v>
      </c>
      <c r="BW24" s="122"/>
      <c r="BX24" s="350"/>
      <c r="BY24" s="153">
        <f t="shared" si="29"/>
        <v>17.04</v>
      </c>
      <c r="BZ24" s="153">
        <f t="shared" si="30"/>
        <v>644.11199999999997</v>
      </c>
      <c r="CA24" s="155" t="str">
        <f t="shared" si="31"/>
        <v>OK</v>
      </c>
      <c r="CB24" s="153">
        <f t="shared" si="32"/>
        <v>59.329375371802492</v>
      </c>
      <c r="CC24" s="53" t="str">
        <f t="shared" si="33"/>
        <v>OK</v>
      </c>
      <c r="CE24" s="351"/>
      <c r="CF24" s="351"/>
      <c r="CG24" s="351"/>
      <c r="CH24" s="351"/>
      <c r="CI24" s="117"/>
      <c r="CJ24" s="350"/>
      <c r="CK24" s="153">
        <f t="shared" si="34"/>
        <v>561.73100397835424</v>
      </c>
      <c r="CL24" s="153">
        <f t="shared" si="35"/>
        <v>0</v>
      </c>
      <c r="CM24" s="150">
        <f t="shared" si="36"/>
        <v>0</v>
      </c>
      <c r="CN24" s="150">
        <f t="shared" si="37"/>
        <v>0</v>
      </c>
      <c r="CO24" s="53" t="str">
        <f t="shared" si="38"/>
        <v>OK</v>
      </c>
      <c r="CP24" s="158">
        <f t="shared" si="39"/>
        <v>9.2317499999999999</v>
      </c>
      <c r="CQ24" s="144">
        <v>10</v>
      </c>
      <c r="CR24" s="155" t="s">
        <v>191</v>
      </c>
      <c r="CS24" s="144">
        <v>6</v>
      </c>
      <c r="CU24" s="117"/>
      <c r="CW24" s="350"/>
      <c r="CX24" s="111">
        <f t="shared" si="40"/>
        <v>288</v>
      </c>
      <c r="CY24" s="156">
        <f t="shared" si="41"/>
        <v>4.0999999999999996</v>
      </c>
      <c r="CZ24" s="156">
        <f t="shared" si="42"/>
        <v>4.0999999999999996</v>
      </c>
      <c r="DA24" s="140" t="str">
        <f t="shared" si="43"/>
        <v>17#5@20</v>
      </c>
      <c r="DB24" s="140" t="str">
        <f t="shared" si="44"/>
        <v>17#5@20</v>
      </c>
    </row>
    <row r="25" spans="1:106" ht="15" customHeight="1" x14ac:dyDescent="0.25">
      <c r="A25" s="123"/>
      <c r="B25" s="124"/>
      <c r="C25" s="188"/>
      <c r="D25" s="124"/>
      <c r="E25" s="124"/>
      <c r="F25" s="124"/>
      <c r="G25" s="124"/>
      <c r="H25" s="125"/>
      <c r="I25" s="124"/>
      <c r="J25" s="124"/>
      <c r="K25" s="124"/>
      <c r="L25" s="126"/>
      <c r="M25" s="349">
        <f>Y25</f>
        <v>0</v>
      </c>
      <c r="N25" s="143">
        <v>288</v>
      </c>
      <c r="O25" s="144" t="s">
        <v>837</v>
      </c>
      <c r="P25" s="145">
        <v>123.7273</v>
      </c>
      <c r="Q25" s="145">
        <v>6.8602999999999996</v>
      </c>
      <c r="R25" s="145">
        <v>417.3107</v>
      </c>
      <c r="S25" s="145">
        <v>7.5895999999999999</v>
      </c>
      <c r="T25" s="145">
        <v>492.00729999999999</v>
      </c>
      <c r="U25" s="145">
        <v>0.6</v>
      </c>
      <c r="V25" s="146">
        <f t="shared" si="45"/>
        <v>0.52500000000000002</v>
      </c>
      <c r="W25" s="147">
        <f t="shared" si="46"/>
        <v>254.99999999999994</v>
      </c>
      <c r="X25" s="147">
        <f t="shared" si="47"/>
        <v>395.5139999999999</v>
      </c>
      <c r="Y25" s="349"/>
      <c r="Z25" s="148">
        <f t="shared" si="0"/>
        <v>2.7773586482492045</v>
      </c>
      <c r="AA25" s="149">
        <v>4.0999999999999996</v>
      </c>
      <c r="AB25" s="148">
        <f t="shared" si="48"/>
        <v>4.1549623266815239</v>
      </c>
      <c r="AC25" s="149">
        <v>4.0999999999999996</v>
      </c>
      <c r="AD25" s="150">
        <f t="shared" si="49"/>
        <v>0.69249372111358731</v>
      </c>
      <c r="AE25" s="150">
        <f t="shared" si="1"/>
        <v>1.9956646442061136E-2</v>
      </c>
      <c r="AF25" s="53" t="str">
        <f t="shared" si="50"/>
        <v>N/C</v>
      </c>
      <c r="AG25" s="53" t="str">
        <f t="shared" si="51"/>
        <v>OK</v>
      </c>
      <c r="AH25" s="155" t="s">
        <v>53</v>
      </c>
      <c r="AI25" s="153">
        <f t="shared" si="53"/>
        <v>2.0499999999999998</v>
      </c>
      <c r="AJ25" s="153">
        <f t="shared" si="54"/>
        <v>3.55</v>
      </c>
      <c r="AK25" s="152">
        <f t="shared" si="55"/>
        <v>0.93730672481429667</v>
      </c>
      <c r="AL25" s="150">
        <f t="shared" si="56"/>
        <v>2.9603156497988596</v>
      </c>
      <c r="AM25" s="150">
        <f t="shared" si="57"/>
        <v>177.8855986804441</v>
      </c>
      <c r="AN25" s="349">
        <f>Y25</f>
        <v>0</v>
      </c>
      <c r="AO25" s="153">
        <f t="shared" si="2"/>
        <v>1074.216720252082</v>
      </c>
      <c r="AP25" s="153">
        <f t="shared" si="3"/>
        <v>2897.999646289953</v>
      </c>
      <c r="AQ25" s="153">
        <f t="shared" si="4"/>
        <v>5360.9205221532384</v>
      </c>
      <c r="AR25" s="153">
        <f t="shared" si="5"/>
        <v>3437.823109814552</v>
      </c>
      <c r="AS25" s="53" t="str">
        <f t="shared" si="6"/>
        <v>OK</v>
      </c>
      <c r="AT25" s="153">
        <f t="shared" si="7"/>
        <v>0.6</v>
      </c>
      <c r="AU25" s="150">
        <f t="shared" si="8"/>
        <v>253.93392256097556</v>
      </c>
      <c r="AV25" s="153">
        <f t="shared" si="9"/>
        <v>351.60081585365845</v>
      </c>
      <c r="AW25" s="154">
        <f t="shared" si="10"/>
        <v>1452.2198227519655</v>
      </c>
      <c r="AX25" s="153">
        <f t="shared" si="11"/>
        <v>1452.2198227519655</v>
      </c>
      <c r="AY25" s="53" t="str">
        <f t="shared" si="12"/>
        <v>OK</v>
      </c>
      <c r="AZ25" s="349">
        <f>AN25</f>
        <v>0</v>
      </c>
      <c r="BA25" s="153">
        <f t="shared" si="13"/>
        <v>1032.4625798780487</v>
      </c>
      <c r="BB25" s="153">
        <f t="shared" si="14"/>
        <v>1015.1479624436197</v>
      </c>
      <c r="BC25" s="150">
        <f t="shared" si="15"/>
        <v>2.4708891941684335E-3</v>
      </c>
      <c r="BD25" s="148">
        <f t="shared" si="16"/>
        <v>53.18588990447553</v>
      </c>
      <c r="BE25" s="144">
        <v>5</v>
      </c>
      <c r="BF25" s="144">
        <v>17</v>
      </c>
      <c r="BG25" s="155">
        <f t="shared" si="17"/>
        <v>33.83</v>
      </c>
      <c r="BH25" s="53" t="str">
        <f t="shared" si="18"/>
        <v>N/C</v>
      </c>
      <c r="BI25" s="148">
        <f t="shared" si="19"/>
        <v>0.23</v>
      </c>
      <c r="BJ25" s="155" t="str">
        <f t="shared" si="20"/>
        <v>17#5@20</v>
      </c>
      <c r="BK25" s="197">
        <f t="shared" si="21"/>
        <v>1.5721516377320583</v>
      </c>
      <c r="BL25" s="349">
        <f>AZ25</f>
        <v>0</v>
      </c>
      <c r="BM25" s="155">
        <f t="shared" si="22"/>
        <v>0</v>
      </c>
      <c r="BN25" s="153">
        <f t="shared" si="23"/>
        <v>0</v>
      </c>
      <c r="BO25" s="153">
        <f t="shared" si="24"/>
        <v>0</v>
      </c>
      <c r="BP25" s="153">
        <f t="shared" si="25"/>
        <v>9.2317499999999999</v>
      </c>
      <c r="BQ25" s="144">
        <v>10</v>
      </c>
      <c r="BR25" s="155" t="s">
        <v>191</v>
      </c>
      <c r="BS25" s="144">
        <v>6</v>
      </c>
      <c r="BT25" s="153">
        <f t="shared" si="26"/>
        <v>28.4</v>
      </c>
      <c r="BU25" s="153">
        <f t="shared" si="27"/>
        <v>1073.5199999999998</v>
      </c>
      <c r="BV25" s="53" t="str">
        <f t="shared" si="28"/>
        <v>OK</v>
      </c>
      <c r="BW25" s="122"/>
      <c r="BX25" s="349">
        <f>BL25</f>
        <v>0</v>
      </c>
      <c r="BY25" s="153">
        <f t="shared" si="29"/>
        <v>17.04</v>
      </c>
      <c r="BZ25" s="153">
        <f t="shared" si="30"/>
        <v>644.11199999999997</v>
      </c>
      <c r="CA25" s="155" t="str">
        <f t="shared" si="31"/>
        <v>OK</v>
      </c>
      <c r="CB25" s="153">
        <f t="shared" si="32"/>
        <v>63.523182629387271</v>
      </c>
      <c r="CC25" s="53" t="str">
        <f t="shared" si="33"/>
        <v>OK</v>
      </c>
      <c r="CE25" s="114"/>
      <c r="CF25" s="114"/>
      <c r="CG25" s="114"/>
      <c r="CH25" s="114"/>
      <c r="CI25" s="117"/>
      <c r="CJ25" s="349">
        <f>BX25</f>
        <v>0</v>
      </c>
      <c r="CK25" s="153">
        <f t="shared" si="34"/>
        <v>739.76890051937835</v>
      </c>
      <c r="CL25" s="153">
        <f t="shared" si="35"/>
        <v>0</v>
      </c>
      <c r="CM25" s="150">
        <f t="shared" si="36"/>
        <v>0</v>
      </c>
      <c r="CN25" s="150">
        <f t="shared" si="37"/>
        <v>0</v>
      </c>
      <c r="CO25" s="53" t="str">
        <f t="shared" si="38"/>
        <v>OK</v>
      </c>
      <c r="CP25" s="158">
        <f t="shared" si="39"/>
        <v>9.2317499999999999</v>
      </c>
      <c r="CQ25" s="144">
        <v>10</v>
      </c>
      <c r="CR25" s="155" t="s">
        <v>191</v>
      </c>
      <c r="CS25" s="144">
        <v>6</v>
      </c>
      <c r="CU25" s="117"/>
      <c r="CW25" s="349">
        <f>AZ25</f>
        <v>0</v>
      </c>
      <c r="CX25" s="111">
        <f t="shared" si="40"/>
        <v>288</v>
      </c>
      <c r="CY25" s="156">
        <f t="shared" si="41"/>
        <v>4.0999999999999996</v>
      </c>
      <c r="CZ25" s="156">
        <f t="shared" si="42"/>
        <v>4.0999999999999996</v>
      </c>
      <c r="DA25" s="140" t="str">
        <f t="shared" si="43"/>
        <v>17#5@20</v>
      </c>
      <c r="DB25" s="140" t="str">
        <f t="shared" si="44"/>
        <v>17#5@20</v>
      </c>
    </row>
    <row r="26" spans="1:106" ht="15" customHeight="1" x14ac:dyDescent="0.25">
      <c r="A26" s="123"/>
      <c r="B26" s="124"/>
      <c r="C26" s="188"/>
      <c r="D26" s="124"/>
      <c r="E26" s="124"/>
      <c r="F26" s="124"/>
      <c r="G26" s="124"/>
      <c r="H26" s="125"/>
      <c r="I26" s="124"/>
      <c r="J26" s="124"/>
      <c r="K26" s="124"/>
      <c r="L26" s="126"/>
      <c r="M26" s="350"/>
      <c r="N26" s="143">
        <v>288</v>
      </c>
      <c r="O26" s="144" t="s">
        <v>837</v>
      </c>
      <c r="P26" s="145">
        <v>-75.337199999999996</v>
      </c>
      <c r="Q26" s="145">
        <v>0.57730000000000004</v>
      </c>
      <c r="R26" s="145">
        <v>346.81279999999998</v>
      </c>
      <c r="S26" s="145">
        <v>-19.4404</v>
      </c>
      <c r="T26" s="145">
        <v>-410.75889999999998</v>
      </c>
      <c r="U26" s="145">
        <v>0.6</v>
      </c>
      <c r="V26" s="146">
        <f t="shared" si="45"/>
        <v>0.52500000000000002</v>
      </c>
      <c r="W26" s="147">
        <f t="shared" si="46"/>
        <v>254.99999999999994</v>
      </c>
      <c r="X26" s="147">
        <f t="shared" si="47"/>
        <v>395.5139999999999</v>
      </c>
      <c r="Y26" s="350"/>
      <c r="Z26" s="148">
        <f t="shared" si="0"/>
        <v>2.6841125866961186</v>
      </c>
      <c r="AA26" s="149">
        <v>4.0999999999999996</v>
      </c>
      <c r="AB26" s="148">
        <f t="shared" si="48"/>
        <v>2.6841125866961186</v>
      </c>
      <c r="AC26" s="149">
        <v>4.0999999999999996</v>
      </c>
      <c r="AD26" s="150">
        <f t="shared" si="49"/>
        <v>-0.56293814625256233</v>
      </c>
      <c r="AE26" s="150">
        <f t="shared" si="1"/>
        <v>-1.8334812621098727E-2</v>
      </c>
      <c r="AF26" s="53" t="str">
        <f t="shared" si="50"/>
        <v>OK</v>
      </c>
      <c r="AG26" s="53" t="str">
        <f t="shared" si="51"/>
        <v>OK</v>
      </c>
      <c r="AH26" s="155" t="s">
        <v>53</v>
      </c>
      <c r="AI26" s="153">
        <f t="shared" si="53"/>
        <v>2.0499999999999998</v>
      </c>
      <c r="AJ26" s="153">
        <f t="shared" si="54"/>
        <v>3.55</v>
      </c>
      <c r="AK26" s="152">
        <f t="shared" si="55"/>
        <v>0.79315209524394548</v>
      </c>
      <c r="AL26" s="150">
        <f t="shared" si="56"/>
        <v>-3.6416078989258382</v>
      </c>
      <c r="AM26" s="150">
        <f t="shared" si="57"/>
        <v>-193.62074068402799</v>
      </c>
      <c r="AN26" s="350"/>
      <c r="AO26" s="153">
        <f t="shared" si="2"/>
        <v>1003.2968183967874</v>
      </c>
      <c r="AP26" s="153">
        <f t="shared" si="3"/>
        <v>2897.999646289953</v>
      </c>
      <c r="AQ26" s="153">
        <f t="shared" si="4"/>
        <v>5360.9205221532384</v>
      </c>
      <c r="AR26" s="153">
        <f t="shared" si="5"/>
        <v>3437.823109814552</v>
      </c>
      <c r="AS26" s="53" t="str">
        <f t="shared" si="6"/>
        <v>OK</v>
      </c>
      <c r="AT26" s="153">
        <f t="shared" si="7"/>
        <v>0.6</v>
      </c>
      <c r="AU26" s="150">
        <f t="shared" si="8"/>
        <v>237.16917804878042</v>
      </c>
      <c r="AV26" s="153">
        <f t="shared" si="9"/>
        <v>328.38809268292675</v>
      </c>
      <c r="AW26" s="154">
        <f t="shared" si="10"/>
        <v>1452.2198227519655</v>
      </c>
      <c r="AX26" s="153">
        <f t="shared" si="11"/>
        <v>1452.2198227519655</v>
      </c>
      <c r="AY26" s="53" t="str">
        <f t="shared" si="12"/>
        <v>OK</v>
      </c>
      <c r="AZ26" s="350"/>
      <c r="BA26" s="153">
        <f t="shared" si="13"/>
        <v>-287.77655609756101</v>
      </c>
      <c r="BB26" s="153">
        <f t="shared" si="14"/>
        <v>-282.95048193997235</v>
      </c>
      <c r="BC26" s="150">
        <f t="shared" si="15"/>
        <v>1.8E-3</v>
      </c>
      <c r="BD26" s="148">
        <f t="shared" si="16"/>
        <v>38.744999999999997</v>
      </c>
      <c r="BE26" s="144">
        <v>5</v>
      </c>
      <c r="BF26" s="144">
        <v>17</v>
      </c>
      <c r="BG26" s="155">
        <f t="shared" si="17"/>
        <v>33.83</v>
      </c>
      <c r="BH26" s="53" t="str">
        <f t="shared" si="18"/>
        <v>N/C</v>
      </c>
      <c r="BI26" s="148">
        <f t="shared" si="19"/>
        <v>0.23</v>
      </c>
      <c r="BJ26" s="155" t="str">
        <f t="shared" si="20"/>
        <v>17#5@20</v>
      </c>
      <c r="BK26" s="197">
        <f t="shared" si="21"/>
        <v>1.1452852497783033</v>
      </c>
      <c r="BL26" s="350"/>
      <c r="BM26" s="155">
        <f t="shared" si="22"/>
        <v>0</v>
      </c>
      <c r="BN26" s="153">
        <f t="shared" si="23"/>
        <v>0</v>
      </c>
      <c r="BO26" s="153">
        <f t="shared" si="24"/>
        <v>0</v>
      </c>
      <c r="BP26" s="153">
        <f t="shared" si="25"/>
        <v>9.2317499999999999</v>
      </c>
      <c r="BQ26" s="144">
        <v>10</v>
      </c>
      <c r="BR26" s="155" t="s">
        <v>191</v>
      </c>
      <c r="BS26" s="144">
        <v>6</v>
      </c>
      <c r="BT26" s="153">
        <f t="shared" si="26"/>
        <v>28.4</v>
      </c>
      <c r="BU26" s="153">
        <f t="shared" si="27"/>
        <v>1073.5199999999998</v>
      </c>
      <c r="BV26" s="53" t="str">
        <f t="shared" si="28"/>
        <v>OK</v>
      </c>
      <c r="BW26" s="122"/>
      <c r="BX26" s="350"/>
      <c r="BY26" s="153">
        <f t="shared" si="29"/>
        <v>17.04</v>
      </c>
      <c r="BZ26" s="153">
        <f t="shared" si="30"/>
        <v>644.11199999999997</v>
      </c>
      <c r="CA26" s="155" t="str">
        <f t="shared" si="31"/>
        <v>OK</v>
      </c>
      <c r="CB26" s="153">
        <f t="shared" si="32"/>
        <v>59.329375371802492</v>
      </c>
      <c r="CC26" s="53" t="str">
        <f t="shared" si="33"/>
        <v>OK</v>
      </c>
      <c r="CE26" s="114"/>
      <c r="CF26" s="114"/>
      <c r="CG26" s="114"/>
      <c r="CH26" s="114"/>
      <c r="CI26" s="117"/>
      <c r="CJ26" s="350"/>
      <c r="CK26" s="153">
        <f t="shared" si="34"/>
        <v>561.73100397835424</v>
      </c>
      <c r="CL26" s="153">
        <f t="shared" si="35"/>
        <v>0</v>
      </c>
      <c r="CM26" s="150">
        <f t="shared" si="36"/>
        <v>0</v>
      </c>
      <c r="CN26" s="150">
        <f t="shared" si="37"/>
        <v>0</v>
      </c>
      <c r="CO26" s="53" t="str">
        <f t="shared" si="38"/>
        <v>OK</v>
      </c>
      <c r="CP26" s="158">
        <f t="shared" si="39"/>
        <v>9.2317499999999999</v>
      </c>
      <c r="CQ26" s="144">
        <v>10</v>
      </c>
      <c r="CR26" s="155" t="s">
        <v>191</v>
      </c>
      <c r="CS26" s="144">
        <v>6</v>
      </c>
      <c r="CU26" s="117"/>
      <c r="CW26" s="350"/>
      <c r="CX26" s="111">
        <f t="shared" si="40"/>
        <v>288</v>
      </c>
      <c r="CY26" s="156">
        <f t="shared" si="41"/>
        <v>4.0999999999999996</v>
      </c>
      <c r="CZ26" s="156">
        <f t="shared" si="42"/>
        <v>4.0999999999999996</v>
      </c>
      <c r="DA26" s="140" t="str">
        <f t="shared" si="43"/>
        <v>17#5@20</v>
      </c>
      <c r="DB26" s="140" t="str">
        <f t="shared" si="44"/>
        <v>17#5@20</v>
      </c>
    </row>
    <row r="27" spans="1:106" ht="15" customHeight="1" x14ac:dyDescent="0.25">
      <c r="A27" s="123"/>
      <c r="B27" s="124"/>
      <c r="C27" s="188"/>
      <c r="D27" s="124"/>
      <c r="E27" s="124"/>
      <c r="F27" s="124"/>
      <c r="G27" s="124"/>
      <c r="H27" s="125"/>
      <c r="I27" s="124"/>
      <c r="J27" s="124"/>
      <c r="K27" s="124"/>
      <c r="L27" s="126"/>
      <c r="M27" s="349">
        <f>Y27</f>
        <v>0</v>
      </c>
      <c r="N27" s="143">
        <v>288</v>
      </c>
      <c r="O27" s="144" t="s">
        <v>837</v>
      </c>
      <c r="P27" s="145">
        <v>54.5334</v>
      </c>
      <c r="Q27" s="145">
        <v>13.4742</v>
      </c>
      <c r="R27" s="145">
        <v>412.78710000000001</v>
      </c>
      <c r="S27" s="145">
        <v>36.204500000000003</v>
      </c>
      <c r="T27" s="145">
        <v>177.7182</v>
      </c>
      <c r="U27" s="145">
        <v>0.6</v>
      </c>
      <c r="V27" s="146">
        <f t="shared" si="45"/>
        <v>0.52500000000000002</v>
      </c>
      <c r="W27" s="147">
        <f t="shared" si="46"/>
        <v>254.99999999999994</v>
      </c>
      <c r="X27" s="147">
        <f t="shared" si="47"/>
        <v>395.5139999999999</v>
      </c>
      <c r="Y27" s="349"/>
      <c r="Z27" s="148">
        <f t="shared" si="0"/>
        <v>2.7714695759972257</v>
      </c>
      <c r="AA27" s="149">
        <v>4.0999999999999996</v>
      </c>
      <c r="AB27" s="148">
        <f t="shared" si="48"/>
        <v>2.7714695759972257</v>
      </c>
      <c r="AC27" s="149">
        <v>4.0999999999999996</v>
      </c>
      <c r="AD27" s="150">
        <f t="shared" si="49"/>
        <v>0.26971193766281254</v>
      </c>
      <c r="AE27" s="150">
        <f t="shared" si="1"/>
        <v>5.9393242422113558E-2</v>
      </c>
      <c r="AF27" s="53" t="str">
        <f t="shared" si="50"/>
        <v>OK</v>
      </c>
      <c r="AG27" s="53" t="str">
        <f t="shared" si="51"/>
        <v>OK</v>
      </c>
      <c r="AH27" s="155" t="str">
        <f t="shared" si="52"/>
        <v>Central</v>
      </c>
      <c r="AI27" s="153">
        <f t="shared" si="53"/>
        <v>2.0499999999999998</v>
      </c>
      <c r="AJ27" s="153">
        <f t="shared" si="54"/>
        <v>2.0499999999999998</v>
      </c>
      <c r="AK27" s="152">
        <f t="shared" si="55"/>
        <v>0.67699984399784408</v>
      </c>
      <c r="AL27" s="150">
        <f t="shared" si="56"/>
        <v>7.6007017626444897</v>
      </c>
      <c r="AM27" s="150">
        <f t="shared" si="57"/>
        <v>34.515711154990505</v>
      </c>
      <c r="AN27" s="349">
        <f>Y27</f>
        <v>0</v>
      </c>
      <c r="AO27" s="153">
        <f t="shared" si="2"/>
        <v>1069.6660418909876</v>
      </c>
      <c r="AP27" s="153">
        <f t="shared" si="3"/>
        <v>2897.999646289953</v>
      </c>
      <c r="AQ27" s="153">
        <f t="shared" si="4"/>
        <v>5360.9205221532384</v>
      </c>
      <c r="AR27" s="153">
        <f t="shared" si="5"/>
        <v>3437.823109814552</v>
      </c>
      <c r="AS27" s="53" t="str">
        <f t="shared" si="6"/>
        <v>OK</v>
      </c>
      <c r="AT27" s="153">
        <f t="shared" si="7"/>
        <v>0.6</v>
      </c>
      <c r="AU27" s="150">
        <f t="shared" si="8"/>
        <v>252.8581884146341</v>
      </c>
      <c r="AV27" s="153">
        <f t="shared" si="9"/>
        <v>350.11133780487796</v>
      </c>
      <c r="AW27" s="154">
        <f t="shared" si="10"/>
        <v>1452.2198227519655</v>
      </c>
      <c r="AX27" s="153">
        <f t="shared" si="11"/>
        <v>1452.2198227519655</v>
      </c>
      <c r="AY27" s="53" t="str">
        <f t="shared" si="12"/>
        <v>OK</v>
      </c>
      <c r="AZ27" s="349">
        <f>AN27</f>
        <v>0</v>
      </c>
      <c r="BA27" s="153">
        <f t="shared" si="13"/>
        <v>578.54444817073158</v>
      </c>
      <c r="BB27" s="153">
        <f t="shared" si="14"/>
        <v>568.84213451392839</v>
      </c>
      <c r="BC27" s="150">
        <f t="shared" si="15"/>
        <v>1.8E-3</v>
      </c>
      <c r="BD27" s="148">
        <f t="shared" si="16"/>
        <v>38.744999999999997</v>
      </c>
      <c r="BE27" s="144">
        <v>5</v>
      </c>
      <c r="BF27" s="144">
        <v>18</v>
      </c>
      <c r="BG27" s="155">
        <f t="shared" si="17"/>
        <v>35.82</v>
      </c>
      <c r="BH27" s="53" t="str">
        <f t="shared" si="18"/>
        <v>N/C</v>
      </c>
      <c r="BI27" s="148">
        <f t="shared" si="19"/>
        <v>0.22</v>
      </c>
      <c r="BJ27" s="155" t="str">
        <f t="shared" si="20"/>
        <v>18#5@20</v>
      </c>
      <c r="BK27" s="197">
        <f t="shared" si="21"/>
        <v>1.0816582914572863</v>
      </c>
      <c r="BL27" s="349">
        <f>AZ27</f>
        <v>0</v>
      </c>
      <c r="BM27" s="155">
        <f t="shared" si="22"/>
        <v>0</v>
      </c>
      <c r="BN27" s="153">
        <f t="shared" si="23"/>
        <v>0</v>
      </c>
      <c r="BO27" s="153">
        <f t="shared" si="24"/>
        <v>0</v>
      </c>
      <c r="BP27" s="153">
        <f t="shared" si="25"/>
        <v>9.2317499999999999</v>
      </c>
      <c r="BQ27" s="144">
        <v>10</v>
      </c>
      <c r="BR27" s="155" t="s">
        <v>191</v>
      </c>
      <c r="BS27" s="144">
        <v>6</v>
      </c>
      <c r="BT27" s="153">
        <f t="shared" si="26"/>
        <v>28.4</v>
      </c>
      <c r="BU27" s="153">
        <f t="shared" si="27"/>
        <v>1073.5199999999998</v>
      </c>
      <c r="BV27" s="53" t="str">
        <f t="shared" si="28"/>
        <v>OK</v>
      </c>
      <c r="BW27" s="122"/>
      <c r="BX27" s="349">
        <f>BL27</f>
        <v>0</v>
      </c>
      <c r="BY27" s="153">
        <f t="shared" si="29"/>
        <v>17.04</v>
      </c>
      <c r="BZ27" s="153">
        <f t="shared" si="30"/>
        <v>644.11199999999997</v>
      </c>
      <c r="CA27" s="155" t="str">
        <f t="shared" si="31"/>
        <v>OK</v>
      </c>
      <c r="CB27" s="153">
        <f t="shared" si="32"/>
        <v>63.254080904223677</v>
      </c>
      <c r="CC27" s="53" t="str">
        <f t="shared" si="33"/>
        <v>OK</v>
      </c>
      <c r="CE27" s="114"/>
      <c r="CF27" s="114"/>
      <c r="CG27" s="114"/>
      <c r="CH27" s="114"/>
      <c r="CI27" s="117"/>
      <c r="CJ27" s="349">
        <f>BX27</f>
        <v>0</v>
      </c>
      <c r="CK27" s="153">
        <f t="shared" si="34"/>
        <v>293.65613394480624</v>
      </c>
      <c r="CL27" s="153">
        <f t="shared" si="35"/>
        <v>0</v>
      </c>
      <c r="CM27" s="150">
        <f t="shared" si="36"/>
        <v>0</v>
      </c>
      <c r="CN27" s="150">
        <f t="shared" si="37"/>
        <v>0</v>
      </c>
      <c r="CO27" s="53" t="str">
        <f t="shared" si="38"/>
        <v>OK</v>
      </c>
      <c r="CP27" s="158">
        <f t="shared" si="39"/>
        <v>9.2317499999999999</v>
      </c>
      <c r="CQ27" s="144">
        <v>10</v>
      </c>
      <c r="CR27" s="155" t="s">
        <v>191</v>
      </c>
      <c r="CS27" s="144">
        <v>6</v>
      </c>
      <c r="CU27" s="117"/>
      <c r="CW27" s="349">
        <f>AZ27</f>
        <v>0</v>
      </c>
      <c r="CX27" s="111">
        <f t="shared" si="40"/>
        <v>288</v>
      </c>
      <c r="CY27" s="156">
        <f t="shared" si="41"/>
        <v>4.0999999999999996</v>
      </c>
      <c r="CZ27" s="156">
        <f t="shared" si="42"/>
        <v>4.0999999999999996</v>
      </c>
      <c r="DA27" s="140" t="str">
        <f t="shared" si="43"/>
        <v>18#5@20</v>
      </c>
      <c r="DB27" s="140" t="str">
        <f t="shared" si="44"/>
        <v>18#5@20</v>
      </c>
    </row>
    <row r="28" spans="1:106" ht="15" customHeight="1" x14ac:dyDescent="0.25">
      <c r="A28" s="123"/>
      <c r="B28" s="124"/>
      <c r="C28" s="188"/>
      <c r="D28" s="124"/>
      <c r="E28" s="124"/>
      <c r="F28" s="124"/>
      <c r="G28" s="124"/>
      <c r="H28" s="125"/>
      <c r="I28" s="124"/>
      <c r="J28" s="124"/>
      <c r="K28" s="124"/>
      <c r="L28" s="126"/>
      <c r="M28" s="350"/>
      <c r="N28" s="143">
        <v>288</v>
      </c>
      <c r="O28" s="144" t="s">
        <v>837</v>
      </c>
      <c r="P28" s="145">
        <v>-6.1433</v>
      </c>
      <c r="Q28" s="145">
        <v>-6.0366</v>
      </c>
      <c r="R28" s="145">
        <v>351.33640000000003</v>
      </c>
      <c r="S28" s="145">
        <v>-48.055300000000003</v>
      </c>
      <c r="T28" s="145">
        <v>-96.469800000000006</v>
      </c>
      <c r="U28" s="145">
        <v>0.6</v>
      </c>
      <c r="V28" s="146">
        <f t="shared" si="45"/>
        <v>0.52500000000000002</v>
      </c>
      <c r="W28" s="147">
        <f t="shared" si="46"/>
        <v>254.99999999999994</v>
      </c>
      <c r="X28" s="147">
        <f t="shared" si="47"/>
        <v>395.5139999999999</v>
      </c>
      <c r="Y28" s="350"/>
      <c r="Z28" s="148">
        <f t="shared" si="0"/>
        <v>2.690192897988346</v>
      </c>
      <c r="AA28" s="149">
        <v>4.0999999999999996</v>
      </c>
      <c r="AB28" s="148">
        <f t="shared" si="48"/>
        <v>2.690192897988346</v>
      </c>
      <c r="AC28" s="149">
        <v>4.0999999999999996</v>
      </c>
      <c r="AD28" s="150">
        <f t="shared" si="49"/>
        <v>-0.10855552884941708</v>
      </c>
      <c r="AE28" s="150">
        <f t="shared" si="1"/>
        <v>-6.0017443722136569E-2</v>
      </c>
      <c r="AF28" s="53" t="str">
        <f t="shared" si="50"/>
        <v>OK</v>
      </c>
      <c r="AG28" s="53" t="str">
        <f t="shared" si="51"/>
        <v>OK</v>
      </c>
      <c r="AH28" s="155" t="str">
        <f t="shared" si="52"/>
        <v>Central</v>
      </c>
      <c r="AI28" s="153">
        <f t="shared" si="53"/>
        <v>2.0499999999999998</v>
      </c>
      <c r="AJ28" s="153">
        <f t="shared" si="54"/>
        <v>2.0499999999999998</v>
      </c>
      <c r="AK28" s="152">
        <f t="shared" si="55"/>
        <v>0.53673307288393657</v>
      </c>
      <c r="AL28" s="150">
        <f t="shared" si="56"/>
        <v>-18.884344461567309</v>
      </c>
      <c r="AM28" s="150">
        <f t="shared" si="57"/>
        <v>-34.156736323041471</v>
      </c>
      <c r="AN28" s="350"/>
      <c r="AO28" s="153">
        <f t="shared" si="2"/>
        <v>1007.8474967578821</v>
      </c>
      <c r="AP28" s="153">
        <f t="shared" si="3"/>
        <v>2897.999646289953</v>
      </c>
      <c r="AQ28" s="153">
        <f t="shared" si="4"/>
        <v>5360.9205221532384</v>
      </c>
      <c r="AR28" s="153">
        <f t="shared" si="5"/>
        <v>3437.823109814552</v>
      </c>
      <c r="AS28" s="53" t="str">
        <f t="shared" si="6"/>
        <v>OK</v>
      </c>
      <c r="AT28" s="153">
        <f t="shared" si="7"/>
        <v>0.6</v>
      </c>
      <c r="AU28" s="150">
        <f t="shared" si="8"/>
        <v>238.24491219512188</v>
      </c>
      <c r="AV28" s="153">
        <f t="shared" si="9"/>
        <v>329.87757073170724</v>
      </c>
      <c r="AW28" s="154">
        <f t="shared" si="10"/>
        <v>1452.2198227519655</v>
      </c>
      <c r="AX28" s="153">
        <f t="shared" si="11"/>
        <v>1452.2198227519655</v>
      </c>
      <c r="AY28" s="53" t="str">
        <f t="shared" si="12"/>
        <v>OK</v>
      </c>
      <c r="AZ28" s="350"/>
      <c r="BA28" s="153">
        <f t="shared" si="13"/>
        <v>166.14157560975596</v>
      </c>
      <c r="BB28" s="153">
        <f t="shared" si="14"/>
        <v>163.35534598971881</v>
      </c>
      <c r="BC28" s="150">
        <f t="shared" si="15"/>
        <v>1.8E-3</v>
      </c>
      <c r="BD28" s="148">
        <f t="shared" si="16"/>
        <v>38.744999999999997</v>
      </c>
      <c r="BE28" s="144">
        <v>5</v>
      </c>
      <c r="BF28" s="144">
        <v>18</v>
      </c>
      <c r="BG28" s="155">
        <f t="shared" si="17"/>
        <v>35.82</v>
      </c>
      <c r="BH28" s="53" t="str">
        <f t="shared" si="18"/>
        <v>N/C</v>
      </c>
      <c r="BI28" s="148">
        <f t="shared" si="19"/>
        <v>0.22</v>
      </c>
      <c r="BJ28" s="155" t="str">
        <f t="shared" si="20"/>
        <v>18#5@20</v>
      </c>
      <c r="BK28" s="197">
        <f t="shared" si="21"/>
        <v>1.0816582914572863</v>
      </c>
      <c r="BL28" s="350"/>
      <c r="BM28" s="155">
        <f t="shared" si="22"/>
        <v>0</v>
      </c>
      <c r="BN28" s="153">
        <f t="shared" si="23"/>
        <v>0</v>
      </c>
      <c r="BO28" s="153">
        <f t="shared" si="24"/>
        <v>0</v>
      </c>
      <c r="BP28" s="153">
        <f t="shared" si="25"/>
        <v>9.2317499999999999</v>
      </c>
      <c r="BQ28" s="144">
        <v>10</v>
      </c>
      <c r="BR28" s="155" t="s">
        <v>191</v>
      </c>
      <c r="BS28" s="144">
        <v>6</v>
      </c>
      <c r="BT28" s="153">
        <f t="shared" si="26"/>
        <v>28.4</v>
      </c>
      <c r="BU28" s="153">
        <f t="shared" si="27"/>
        <v>1073.5199999999998</v>
      </c>
      <c r="BV28" s="53" t="str">
        <f t="shared" si="28"/>
        <v>OK</v>
      </c>
      <c r="BW28" s="122"/>
      <c r="BX28" s="350"/>
      <c r="BY28" s="153">
        <f t="shared" si="29"/>
        <v>17.04</v>
      </c>
      <c r="BZ28" s="153">
        <f t="shared" si="30"/>
        <v>644.11199999999997</v>
      </c>
      <c r="CA28" s="155" t="str">
        <f t="shared" si="31"/>
        <v>OK</v>
      </c>
      <c r="CB28" s="153">
        <f t="shared" si="32"/>
        <v>59.598477096966086</v>
      </c>
      <c r="CC28" s="53" t="str">
        <f t="shared" si="33"/>
        <v>OK</v>
      </c>
      <c r="CE28" s="114"/>
      <c r="CF28" s="114"/>
      <c r="CG28" s="114"/>
      <c r="CH28" s="114"/>
      <c r="CI28" s="117"/>
      <c r="CJ28" s="350"/>
      <c r="CK28" s="153">
        <f t="shared" si="34"/>
        <v>124.27144102009119</v>
      </c>
      <c r="CL28" s="153">
        <f t="shared" si="35"/>
        <v>0</v>
      </c>
      <c r="CM28" s="150">
        <f t="shared" si="36"/>
        <v>0</v>
      </c>
      <c r="CN28" s="150">
        <f t="shared" si="37"/>
        <v>0</v>
      </c>
      <c r="CO28" s="53" t="str">
        <f t="shared" si="38"/>
        <v>OK</v>
      </c>
      <c r="CP28" s="158">
        <f t="shared" si="39"/>
        <v>9.2317499999999999</v>
      </c>
      <c r="CQ28" s="144">
        <v>10</v>
      </c>
      <c r="CR28" s="155" t="s">
        <v>191</v>
      </c>
      <c r="CS28" s="144">
        <v>6</v>
      </c>
      <c r="CU28" s="117"/>
      <c r="CW28" s="350"/>
      <c r="CX28" s="111">
        <f t="shared" si="40"/>
        <v>288</v>
      </c>
      <c r="CY28" s="156">
        <f t="shared" si="41"/>
        <v>4.0999999999999996</v>
      </c>
      <c r="CZ28" s="156">
        <f t="shared" si="42"/>
        <v>4.0999999999999996</v>
      </c>
      <c r="DA28" s="140" t="str">
        <f t="shared" si="43"/>
        <v>18#5@20</v>
      </c>
      <c r="DB28" s="140" t="str">
        <f t="shared" si="44"/>
        <v>18#5@20</v>
      </c>
    </row>
    <row r="29" spans="1:106" ht="15" customHeight="1" x14ac:dyDescent="0.25">
      <c r="A29" s="123"/>
      <c r="B29" s="124"/>
      <c r="C29" s="188"/>
      <c r="D29" s="124"/>
      <c r="E29" s="124"/>
      <c r="F29" s="124"/>
      <c r="G29" s="124"/>
      <c r="H29" s="125"/>
      <c r="I29" s="124"/>
      <c r="J29" s="124"/>
      <c r="K29" s="124"/>
      <c r="L29" s="126"/>
      <c r="M29" s="349">
        <f>Y29</f>
        <v>0</v>
      </c>
      <c r="N29" s="143">
        <v>288</v>
      </c>
      <c r="O29" s="144" t="s">
        <v>837</v>
      </c>
      <c r="P29" s="145">
        <v>54.5334</v>
      </c>
      <c r="Q29" s="145">
        <v>13.4742</v>
      </c>
      <c r="R29" s="145">
        <v>412.78710000000001</v>
      </c>
      <c r="S29" s="145">
        <v>36.204500000000003</v>
      </c>
      <c r="T29" s="145">
        <v>177.7182</v>
      </c>
      <c r="U29" s="145">
        <v>0.6</v>
      </c>
      <c r="V29" s="146">
        <f t="shared" si="45"/>
        <v>0.52500000000000002</v>
      </c>
      <c r="W29" s="147">
        <f>(AA29*AC29*U29+W67*X67*(U67-U29))*$T$8</f>
        <v>254.99999999999994</v>
      </c>
      <c r="X29" s="147">
        <f>(AA29*AC29-W67*X67)*(U67-U29)*$T$7</f>
        <v>395.5139999999999</v>
      </c>
      <c r="Y29" s="349"/>
      <c r="Z29" s="148">
        <f t="shared" si="0"/>
        <v>2.7714695759972257</v>
      </c>
      <c r="AA29" s="149">
        <v>4.0999999999999996</v>
      </c>
      <c r="AB29" s="148">
        <f>IF(O29="Medianera",2*N67/(AA29*$T$6),MAX(Z29,AD29*6,1))</f>
        <v>2.7714695759972257</v>
      </c>
      <c r="AC29" s="149">
        <v>4.0999999999999996</v>
      </c>
      <c r="AD29" s="150">
        <f t="shared" si="49"/>
        <v>0.26971193766281254</v>
      </c>
      <c r="AE29" s="150">
        <f t="shared" si="1"/>
        <v>5.9393242422113558E-2</v>
      </c>
      <c r="AF29" s="53" t="str">
        <f t="shared" si="50"/>
        <v>OK</v>
      </c>
      <c r="AG29" s="53" t="str">
        <f>IF(AE29&gt;AA29/6,"N/C","OK")</f>
        <v>OK</v>
      </c>
      <c r="AH29" s="155" t="s">
        <v>53</v>
      </c>
      <c r="AI29" s="153">
        <f t="shared" si="53"/>
        <v>2.0499999999999998</v>
      </c>
      <c r="AJ29" s="153">
        <f>IF(OR(AH29="B",AH29="Esquinera"),AA29-W67/2,AA29/2)</f>
        <v>3.55</v>
      </c>
      <c r="AK29" s="152">
        <f t="shared" si="55"/>
        <v>0.67699984399784408</v>
      </c>
      <c r="AL29" s="150">
        <f t="shared" si="56"/>
        <v>7.6007017626444897</v>
      </c>
      <c r="AM29" s="150">
        <f t="shared" si="57"/>
        <v>59.771109561081111</v>
      </c>
      <c r="AN29" s="349">
        <f>Y29</f>
        <v>0</v>
      </c>
      <c r="AO29" s="153">
        <f t="shared" si="2"/>
        <v>1069.6660418909876</v>
      </c>
      <c r="AP29" s="153">
        <f t="shared" si="3"/>
        <v>2897.999646289953</v>
      </c>
      <c r="AQ29" s="153">
        <f t="shared" si="4"/>
        <v>5360.9205221532384</v>
      </c>
      <c r="AR29" s="153">
        <f t="shared" si="5"/>
        <v>3437.823109814552</v>
      </c>
      <c r="AS29" s="53" t="str">
        <f t="shared" si="6"/>
        <v>OK</v>
      </c>
      <c r="AT29" s="153">
        <f t="shared" si="7"/>
        <v>0.6</v>
      </c>
      <c r="AU29" s="150">
        <f t="shared" si="8"/>
        <v>252.8581884146341</v>
      </c>
      <c r="AV29" s="153">
        <f t="shared" si="9"/>
        <v>350.11133780487796</v>
      </c>
      <c r="AW29" s="154">
        <f t="shared" si="10"/>
        <v>1452.2198227519655</v>
      </c>
      <c r="AX29" s="153">
        <f t="shared" si="11"/>
        <v>1452.2198227519655</v>
      </c>
      <c r="AY29" s="53" t="str">
        <f t="shared" si="12"/>
        <v>OK</v>
      </c>
      <c r="AZ29" s="349">
        <f>AN29</f>
        <v>0</v>
      </c>
      <c r="BA29" s="153">
        <f t="shared" si="13"/>
        <v>578.54444817073158</v>
      </c>
      <c r="BB29" s="153">
        <f t="shared" si="14"/>
        <v>568.84213451392839</v>
      </c>
      <c r="BC29" s="150">
        <f t="shared" si="15"/>
        <v>1.8E-3</v>
      </c>
      <c r="BD29" s="148">
        <f t="shared" si="16"/>
        <v>38.744999999999997</v>
      </c>
      <c r="BE29" s="144">
        <v>5</v>
      </c>
      <c r="BF29" s="144">
        <v>17</v>
      </c>
      <c r="BG29" s="155">
        <f t="shared" si="17"/>
        <v>33.83</v>
      </c>
      <c r="BH29" s="53" t="str">
        <f t="shared" si="18"/>
        <v>N/C</v>
      </c>
      <c r="BI29" s="148">
        <f t="shared" si="19"/>
        <v>0.23</v>
      </c>
      <c r="BJ29" s="155" t="str">
        <f t="shared" si="20"/>
        <v>17#5@20</v>
      </c>
      <c r="BK29" s="197">
        <f t="shared" si="21"/>
        <v>1.1452852497783033</v>
      </c>
      <c r="BL29" s="349">
        <f>AZ29</f>
        <v>0</v>
      </c>
      <c r="BM29" s="155">
        <f t="shared" si="22"/>
        <v>0</v>
      </c>
      <c r="BN29" s="153">
        <f t="shared" si="23"/>
        <v>0</v>
      </c>
      <c r="BO29" s="153">
        <f t="shared" si="24"/>
        <v>0</v>
      </c>
      <c r="BP29" s="153">
        <f t="shared" si="25"/>
        <v>9.2317499999999999</v>
      </c>
      <c r="BQ29" s="144">
        <v>10</v>
      </c>
      <c r="BR29" s="155" t="s">
        <v>191</v>
      </c>
      <c r="BS29" s="144">
        <v>6</v>
      </c>
      <c r="BT29" s="153">
        <f t="shared" si="26"/>
        <v>28.4</v>
      </c>
      <c r="BU29" s="153">
        <f t="shared" si="27"/>
        <v>1073.5199999999998</v>
      </c>
      <c r="BV29" s="53" t="str">
        <f t="shared" si="28"/>
        <v>OK</v>
      </c>
      <c r="BW29" s="122"/>
      <c r="BX29" s="349">
        <f>BL29</f>
        <v>0</v>
      </c>
      <c r="BY29" s="153">
        <f t="shared" si="29"/>
        <v>17.04</v>
      </c>
      <c r="BZ29" s="153">
        <f t="shared" si="30"/>
        <v>644.11199999999997</v>
      </c>
      <c r="CA29" s="155" t="str">
        <f t="shared" si="31"/>
        <v>OK</v>
      </c>
      <c r="CB29" s="153">
        <f t="shared" si="32"/>
        <v>63.254080904223677</v>
      </c>
      <c r="CC29" s="53" t="str">
        <f t="shared" si="33"/>
        <v>OK</v>
      </c>
      <c r="CE29" s="114"/>
      <c r="CF29" s="114"/>
      <c r="CG29" s="114"/>
      <c r="CH29" s="114"/>
      <c r="CI29" s="117"/>
      <c r="CJ29" s="349">
        <f>BX29</f>
        <v>0</v>
      </c>
      <c r="CK29" s="153">
        <f t="shared" si="34"/>
        <v>293.65613394480624</v>
      </c>
      <c r="CL29" s="153">
        <f t="shared" si="35"/>
        <v>0</v>
      </c>
      <c r="CM29" s="150">
        <f t="shared" si="36"/>
        <v>0</v>
      </c>
      <c r="CN29" s="150">
        <f t="shared" si="37"/>
        <v>0</v>
      </c>
      <c r="CO29" s="53" t="str">
        <f t="shared" si="38"/>
        <v>OK</v>
      </c>
      <c r="CP29" s="158">
        <f t="shared" si="39"/>
        <v>9.2317499999999999</v>
      </c>
      <c r="CQ29" s="144">
        <v>10</v>
      </c>
      <c r="CR29" s="155" t="s">
        <v>191</v>
      </c>
      <c r="CS29" s="144">
        <v>6</v>
      </c>
      <c r="CU29" s="117"/>
      <c r="CW29" s="349">
        <f>AZ29</f>
        <v>0</v>
      </c>
      <c r="CX29" s="111">
        <f t="shared" si="40"/>
        <v>288</v>
      </c>
      <c r="CY29" s="156">
        <f t="shared" si="41"/>
        <v>4.0999999999999996</v>
      </c>
      <c r="CZ29" s="156">
        <f t="shared" si="42"/>
        <v>4.0999999999999996</v>
      </c>
      <c r="DA29" s="140" t="str">
        <f t="shared" si="43"/>
        <v>17#5@20</v>
      </c>
      <c r="DB29" s="140" t="str">
        <f t="shared" si="44"/>
        <v>17#5@20</v>
      </c>
    </row>
    <row r="30" spans="1:106" ht="15" customHeight="1" x14ac:dyDescent="0.25">
      <c r="A30" s="123"/>
      <c r="B30" s="124"/>
      <c r="C30" s="188"/>
      <c r="D30" s="124"/>
      <c r="E30" s="124"/>
      <c r="F30" s="124"/>
      <c r="G30" s="124"/>
      <c r="H30" s="125"/>
      <c r="I30" s="124"/>
      <c r="J30" s="124"/>
      <c r="K30" s="124"/>
      <c r="L30" s="126"/>
      <c r="M30" s="350"/>
      <c r="N30" s="143">
        <v>288</v>
      </c>
      <c r="O30" s="144" t="s">
        <v>837</v>
      </c>
      <c r="P30" s="145">
        <v>-6.1433</v>
      </c>
      <c r="Q30" s="145">
        <v>-6.0366</v>
      </c>
      <c r="R30" s="145">
        <v>351.33640000000003</v>
      </c>
      <c r="S30" s="145">
        <v>-48.055300000000003</v>
      </c>
      <c r="T30" s="145">
        <v>-96.469800000000006</v>
      </c>
      <c r="U30" s="145">
        <v>0.6</v>
      </c>
      <c r="V30" s="146">
        <f t="shared" si="45"/>
        <v>0.52500000000000002</v>
      </c>
      <c r="W30" s="147">
        <f>(AA30*AC30*U30+W68*X68*(U68-U30))*$T$8</f>
        <v>254.99999999999994</v>
      </c>
      <c r="X30" s="147">
        <f>(AA30*AC30-W68*X68)*(U68-U30)*$T$7</f>
        <v>395.5139999999999</v>
      </c>
      <c r="Y30" s="350"/>
      <c r="Z30" s="148">
        <f t="shared" si="0"/>
        <v>2.690192897988346</v>
      </c>
      <c r="AA30" s="149">
        <v>4.0999999999999996</v>
      </c>
      <c r="AB30" s="148">
        <f>IF(O30="Medianera",2*N68/(AA30*$T$6),MAX(Z30,AD30*6,1))</f>
        <v>2.690192897988346</v>
      </c>
      <c r="AC30" s="149">
        <v>4.0999999999999996</v>
      </c>
      <c r="AD30" s="150">
        <f t="shared" si="49"/>
        <v>-0.10855552884941708</v>
      </c>
      <c r="AE30" s="150">
        <f t="shared" si="1"/>
        <v>-6.0017443722136569E-2</v>
      </c>
      <c r="AF30" s="53" t="str">
        <f t="shared" si="50"/>
        <v>OK</v>
      </c>
      <c r="AG30" s="53" t="str">
        <f>IF(AE30&gt;AA30/6,"N/C","OK")</f>
        <v>OK</v>
      </c>
      <c r="AH30" s="155" t="s">
        <v>53</v>
      </c>
      <c r="AI30" s="153">
        <f t="shared" si="53"/>
        <v>2.0499999999999998</v>
      </c>
      <c r="AJ30" s="153">
        <f>IF(OR(AH30="B",AH30="Esquinera"),AA30-W68/2,AA30/2)</f>
        <v>3.55</v>
      </c>
      <c r="AK30" s="152">
        <f t="shared" si="55"/>
        <v>0.53673307288393657</v>
      </c>
      <c r="AL30" s="150">
        <f t="shared" si="56"/>
        <v>-18.884344461567309</v>
      </c>
      <c r="AM30" s="150">
        <f t="shared" si="57"/>
        <v>-59.149470217949876</v>
      </c>
      <c r="AN30" s="350"/>
      <c r="AO30" s="153">
        <f t="shared" si="2"/>
        <v>1007.8474967578821</v>
      </c>
      <c r="AP30" s="153">
        <f t="shared" si="3"/>
        <v>2897.999646289953</v>
      </c>
      <c r="AQ30" s="153">
        <f t="shared" si="4"/>
        <v>5360.9205221532384</v>
      </c>
      <c r="AR30" s="153">
        <f t="shared" si="5"/>
        <v>3437.823109814552</v>
      </c>
      <c r="AS30" s="53" t="str">
        <f t="shared" si="6"/>
        <v>OK</v>
      </c>
      <c r="AT30" s="153">
        <f t="shared" si="7"/>
        <v>0.6</v>
      </c>
      <c r="AU30" s="150">
        <f t="shared" si="8"/>
        <v>238.24491219512188</v>
      </c>
      <c r="AV30" s="153">
        <f t="shared" si="9"/>
        <v>329.87757073170724</v>
      </c>
      <c r="AW30" s="154">
        <f t="shared" si="10"/>
        <v>1452.2198227519655</v>
      </c>
      <c r="AX30" s="153">
        <f t="shared" si="11"/>
        <v>1452.2198227519655</v>
      </c>
      <c r="AY30" s="53" t="str">
        <f t="shared" si="12"/>
        <v>OK</v>
      </c>
      <c r="AZ30" s="350"/>
      <c r="BA30" s="153">
        <f t="shared" si="13"/>
        <v>166.14157560975596</v>
      </c>
      <c r="BB30" s="153">
        <f t="shared" si="14"/>
        <v>163.35534598971881</v>
      </c>
      <c r="BC30" s="150">
        <f t="shared" si="15"/>
        <v>1.8E-3</v>
      </c>
      <c r="BD30" s="148">
        <f t="shared" si="16"/>
        <v>38.744999999999997</v>
      </c>
      <c r="BE30" s="144">
        <v>5</v>
      </c>
      <c r="BF30" s="144">
        <v>17</v>
      </c>
      <c r="BG30" s="155">
        <f t="shared" si="17"/>
        <v>33.83</v>
      </c>
      <c r="BH30" s="53" t="str">
        <f t="shared" si="18"/>
        <v>N/C</v>
      </c>
      <c r="BI30" s="148">
        <f t="shared" si="19"/>
        <v>0.23</v>
      </c>
      <c r="BJ30" s="155" t="str">
        <f t="shared" si="20"/>
        <v>17#5@20</v>
      </c>
      <c r="BK30" s="197">
        <f t="shared" si="21"/>
        <v>1.1452852497783033</v>
      </c>
      <c r="BL30" s="350"/>
      <c r="BM30" s="155">
        <f t="shared" si="22"/>
        <v>0</v>
      </c>
      <c r="BN30" s="153">
        <f t="shared" si="23"/>
        <v>0</v>
      </c>
      <c r="BO30" s="153">
        <f t="shared" si="24"/>
        <v>0</v>
      </c>
      <c r="BP30" s="153">
        <f t="shared" si="25"/>
        <v>9.2317499999999999</v>
      </c>
      <c r="BQ30" s="144">
        <v>10</v>
      </c>
      <c r="BR30" s="155" t="s">
        <v>191</v>
      </c>
      <c r="BS30" s="144">
        <v>6</v>
      </c>
      <c r="BT30" s="153">
        <f t="shared" si="26"/>
        <v>28.4</v>
      </c>
      <c r="BU30" s="153">
        <f t="shared" si="27"/>
        <v>1073.5199999999998</v>
      </c>
      <c r="BV30" s="53" t="str">
        <f t="shared" si="28"/>
        <v>OK</v>
      </c>
      <c r="BW30" s="122"/>
      <c r="BX30" s="350"/>
      <c r="BY30" s="153">
        <f t="shared" si="29"/>
        <v>17.04</v>
      </c>
      <c r="BZ30" s="153">
        <f t="shared" si="30"/>
        <v>644.11199999999997</v>
      </c>
      <c r="CA30" s="155" t="str">
        <f t="shared" si="31"/>
        <v>OK</v>
      </c>
      <c r="CB30" s="153">
        <f t="shared" si="32"/>
        <v>59.598477096966086</v>
      </c>
      <c r="CC30" s="53" t="str">
        <f t="shared" si="33"/>
        <v>OK</v>
      </c>
      <c r="CE30" s="114"/>
      <c r="CF30" s="114"/>
      <c r="CG30" s="114"/>
      <c r="CH30" s="114"/>
      <c r="CI30" s="117"/>
      <c r="CJ30" s="350"/>
      <c r="CK30" s="153">
        <f t="shared" si="34"/>
        <v>124.27144102009119</v>
      </c>
      <c r="CL30" s="153">
        <f t="shared" si="35"/>
        <v>0</v>
      </c>
      <c r="CM30" s="150">
        <f t="shared" si="36"/>
        <v>0</v>
      </c>
      <c r="CN30" s="150">
        <f t="shared" si="37"/>
        <v>0</v>
      </c>
      <c r="CO30" s="53" t="str">
        <f t="shared" si="38"/>
        <v>OK</v>
      </c>
      <c r="CP30" s="158">
        <f t="shared" si="39"/>
        <v>9.2317499999999999</v>
      </c>
      <c r="CQ30" s="144">
        <v>10</v>
      </c>
      <c r="CR30" s="155" t="s">
        <v>191</v>
      </c>
      <c r="CS30" s="144">
        <v>6</v>
      </c>
      <c r="CU30" s="117"/>
      <c r="CW30" s="350"/>
      <c r="CX30" s="111">
        <f t="shared" si="40"/>
        <v>288</v>
      </c>
      <c r="CY30" s="156">
        <f t="shared" si="41"/>
        <v>4.0999999999999996</v>
      </c>
      <c r="CZ30" s="156">
        <f t="shared" si="42"/>
        <v>4.0999999999999996</v>
      </c>
      <c r="DA30" s="140" t="str">
        <f t="shared" si="43"/>
        <v>17#5@20</v>
      </c>
      <c r="DB30" s="140" t="str">
        <f t="shared" si="44"/>
        <v>17#5@20</v>
      </c>
    </row>
    <row r="31" spans="1:106" ht="15" customHeight="1" x14ac:dyDescent="0.25">
      <c r="A31" s="123"/>
      <c r="B31" s="124"/>
      <c r="C31" s="188"/>
      <c r="D31" s="124"/>
      <c r="E31" s="124"/>
      <c r="F31" s="124"/>
      <c r="G31" s="124"/>
      <c r="H31" s="125"/>
      <c r="I31" s="124"/>
      <c r="J31" s="124"/>
      <c r="K31" s="124"/>
      <c r="L31" s="126"/>
      <c r="M31" s="349">
        <f>Y31</f>
        <v>0</v>
      </c>
      <c r="N31" s="143">
        <v>288</v>
      </c>
      <c r="O31" s="144" t="s">
        <v>837</v>
      </c>
      <c r="P31" s="145">
        <v>36.756900000000002</v>
      </c>
      <c r="Q31" s="145">
        <v>4.8188000000000004</v>
      </c>
      <c r="R31" s="145">
        <v>518.2373</v>
      </c>
      <c r="S31" s="145">
        <v>-7.4798</v>
      </c>
      <c r="T31" s="145">
        <v>60.790199999999999</v>
      </c>
      <c r="U31" s="145">
        <v>0.6</v>
      </c>
      <c r="V31" s="146">
        <f t="shared" si="45"/>
        <v>0.52500000000000002</v>
      </c>
      <c r="W31" s="147">
        <f t="shared" si="46"/>
        <v>254.99999999999994</v>
      </c>
      <c r="X31" s="147">
        <f t="shared" si="47"/>
        <v>395.5139999999999</v>
      </c>
      <c r="Y31" s="349"/>
      <c r="Z31" s="148">
        <f t="shared" si="0"/>
        <v>2.9056482415182963</v>
      </c>
      <c r="AA31" s="149">
        <v>4.0999999999999996</v>
      </c>
      <c r="AB31" s="148">
        <f t="shared" si="48"/>
        <v>2.9056482415182963</v>
      </c>
      <c r="AC31" s="149">
        <v>4.0999999999999996</v>
      </c>
      <c r="AD31" s="150">
        <f t="shared" si="49"/>
        <v>0.11491238555199897</v>
      </c>
      <c r="AE31" s="150">
        <f t="shared" si="1"/>
        <v>1.8462439357286712E-3</v>
      </c>
      <c r="AF31" s="53" t="str">
        <f t="shared" si="50"/>
        <v>OK</v>
      </c>
      <c r="AG31" s="53" t="str">
        <f t="shared" si="51"/>
        <v>OK</v>
      </c>
      <c r="AH31" s="155" t="str">
        <f t="shared" si="52"/>
        <v>Central</v>
      </c>
      <c r="AI31" s="153">
        <f t="shared" si="53"/>
        <v>2.0499999999999998</v>
      </c>
      <c r="AJ31" s="153">
        <f t="shared" si="54"/>
        <v>2.0499999999999998</v>
      </c>
      <c r="AK31" s="152">
        <f t="shared" si="55"/>
        <v>0.58806544760175039</v>
      </c>
      <c r="AL31" s="150">
        <f t="shared" si="56"/>
        <v>17.839678378901592</v>
      </c>
      <c r="AM31" s="150">
        <f t="shared" si="57"/>
        <v>1110.3624826211876</v>
      </c>
      <c r="AN31" s="349">
        <f>Y31</f>
        <v>0</v>
      </c>
      <c r="AO31" s="153">
        <f t="shared" si="2"/>
        <v>1175.7474689210292</v>
      </c>
      <c r="AP31" s="153">
        <f t="shared" si="3"/>
        <v>2897.999646289953</v>
      </c>
      <c r="AQ31" s="153">
        <f t="shared" si="4"/>
        <v>5360.9205221532384</v>
      </c>
      <c r="AR31" s="153">
        <f t="shared" si="5"/>
        <v>3437.823109814552</v>
      </c>
      <c r="AS31" s="53" t="str">
        <f t="shared" si="6"/>
        <v>OK</v>
      </c>
      <c r="AT31" s="153">
        <f t="shared" si="7"/>
        <v>0.6</v>
      </c>
      <c r="AU31" s="150">
        <f t="shared" si="8"/>
        <v>277.93476036585361</v>
      </c>
      <c r="AV31" s="153">
        <f t="shared" si="9"/>
        <v>384.83274512195112</v>
      </c>
      <c r="AW31" s="154">
        <f t="shared" si="10"/>
        <v>1452.2198227519655</v>
      </c>
      <c r="AX31" s="153">
        <f t="shared" si="11"/>
        <v>1452.2198227519655</v>
      </c>
      <c r="AY31" s="53" t="str">
        <f t="shared" si="12"/>
        <v>OK</v>
      </c>
      <c r="AZ31" s="349">
        <f>AN31</f>
        <v>0</v>
      </c>
      <c r="BA31" s="153">
        <f t="shared" si="13"/>
        <v>454.99795426829257</v>
      </c>
      <c r="BB31" s="153">
        <f t="shared" si="14"/>
        <v>447.36754163625915</v>
      </c>
      <c r="BC31" s="150">
        <f t="shared" si="15"/>
        <v>1.8E-3</v>
      </c>
      <c r="BD31" s="148">
        <f t="shared" si="16"/>
        <v>38.744999999999997</v>
      </c>
      <c r="BE31" s="144">
        <v>5</v>
      </c>
      <c r="BF31" s="144">
        <v>27</v>
      </c>
      <c r="BG31" s="155">
        <f t="shared" si="17"/>
        <v>53.73</v>
      </c>
      <c r="BH31" s="53" t="str">
        <f t="shared" si="18"/>
        <v>OK</v>
      </c>
      <c r="BI31" s="148">
        <f t="shared" si="19"/>
        <v>0.15</v>
      </c>
      <c r="BJ31" s="155" t="str">
        <f t="shared" si="20"/>
        <v>27#5@15</v>
      </c>
      <c r="BK31" s="197">
        <f t="shared" si="21"/>
        <v>0.72110552763819091</v>
      </c>
      <c r="BL31" s="349">
        <f>AZ31</f>
        <v>0</v>
      </c>
      <c r="BM31" s="155">
        <f t="shared" si="22"/>
        <v>0</v>
      </c>
      <c r="BN31" s="153">
        <f t="shared" si="23"/>
        <v>0</v>
      </c>
      <c r="BO31" s="153">
        <f t="shared" si="24"/>
        <v>0</v>
      </c>
      <c r="BP31" s="153">
        <f t="shared" si="25"/>
        <v>9.2317499999999999</v>
      </c>
      <c r="BQ31" s="144">
        <v>10</v>
      </c>
      <c r="BR31" s="155" t="s">
        <v>191</v>
      </c>
      <c r="BS31" s="144">
        <v>6</v>
      </c>
      <c r="BT31" s="153">
        <f t="shared" si="26"/>
        <v>28.4</v>
      </c>
      <c r="BU31" s="153">
        <f t="shared" si="27"/>
        <v>1073.5199999999998</v>
      </c>
      <c r="BV31" s="53" t="str">
        <f t="shared" si="28"/>
        <v>OK</v>
      </c>
      <c r="BW31" s="122"/>
      <c r="BX31" s="349">
        <f>BL31</f>
        <v>0</v>
      </c>
      <c r="BY31" s="153">
        <f t="shared" si="29"/>
        <v>17.04</v>
      </c>
      <c r="BZ31" s="153">
        <f t="shared" si="30"/>
        <v>644.11199999999997</v>
      </c>
      <c r="CA31" s="155" t="str">
        <f t="shared" si="31"/>
        <v>OK</v>
      </c>
      <c r="CB31" s="153">
        <f t="shared" si="32"/>
        <v>69.527144556811422</v>
      </c>
      <c r="CC31" s="53" t="str">
        <f t="shared" si="33"/>
        <v>OK</v>
      </c>
      <c r="CE31" s="114"/>
      <c r="CF31" s="114"/>
      <c r="CG31" s="114"/>
      <c r="CH31" s="114"/>
      <c r="CI31" s="117"/>
      <c r="CJ31" s="349">
        <f>BX31</f>
        <v>0</v>
      </c>
      <c r="CK31" s="153">
        <f t="shared" si="34"/>
        <v>134.32133306679174</v>
      </c>
      <c r="CL31" s="153">
        <f t="shared" si="35"/>
        <v>0</v>
      </c>
      <c r="CM31" s="150">
        <f t="shared" si="36"/>
        <v>0</v>
      </c>
      <c r="CN31" s="150">
        <f t="shared" si="37"/>
        <v>0</v>
      </c>
      <c r="CO31" s="53" t="str">
        <f t="shared" si="38"/>
        <v>OK</v>
      </c>
      <c r="CP31" s="158">
        <f t="shared" si="39"/>
        <v>9.2317499999999999</v>
      </c>
      <c r="CQ31" s="144">
        <v>10</v>
      </c>
      <c r="CR31" s="155" t="s">
        <v>191</v>
      </c>
      <c r="CS31" s="144">
        <v>6</v>
      </c>
      <c r="CU31" s="117"/>
      <c r="CW31" s="349">
        <f>AZ31</f>
        <v>0</v>
      </c>
      <c r="CX31" s="111">
        <f t="shared" si="40"/>
        <v>288</v>
      </c>
      <c r="CY31" s="156">
        <f t="shared" si="41"/>
        <v>4.0999999999999996</v>
      </c>
      <c r="CZ31" s="156">
        <f t="shared" si="42"/>
        <v>4.0999999999999996</v>
      </c>
      <c r="DA31" s="140" t="str">
        <f t="shared" si="43"/>
        <v>27#5@15</v>
      </c>
      <c r="DB31" s="140" t="str">
        <f t="shared" si="44"/>
        <v>27#5@15</v>
      </c>
    </row>
    <row r="32" spans="1:106" ht="15" customHeight="1" x14ac:dyDescent="0.25">
      <c r="A32" s="123"/>
      <c r="B32" s="124"/>
      <c r="C32" s="188"/>
      <c r="D32" s="124"/>
      <c r="E32" s="124"/>
      <c r="F32" s="124"/>
      <c r="G32" s="124"/>
      <c r="H32" s="125"/>
      <c r="I32" s="124"/>
      <c r="J32" s="124"/>
      <c r="K32" s="124"/>
      <c r="L32" s="126"/>
      <c r="M32" s="350"/>
      <c r="N32" s="143">
        <v>288</v>
      </c>
      <c r="O32" s="144" t="s">
        <v>837</v>
      </c>
      <c r="P32" s="145">
        <v>36.7789</v>
      </c>
      <c r="Q32" s="145">
        <v>4.8029999999999999</v>
      </c>
      <c r="R32" s="145">
        <v>513.27850000000001</v>
      </c>
      <c r="S32" s="145">
        <v>-7.4532999999999996</v>
      </c>
      <c r="T32" s="145">
        <v>60.860799999999998</v>
      </c>
      <c r="U32" s="145">
        <v>0.6</v>
      </c>
      <c r="V32" s="146">
        <f t="shared" si="45"/>
        <v>0.52500000000000002</v>
      </c>
      <c r="W32" s="147">
        <f t="shared" si="46"/>
        <v>254.99999999999994</v>
      </c>
      <c r="X32" s="147">
        <f t="shared" si="47"/>
        <v>395.5139999999999</v>
      </c>
      <c r="Y32" s="350"/>
      <c r="Z32" s="148">
        <f t="shared" si="0"/>
        <v>2.8994776198462091</v>
      </c>
      <c r="AA32" s="149">
        <v>4.0999999999999996</v>
      </c>
      <c r="AB32" s="148">
        <f t="shared" si="48"/>
        <v>2.8994776198462091</v>
      </c>
      <c r="AC32" s="149">
        <v>4.0999999999999996</v>
      </c>
      <c r="AD32" s="150">
        <f t="shared" si="49"/>
        <v>0.11550048655580786</v>
      </c>
      <c r="AE32" s="150">
        <f t="shared" si="1"/>
        <v>1.8497283665258202E-3</v>
      </c>
      <c r="AF32" s="53" t="str">
        <f t="shared" si="50"/>
        <v>OK</v>
      </c>
      <c r="AG32" s="53" t="str">
        <f t="shared" si="51"/>
        <v>OK</v>
      </c>
      <c r="AH32" s="155" t="str">
        <f t="shared" si="52"/>
        <v>Central</v>
      </c>
      <c r="AI32" s="153">
        <f t="shared" si="53"/>
        <v>2.0499999999999998</v>
      </c>
      <c r="AJ32" s="153">
        <f t="shared" si="54"/>
        <v>2.0499999999999998</v>
      </c>
      <c r="AK32" s="152">
        <f t="shared" si="55"/>
        <v>0.58600336133167541</v>
      </c>
      <c r="AL32" s="150">
        <f t="shared" si="56"/>
        <v>17.748842980063767</v>
      </c>
      <c r="AM32" s="150">
        <f t="shared" si="57"/>
        <v>1108.27083430111</v>
      </c>
      <c r="AN32" s="350"/>
      <c r="AO32" s="153">
        <f t="shared" si="2"/>
        <v>1170.758985443932</v>
      </c>
      <c r="AP32" s="153">
        <f t="shared" si="3"/>
        <v>2897.999646289953</v>
      </c>
      <c r="AQ32" s="153">
        <f t="shared" si="4"/>
        <v>5360.9205221532384</v>
      </c>
      <c r="AR32" s="153">
        <f t="shared" si="5"/>
        <v>3437.823109814552</v>
      </c>
      <c r="AS32" s="53" t="str">
        <f t="shared" si="6"/>
        <v>OK</v>
      </c>
      <c r="AT32" s="153">
        <f t="shared" si="7"/>
        <v>0.6</v>
      </c>
      <c r="AU32" s="150">
        <f t="shared" si="8"/>
        <v>276.75553353658529</v>
      </c>
      <c r="AV32" s="153">
        <f t="shared" si="9"/>
        <v>383.19996951219497</v>
      </c>
      <c r="AW32" s="154">
        <f t="shared" si="10"/>
        <v>1452.2198227519655</v>
      </c>
      <c r="AX32" s="153">
        <f t="shared" si="11"/>
        <v>1452.2198227519655</v>
      </c>
      <c r="AY32" s="53" t="str">
        <f t="shared" si="12"/>
        <v>OK</v>
      </c>
      <c r="AZ32" s="350"/>
      <c r="BA32" s="153">
        <f t="shared" si="13"/>
        <v>453.75190792682906</v>
      </c>
      <c r="BB32" s="153">
        <f t="shared" si="14"/>
        <v>446.14239175741665</v>
      </c>
      <c r="BC32" s="150">
        <f t="shared" si="15"/>
        <v>1.8E-3</v>
      </c>
      <c r="BD32" s="148">
        <f t="shared" si="16"/>
        <v>38.744999999999997</v>
      </c>
      <c r="BE32" s="144">
        <v>5</v>
      </c>
      <c r="BF32" s="144">
        <v>27</v>
      </c>
      <c r="BG32" s="155">
        <f t="shared" si="17"/>
        <v>53.73</v>
      </c>
      <c r="BH32" s="53" t="str">
        <f t="shared" si="18"/>
        <v>OK</v>
      </c>
      <c r="BI32" s="148">
        <f t="shared" si="19"/>
        <v>0.15</v>
      </c>
      <c r="BJ32" s="155" t="str">
        <f t="shared" si="20"/>
        <v>27#5@15</v>
      </c>
      <c r="BK32" s="197">
        <f t="shared" si="21"/>
        <v>0.72110552763819091</v>
      </c>
      <c r="BL32" s="350"/>
      <c r="BM32" s="155">
        <f t="shared" si="22"/>
        <v>0</v>
      </c>
      <c r="BN32" s="153">
        <f t="shared" si="23"/>
        <v>0</v>
      </c>
      <c r="BO32" s="153">
        <f t="shared" si="24"/>
        <v>0</v>
      </c>
      <c r="BP32" s="153">
        <f t="shared" si="25"/>
        <v>9.2317499999999999</v>
      </c>
      <c r="BQ32" s="144">
        <v>10</v>
      </c>
      <c r="BR32" s="155" t="s">
        <v>191</v>
      </c>
      <c r="BS32" s="144">
        <v>6</v>
      </c>
      <c r="BT32" s="153">
        <f t="shared" si="26"/>
        <v>28.4</v>
      </c>
      <c r="BU32" s="153">
        <f t="shared" si="27"/>
        <v>1073.5199999999998</v>
      </c>
      <c r="BV32" s="53" t="str">
        <f t="shared" si="28"/>
        <v>OK</v>
      </c>
      <c r="BW32" s="122"/>
      <c r="BX32" s="350"/>
      <c r="BY32" s="153">
        <f t="shared" si="29"/>
        <v>17.04</v>
      </c>
      <c r="BZ32" s="153">
        <f t="shared" si="30"/>
        <v>644.11199999999997</v>
      </c>
      <c r="CA32" s="155" t="str">
        <f t="shared" si="31"/>
        <v>OK</v>
      </c>
      <c r="CB32" s="153">
        <f t="shared" si="32"/>
        <v>69.232153480071375</v>
      </c>
      <c r="CC32" s="53" t="str">
        <f t="shared" si="33"/>
        <v>OK</v>
      </c>
      <c r="CE32" s="114"/>
      <c r="CF32" s="114"/>
      <c r="CG32" s="114"/>
      <c r="CH32" s="114"/>
      <c r="CI32" s="117"/>
      <c r="CJ32" s="350"/>
      <c r="CK32" s="153">
        <f t="shared" si="34"/>
        <v>134.43583652899252</v>
      </c>
      <c r="CL32" s="153">
        <f t="shared" si="35"/>
        <v>0</v>
      </c>
      <c r="CM32" s="150">
        <f t="shared" si="36"/>
        <v>0</v>
      </c>
      <c r="CN32" s="150">
        <f t="shared" si="37"/>
        <v>0</v>
      </c>
      <c r="CO32" s="53" t="str">
        <f t="shared" si="38"/>
        <v>OK</v>
      </c>
      <c r="CP32" s="158">
        <f t="shared" si="39"/>
        <v>9.2317499999999999</v>
      </c>
      <c r="CQ32" s="144">
        <v>10</v>
      </c>
      <c r="CR32" s="155" t="s">
        <v>191</v>
      </c>
      <c r="CS32" s="144">
        <v>6</v>
      </c>
      <c r="CU32" s="117"/>
      <c r="CW32" s="350"/>
      <c r="CX32" s="111">
        <f t="shared" si="40"/>
        <v>288</v>
      </c>
      <c r="CY32" s="156">
        <f t="shared" si="41"/>
        <v>4.0999999999999996</v>
      </c>
      <c r="CZ32" s="156">
        <f t="shared" si="42"/>
        <v>4.0999999999999996</v>
      </c>
      <c r="DA32" s="140" t="str">
        <f t="shared" si="43"/>
        <v>27#5@15</v>
      </c>
      <c r="DB32" s="140" t="str">
        <f t="shared" si="44"/>
        <v>27#5@15</v>
      </c>
    </row>
    <row r="33" spans="1:106" ht="15" customHeight="1" x14ac:dyDescent="0.25">
      <c r="A33" s="123"/>
      <c r="B33" s="124"/>
      <c r="C33" s="188"/>
      <c r="D33" s="124"/>
      <c r="E33" s="124"/>
      <c r="F33" s="124"/>
      <c r="G33" s="124"/>
      <c r="H33" s="125"/>
      <c r="I33" s="124"/>
      <c r="J33" s="124"/>
      <c r="K33" s="124"/>
      <c r="L33" s="126"/>
      <c r="M33" s="349">
        <f>Y33</f>
        <v>0</v>
      </c>
      <c r="N33" s="143">
        <v>288</v>
      </c>
      <c r="O33" s="144" t="s">
        <v>837</v>
      </c>
      <c r="P33" s="145">
        <v>36.7789</v>
      </c>
      <c r="Q33" s="145">
        <v>4.8029999999999999</v>
      </c>
      <c r="R33" s="145">
        <v>513.27850000000001</v>
      </c>
      <c r="S33" s="145">
        <v>-7.4532999999999996</v>
      </c>
      <c r="T33" s="145">
        <v>60.860799999999998</v>
      </c>
      <c r="U33" s="145">
        <v>0.6</v>
      </c>
      <c r="V33" s="146">
        <f t="shared" si="45"/>
        <v>0.52500000000000002</v>
      </c>
      <c r="W33" s="147">
        <f t="shared" si="46"/>
        <v>254.99999999999994</v>
      </c>
      <c r="X33" s="147">
        <f t="shared" si="47"/>
        <v>395.5139999999999</v>
      </c>
      <c r="Y33" s="349"/>
      <c r="Z33" s="148">
        <f t="shared" si="0"/>
        <v>2.8994776198462091</v>
      </c>
      <c r="AA33" s="149">
        <v>4.0999999999999996</v>
      </c>
      <c r="AB33" s="148">
        <f t="shared" si="48"/>
        <v>2.8994776198462091</v>
      </c>
      <c r="AC33" s="149">
        <v>4.0999999999999996</v>
      </c>
      <c r="AD33" s="150">
        <f t="shared" si="49"/>
        <v>0.11550048655580786</v>
      </c>
      <c r="AE33" s="150">
        <f t="shared" si="1"/>
        <v>1.8497283665258202E-3</v>
      </c>
      <c r="AF33" s="53" t="str">
        <f t="shared" si="50"/>
        <v>OK</v>
      </c>
      <c r="AG33" s="53" t="str">
        <f t="shared" si="51"/>
        <v>OK</v>
      </c>
      <c r="AH33" s="155" t="s">
        <v>147</v>
      </c>
      <c r="AI33" s="153">
        <f t="shared" si="53"/>
        <v>3.9249999999999998</v>
      </c>
      <c r="AJ33" s="153">
        <f t="shared" si="54"/>
        <v>2.0499999999999998</v>
      </c>
      <c r="AK33" s="152">
        <f t="shared" si="55"/>
        <v>0.58600336133167541</v>
      </c>
      <c r="AL33" s="150">
        <f t="shared" si="56"/>
        <v>33.982540827683067</v>
      </c>
      <c r="AM33" s="150">
        <f t="shared" si="57"/>
        <v>1108.27083430111</v>
      </c>
      <c r="AN33" s="349">
        <f t="shared" ref="AN33" si="58">Y33</f>
        <v>0</v>
      </c>
      <c r="AO33" s="153">
        <f t="shared" si="2"/>
        <v>1170.758985443932</v>
      </c>
      <c r="AP33" s="153">
        <f t="shared" si="3"/>
        <v>2897.999646289953</v>
      </c>
      <c r="AQ33" s="153">
        <f t="shared" si="4"/>
        <v>5360.9205221532384</v>
      </c>
      <c r="AR33" s="153">
        <f t="shared" si="5"/>
        <v>3437.823109814552</v>
      </c>
      <c r="AS33" s="53" t="str">
        <f t="shared" si="6"/>
        <v>OK</v>
      </c>
      <c r="AT33" s="153">
        <f t="shared" si="7"/>
        <v>0.6</v>
      </c>
      <c r="AU33" s="150">
        <f t="shared" si="8"/>
        <v>276.75553353658529</v>
      </c>
      <c r="AV33" s="153">
        <f t="shared" si="9"/>
        <v>383.19996951219497</v>
      </c>
      <c r="AW33" s="154">
        <f t="shared" si="10"/>
        <v>1452.2198227519655</v>
      </c>
      <c r="AX33" s="153">
        <f t="shared" si="11"/>
        <v>1452.2198227519655</v>
      </c>
      <c r="AY33" s="53" t="str">
        <f t="shared" si="12"/>
        <v>OK</v>
      </c>
      <c r="AZ33" s="349">
        <f>AN33</f>
        <v>0</v>
      </c>
      <c r="BA33" s="153">
        <f t="shared" si="13"/>
        <v>453.75190792682906</v>
      </c>
      <c r="BB33" s="153">
        <f t="shared" si="14"/>
        <v>446.14239175741665</v>
      </c>
      <c r="BC33" s="150">
        <f t="shared" si="15"/>
        <v>1.8E-3</v>
      </c>
      <c r="BD33" s="148">
        <f t="shared" si="16"/>
        <v>38.744999999999997</v>
      </c>
      <c r="BE33" s="144">
        <v>5</v>
      </c>
      <c r="BF33" s="144">
        <v>27</v>
      </c>
      <c r="BG33" s="155">
        <f t="shared" si="17"/>
        <v>53.73</v>
      </c>
      <c r="BH33" s="53" t="str">
        <f t="shared" si="18"/>
        <v>OK</v>
      </c>
      <c r="BI33" s="148">
        <f t="shared" si="19"/>
        <v>0.15</v>
      </c>
      <c r="BJ33" s="155" t="str">
        <f t="shared" si="20"/>
        <v>27#5@15</v>
      </c>
      <c r="BK33" s="197">
        <f t="shared" si="21"/>
        <v>0.72110552763819091</v>
      </c>
      <c r="BL33" s="349">
        <f>AZ33</f>
        <v>0</v>
      </c>
      <c r="BM33" s="155">
        <f t="shared" si="22"/>
        <v>0</v>
      </c>
      <c r="BN33" s="153">
        <f t="shared" si="23"/>
        <v>0</v>
      </c>
      <c r="BO33" s="153">
        <f t="shared" si="24"/>
        <v>0</v>
      </c>
      <c r="BP33" s="153">
        <f t="shared" si="25"/>
        <v>9.2317499999999999</v>
      </c>
      <c r="BQ33" s="144">
        <v>10</v>
      </c>
      <c r="BR33" s="155" t="s">
        <v>191</v>
      </c>
      <c r="BS33" s="144">
        <v>6</v>
      </c>
      <c r="BT33" s="153">
        <f t="shared" si="26"/>
        <v>28.4</v>
      </c>
      <c r="BU33" s="153">
        <f t="shared" si="27"/>
        <v>1073.5199999999998</v>
      </c>
      <c r="BV33" s="53" t="str">
        <f t="shared" si="28"/>
        <v>OK</v>
      </c>
      <c r="BW33" s="122"/>
      <c r="BX33" s="349">
        <f>BL33</f>
        <v>0</v>
      </c>
      <c r="BY33" s="153">
        <f t="shared" si="29"/>
        <v>17.04</v>
      </c>
      <c r="BZ33" s="153">
        <f t="shared" si="30"/>
        <v>644.11199999999997</v>
      </c>
      <c r="CA33" s="155" t="str">
        <f t="shared" si="31"/>
        <v>OK</v>
      </c>
      <c r="CB33" s="153">
        <f t="shared" si="32"/>
        <v>69.232153480071375</v>
      </c>
      <c r="CC33" s="53" t="str">
        <f t="shared" si="33"/>
        <v>OK</v>
      </c>
      <c r="CE33" s="114"/>
      <c r="CF33" s="114"/>
      <c r="CG33" s="114"/>
      <c r="CH33" s="114"/>
      <c r="CI33" s="117"/>
      <c r="CJ33" s="349">
        <f>BX33</f>
        <v>0</v>
      </c>
      <c r="CK33" s="153">
        <f t="shared" si="34"/>
        <v>134.43583652899252</v>
      </c>
      <c r="CL33" s="153">
        <f t="shared" si="35"/>
        <v>0</v>
      </c>
      <c r="CM33" s="150">
        <f t="shared" si="36"/>
        <v>0</v>
      </c>
      <c r="CN33" s="150">
        <f t="shared" si="37"/>
        <v>0</v>
      </c>
      <c r="CO33" s="53" t="str">
        <f t="shared" si="38"/>
        <v>OK</v>
      </c>
      <c r="CP33" s="158">
        <f t="shared" si="39"/>
        <v>9.2317499999999999</v>
      </c>
      <c r="CQ33" s="144">
        <v>10</v>
      </c>
      <c r="CR33" s="155" t="s">
        <v>191</v>
      </c>
      <c r="CS33" s="144">
        <v>6</v>
      </c>
      <c r="CU33" s="117"/>
      <c r="CW33" s="349"/>
      <c r="CX33" s="111">
        <f t="shared" si="40"/>
        <v>288</v>
      </c>
      <c r="CY33" s="156">
        <f t="shared" si="41"/>
        <v>4.0999999999999996</v>
      </c>
      <c r="CZ33" s="156">
        <f t="shared" si="42"/>
        <v>4.0999999999999996</v>
      </c>
      <c r="DA33" s="140" t="str">
        <f t="shared" si="43"/>
        <v>27#5@15</v>
      </c>
      <c r="DB33" s="140" t="str">
        <f t="shared" si="44"/>
        <v>27#5@15</v>
      </c>
    </row>
    <row r="34" spans="1:106" ht="15" customHeight="1" x14ac:dyDescent="0.25">
      <c r="A34" s="123"/>
      <c r="B34" s="124"/>
      <c r="C34" s="188"/>
      <c r="D34" s="124"/>
      <c r="E34" s="124"/>
      <c r="F34" s="124"/>
      <c r="G34" s="124"/>
      <c r="H34" s="125"/>
      <c r="I34" s="124"/>
      <c r="J34" s="124"/>
      <c r="K34" s="124"/>
      <c r="L34" s="126"/>
      <c r="M34" s="350"/>
      <c r="N34" s="143">
        <v>288</v>
      </c>
      <c r="O34" s="144" t="s">
        <v>837</v>
      </c>
      <c r="P34" s="145">
        <v>36.7789</v>
      </c>
      <c r="Q34" s="145">
        <v>4.8029999999999999</v>
      </c>
      <c r="R34" s="145">
        <v>513.27850000000001</v>
      </c>
      <c r="S34" s="145">
        <v>-7.4532999999999996</v>
      </c>
      <c r="T34" s="145">
        <v>60.860799999999998</v>
      </c>
      <c r="U34" s="145">
        <v>0.6</v>
      </c>
      <c r="V34" s="146">
        <f t="shared" si="45"/>
        <v>0.52500000000000002</v>
      </c>
      <c r="W34" s="147">
        <f t="shared" si="46"/>
        <v>254.99999999999994</v>
      </c>
      <c r="X34" s="147">
        <f t="shared" si="47"/>
        <v>395.5139999999999</v>
      </c>
      <c r="Y34" s="350"/>
      <c r="Z34" s="148">
        <f t="shared" si="0"/>
        <v>2.8994776198462091</v>
      </c>
      <c r="AA34" s="149">
        <v>4.0999999999999996</v>
      </c>
      <c r="AB34" s="148">
        <f t="shared" si="48"/>
        <v>2.8994776198462091</v>
      </c>
      <c r="AC34" s="149">
        <v>4.0999999999999996</v>
      </c>
      <c r="AD34" s="150">
        <f t="shared" si="49"/>
        <v>0.11550048655580786</v>
      </c>
      <c r="AE34" s="150">
        <f t="shared" si="1"/>
        <v>1.8497283665258202E-3</v>
      </c>
      <c r="AF34" s="53" t="str">
        <f t="shared" si="50"/>
        <v>OK</v>
      </c>
      <c r="AG34" s="53" t="str">
        <f t="shared" si="51"/>
        <v>OK</v>
      </c>
      <c r="AH34" s="155" t="s">
        <v>147</v>
      </c>
      <c r="AI34" s="153">
        <f t="shared" si="53"/>
        <v>3.9249999999999998</v>
      </c>
      <c r="AJ34" s="153">
        <f t="shared" si="54"/>
        <v>2.0499999999999998</v>
      </c>
      <c r="AK34" s="152">
        <f t="shared" si="55"/>
        <v>0.58600336133167541</v>
      </c>
      <c r="AL34" s="150">
        <f t="shared" si="56"/>
        <v>33.982540827683067</v>
      </c>
      <c r="AM34" s="150">
        <f t="shared" si="57"/>
        <v>1108.27083430111</v>
      </c>
      <c r="AN34" s="350"/>
      <c r="AO34" s="153">
        <f t="shared" si="2"/>
        <v>1170.758985443932</v>
      </c>
      <c r="AP34" s="153">
        <f t="shared" si="3"/>
        <v>2897.999646289953</v>
      </c>
      <c r="AQ34" s="153">
        <f t="shared" si="4"/>
        <v>5360.9205221532384</v>
      </c>
      <c r="AR34" s="153">
        <f t="shared" si="5"/>
        <v>3437.823109814552</v>
      </c>
      <c r="AS34" s="53" t="str">
        <f t="shared" si="6"/>
        <v>OK</v>
      </c>
      <c r="AT34" s="153">
        <f t="shared" si="7"/>
        <v>0.6</v>
      </c>
      <c r="AU34" s="150">
        <f t="shared" si="8"/>
        <v>276.75553353658529</v>
      </c>
      <c r="AV34" s="153">
        <f t="shared" si="9"/>
        <v>383.19996951219497</v>
      </c>
      <c r="AW34" s="154">
        <f t="shared" si="10"/>
        <v>1452.2198227519655</v>
      </c>
      <c r="AX34" s="153">
        <f t="shared" si="11"/>
        <v>1452.2198227519655</v>
      </c>
      <c r="AY34" s="53" t="str">
        <f t="shared" si="12"/>
        <v>OK</v>
      </c>
      <c r="AZ34" s="350"/>
      <c r="BA34" s="153">
        <f t="shared" si="13"/>
        <v>453.75190792682906</v>
      </c>
      <c r="BB34" s="153">
        <f t="shared" si="14"/>
        <v>446.14239175741665</v>
      </c>
      <c r="BC34" s="150">
        <f t="shared" si="15"/>
        <v>1.8E-3</v>
      </c>
      <c r="BD34" s="148">
        <f t="shared" si="16"/>
        <v>38.744999999999997</v>
      </c>
      <c r="BE34" s="144">
        <v>5</v>
      </c>
      <c r="BF34" s="144">
        <v>27</v>
      </c>
      <c r="BG34" s="155">
        <f t="shared" si="17"/>
        <v>53.73</v>
      </c>
      <c r="BH34" s="53" t="str">
        <f t="shared" si="18"/>
        <v>OK</v>
      </c>
      <c r="BI34" s="148">
        <f t="shared" si="19"/>
        <v>0.15</v>
      </c>
      <c r="BJ34" s="155" t="str">
        <f t="shared" si="20"/>
        <v>27#5@15</v>
      </c>
      <c r="BK34" s="197">
        <f t="shared" si="21"/>
        <v>0.72110552763819091</v>
      </c>
      <c r="BL34" s="350"/>
      <c r="BM34" s="155">
        <f t="shared" si="22"/>
        <v>0</v>
      </c>
      <c r="BN34" s="153">
        <f t="shared" si="23"/>
        <v>0</v>
      </c>
      <c r="BO34" s="153">
        <f t="shared" si="24"/>
        <v>0</v>
      </c>
      <c r="BP34" s="153">
        <f t="shared" si="25"/>
        <v>9.2317499999999999</v>
      </c>
      <c r="BQ34" s="144">
        <v>10</v>
      </c>
      <c r="BR34" s="155" t="s">
        <v>191</v>
      </c>
      <c r="BS34" s="144">
        <v>6</v>
      </c>
      <c r="BT34" s="153">
        <f t="shared" si="26"/>
        <v>28.4</v>
      </c>
      <c r="BU34" s="153">
        <f t="shared" si="27"/>
        <v>1073.5199999999998</v>
      </c>
      <c r="BV34" s="53" t="str">
        <f t="shared" si="28"/>
        <v>OK</v>
      </c>
      <c r="BW34" s="122"/>
      <c r="BX34" s="350"/>
      <c r="BY34" s="153">
        <f t="shared" si="29"/>
        <v>17.04</v>
      </c>
      <c r="BZ34" s="153">
        <f t="shared" si="30"/>
        <v>644.11199999999997</v>
      </c>
      <c r="CA34" s="155" t="str">
        <f t="shared" si="31"/>
        <v>OK</v>
      </c>
      <c r="CB34" s="153">
        <f t="shared" si="32"/>
        <v>69.232153480071375</v>
      </c>
      <c r="CC34" s="53" t="str">
        <f t="shared" si="33"/>
        <v>OK</v>
      </c>
      <c r="CE34" s="114"/>
      <c r="CF34" s="114"/>
      <c r="CG34" s="114"/>
      <c r="CH34" s="114"/>
      <c r="CI34" s="117"/>
      <c r="CJ34" s="350"/>
      <c r="CK34" s="153">
        <f t="shared" si="34"/>
        <v>134.43583652899252</v>
      </c>
      <c r="CL34" s="153">
        <f t="shared" si="35"/>
        <v>0</v>
      </c>
      <c r="CM34" s="150">
        <f t="shared" si="36"/>
        <v>0</v>
      </c>
      <c r="CN34" s="150">
        <f t="shared" si="37"/>
        <v>0</v>
      </c>
      <c r="CO34" s="53" t="str">
        <f t="shared" si="38"/>
        <v>OK</v>
      </c>
      <c r="CP34" s="158">
        <f t="shared" si="39"/>
        <v>9.2317499999999999</v>
      </c>
      <c r="CQ34" s="144">
        <v>10</v>
      </c>
      <c r="CR34" s="155" t="s">
        <v>191</v>
      </c>
      <c r="CS34" s="144">
        <v>6</v>
      </c>
      <c r="CU34" s="117"/>
      <c r="CW34" s="350"/>
      <c r="CX34" s="111">
        <f t="shared" si="40"/>
        <v>288</v>
      </c>
      <c r="CY34" s="156">
        <f t="shared" si="41"/>
        <v>4.0999999999999996</v>
      </c>
      <c r="CZ34" s="156">
        <f t="shared" si="42"/>
        <v>4.0999999999999996</v>
      </c>
      <c r="DA34" s="140" t="str">
        <f t="shared" si="43"/>
        <v>27#5@15</v>
      </c>
      <c r="DB34" s="140" t="str">
        <f t="shared" si="44"/>
        <v>27#5@15</v>
      </c>
    </row>
    <row r="35" spans="1:106" ht="15" customHeight="1" x14ac:dyDescent="0.25">
      <c r="A35" s="123"/>
      <c r="B35" s="124"/>
      <c r="C35" s="188"/>
      <c r="D35" s="124"/>
      <c r="E35" s="124"/>
      <c r="F35" s="124"/>
      <c r="G35" s="124"/>
      <c r="H35" s="125"/>
      <c r="I35" s="124"/>
      <c r="J35" s="124"/>
      <c r="K35" s="124"/>
      <c r="L35" s="126"/>
      <c r="M35" s="349">
        <f>Y35</f>
        <v>0</v>
      </c>
      <c r="N35" s="143">
        <v>288</v>
      </c>
      <c r="O35" s="144" t="s">
        <v>837</v>
      </c>
      <c r="P35" s="145">
        <v>36.7761</v>
      </c>
      <c r="Q35" s="145">
        <v>4.8049999999999997</v>
      </c>
      <c r="R35" s="145">
        <v>513.89829999999995</v>
      </c>
      <c r="S35" s="145">
        <v>-7.4566999999999997</v>
      </c>
      <c r="T35" s="145">
        <v>60.851999999999997</v>
      </c>
      <c r="U35" s="145">
        <v>0.6</v>
      </c>
      <c r="V35" s="146">
        <f t="shared" si="45"/>
        <v>0.52500000000000002</v>
      </c>
      <c r="W35" s="147">
        <f t="shared" si="46"/>
        <v>254.99999999999994</v>
      </c>
      <c r="X35" s="147">
        <f t="shared" si="47"/>
        <v>395.5139999999999</v>
      </c>
      <c r="Y35" s="349"/>
      <c r="Z35" s="148">
        <f t="shared" si="0"/>
        <v>2.9002496032637697</v>
      </c>
      <c r="AA35" s="149">
        <v>4.0999999999999996</v>
      </c>
      <c r="AB35" s="148">
        <f t="shared" si="48"/>
        <v>2.9002496032637697</v>
      </c>
      <c r="AC35" s="149">
        <v>4.0999999999999996</v>
      </c>
      <c r="AD35" s="150">
        <f t="shared" si="49"/>
        <v>0.11542664054648</v>
      </c>
      <c r="AE35" s="150">
        <f t="shared" si="1"/>
        <v>1.849259063993055E-3</v>
      </c>
      <c r="AF35" s="53" t="str">
        <f t="shared" si="50"/>
        <v>OK</v>
      </c>
      <c r="AG35" s="53" t="str">
        <f t="shared" si="51"/>
        <v>OK</v>
      </c>
      <c r="AH35" s="155" t="str">
        <f t="shared" si="52"/>
        <v>Central</v>
      </c>
      <c r="AI35" s="153">
        <f t="shared" si="53"/>
        <v>2.0499999999999998</v>
      </c>
      <c r="AJ35" s="153">
        <f t="shared" si="54"/>
        <v>2.0499999999999998</v>
      </c>
      <c r="AK35" s="152">
        <f t="shared" si="55"/>
        <v>0.58626102988057971</v>
      </c>
      <c r="AL35" s="150">
        <f t="shared" si="56"/>
        <v>17.760198081607562</v>
      </c>
      <c r="AM35" s="150">
        <f t="shared" si="57"/>
        <v>1108.5520898156315</v>
      </c>
      <c r="AN35" s="349">
        <f t="shared" ref="AN35" si="59">Y35</f>
        <v>0</v>
      </c>
      <c r="AO35" s="153">
        <f t="shared" si="2"/>
        <v>1171.3824955792679</v>
      </c>
      <c r="AP35" s="153">
        <f t="shared" si="3"/>
        <v>2897.999646289953</v>
      </c>
      <c r="AQ35" s="153">
        <f t="shared" si="4"/>
        <v>5360.9205221532384</v>
      </c>
      <c r="AR35" s="153">
        <f t="shared" si="5"/>
        <v>3437.823109814552</v>
      </c>
      <c r="AS35" s="53" t="str">
        <f t="shared" si="6"/>
        <v>OK</v>
      </c>
      <c r="AT35" s="153">
        <f t="shared" si="7"/>
        <v>0.6</v>
      </c>
      <c r="AU35" s="150">
        <f t="shared" si="8"/>
        <v>276.90292499999993</v>
      </c>
      <c r="AV35" s="153">
        <f t="shared" si="9"/>
        <v>383.40404999999987</v>
      </c>
      <c r="AW35" s="154">
        <f t="shared" si="10"/>
        <v>1452.2198227519655</v>
      </c>
      <c r="AX35" s="153">
        <f t="shared" si="11"/>
        <v>1452.2198227519655</v>
      </c>
      <c r="AY35" s="53" t="str">
        <f t="shared" si="12"/>
        <v>OK</v>
      </c>
      <c r="AZ35" s="349">
        <f>AN35</f>
        <v>0</v>
      </c>
      <c r="BA35" s="153">
        <f t="shared" si="13"/>
        <v>453.90757499999984</v>
      </c>
      <c r="BB35" s="153">
        <f t="shared" si="14"/>
        <v>446.29544826060487</v>
      </c>
      <c r="BC35" s="150">
        <f t="shared" si="15"/>
        <v>1.8E-3</v>
      </c>
      <c r="BD35" s="148">
        <f t="shared" si="16"/>
        <v>38.744999999999997</v>
      </c>
      <c r="BE35" s="144">
        <v>5</v>
      </c>
      <c r="BF35" s="144">
        <v>27</v>
      </c>
      <c r="BG35" s="155">
        <f t="shared" si="17"/>
        <v>53.73</v>
      </c>
      <c r="BH35" s="53" t="str">
        <f t="shared" si="18"/>
        <v>OK</v>
      </c>
      <c r="BI35" s="148">
        <f t="shared" si="19"/>
        <v>0.15</v>
      </c>
      <c r="BJ35" s="155" t="str">
        <f t="shared" si="20"/>
        <v>27#5@15</v>
      </c>
      <c r="BK35" s="197">
        <f t="shared" si="21"/>
        <v>0.72110552763819091</v>
      </c>
      <c r="BL35" s="349">
        <f>AZ35</f>
        <v>0</v>
      </c>
      <c r="BM35" s="155">
        <f t="shared" si="22"/>
        <v>0</v>
      </c>
      <c r="BN35" s="153">
        <f t="shared" si="23"/>
        <v>0</v>
      </c>
      <c r="BO35" s="153">
        <f t="shared" si="24"/>
        <v>0</v>
      </c>
      <c r="BP35" s="153">
        <f t="shared" si="25"/>
        <v>9.2317499999999999</v>
      </c>
      <c r="BQ35" s="144">
        <v>10</v>
      </c>
      <c r="BR35" s="155" t="s">
        <v>191</v>
      </c>
      <c r="BS35" s="144">
        <v>6</v>
      </c>
      <c r="BT35" s="153">
        <f t="shared" si="26"/>
        <v>28.4</v>
      </c>
      <c r="BU35" s="153">
        <f t="shared" si="27"/>
        <v>1073.5199999999998</v>
      </c>
      <c r="BV35" s="53" t="str">
        <f t="shared" si="28"/>
        <v>OK</v>
      </c>
      <c r="BW35" s="122"/>
      <c r="BX35" s="349">
        <f>BL35</f>
        <v>0</v>
      </c>
      <c r="BY35" s="153">
        <f t="shared" si="29"/>
        <v>17.04</v>
      </c>
      <c r="BZ35" s="153">
        <f t="shared" si="30"/>
        <v>644.11199999999997</v>
      </c>
      <c r="CA35" s="155" t="str">
        <f t="shared" si="31"/>
        <v>OK</v>
      </c>
      <c r="CB35" s="153">
        <f t="shared" si="32"/>
        <v>69.269024390243885</v>
      </c>
      <c r="CC35" s="53" t="str">
        <f t="shared" si="33"/>
        <v>OK</v>
      </c>
      <c r="CE35" s="114"/>
      <c r="CF35" s="114"/>
      <c r="CG35" s="114"/>
      <c r="CH35" s="114"/>
      <c r="CI35" s="117"/>
      <c r="CJ35" s="349">
        <f>BX35</f>
        <v>0</v>
      </c>
      <c r="CK35" s="153">
        <f t="shared" si="34"/>
        <v>134.42144798554284</v>
      </c>
      <c r="CL35" s="153">
        <f t="shared" si="35"/>
        <v>0</v>
      </c>
      <c r="CM35" s="150">
        <f t="shared" si="36"/>
        <v>0</v>
      </c>
      <c r="CN35" s="150">
        <f t="shared" si="37"/>
        <v>0</v>
      </c>
      <c r="CO35" s="53" t="str">
        <f t="shared" si="38"/>
        <v>OK</v>
      </c>
      <c r="CP35" s="158">
        <f t="shared" si="39"/>
        <v>9.2317499999999999</v>
      </c>
      <c r="CQ35" s="144">
        <v>10</v>
      </c>
      <c r="CR35" s="155" t="s">
        <v>191</v>
      </c>
      <c r="CS35" s="144">
        <v>6</v>
      </c>
      <c r="CU35" s="117"/>
      <c r="CW35" s="349"/>
      <c r="CX35" s="111">
        <f t="shared" si="40"/>
        <v>288</v>
      </c>
      <c r="CY35" s="156">
        <f t="shared" si="41"/>
        <v>4.0999999999999996</v>
      </c>
      <c r="CZ35" s="156">
        <f t="shared" si="42"/>
        <v>4.0999999999999996</v>
      </c>
      <c r="DA35" s="140" t="str">
        <f t="shared" si="43"/>
        <v>27#5@15</v>
      </c>
      <c r="DB35" s="140" t="str">
        <f t="shared" si="44"/>
        <v>27#5@15</v>
      </c>
    </row>
    <row r="36" spans="1:106" ht="15" customHeight="1" x14ac:dyDescent="0.25">
      <c r="A36" s="123"/>
      <c r="B36" s="124"/>
      <c r="C36" s="188"/>
      <c r="D36" s="124"/>
      <c r="E36" s="124"/>
      <c r="F36" s="124"/>
      <c r="G36" s="124"/>
      <c r="H36" s="125"/>
      <c r="I36" s="124"/>
      <c r="J36" s="124"/>
      <c r="K36" s="124"/>
      <c r="L36" s="126"/>
      <c r="M36" s="350"/>
      <c r="N36" s="143">
        <v>288</v>
      </c>
      <c r="O36" s="144" t="s">
        <v>837</v>
      </c>
      <c r="P36" s="145">
        <v>36.798099999999998</v>
      </c>
      <c r="Q36" s="145">
        <v>4.7892000000000001</v>
      </c>
      <c r="R36" s="145">
        <v>508.93959999999998</v>
      </c>
      <c r="S36" s="145">
        <v>-7.4302000000000001</v>
      </c>
      <c r="T36" s="145">
        <v>60.922600000000003</v>
      </c>
      <c r="U36" s="145">
        <v>0.6</v>
      </c>
      <c r="V36" s="146">
        <f t="shared" si="45"/>
        <v>0.52500000000000002</v>
      </c>
      <c r="W36" s="147">
        <f t="shared" si="46"/>
        <v>254.99999999999994</v>
      </c>
      <c r="X36" s="147">
        <f t="shared" si="47"/>
        <v>395.5139999999999</v>
      </c>
      <c r="Y36" s="350"/>
      <c r="Z36" s="148">
        <f t="shared" si="0"/>
        <v>2.8940675956444801</v>
      </c>
      <c r="AA36" s="149">
        <v>4.0999999999999996</v>
      </c>
      <c r="AB36" s="148">
        <f t="shared" si="48"/>
        <v>2.8940675956444801</v>
      </c>
      <c r="AC36" s="149">
        <v>4.0999999999999996</v>
      </c>
      <c r="AD36" s="150">
        <f t="shared" si="49"/>
        <v>0.11601913177034426</v>
      </c>
      <c r="AE36" s="150">
        <f t="shared" si="1"/>
        <v>1.8527692699388751E-3</v>
      </c>
      <c r="AF36" s="53" t="str">
        <f t="shared" si="50"/>
        <v>OK</v>
      </c>
      <c r="AG36" s="53" t="str">
        <f t="shared" si="51"/>
        <v>OK</v>
      </c>
      <c r="AH36" s="155" t="str">
        <f t="shared" si="52"/>
        <v>Central</v>
      </c>
      <c r="AI36" s="153">
        <f t="shared" si="53"/>
        <v>2.0499999999999998</v>
      </c>
      <c r="AJ36" s="153">
        <f t="shared" si="54"/>
        <v>2.0499999999999998</v>
      </c>
      <c r="AK36" s="152">
        <f t="shared" si="55"/>
        <v>0.58419898658356251</v>
      </c>
      <c r="AL36" s="150">
        <f t="shared" si="56"/>
        <v>17.669499579240966</v>
      </c>
      <c r="AM36" s="150">
        <f t="shared" si="57"/>
        <v>1106.4518573689597</v>
      </c>
      <c r="AN36" s="350"/>
      <c r="AO36" s="153">
        <f t="shared" si="2"/>
        <v>1166.3941127007731</v>
      </c>
      <c r="AP36" s="153">
        <f t="shared" si="3"/>
        <v>2897.999646289953</v>
      </c>
      <c r="AQ36" s="153">
        <f t="shared" si="4"/>
        <v>5360.9205221532384</v>
      </c>
      <c r="AR36" s="153">
        <f t="shared" si="5"/>
        <v>3437.823109814552</v>
      </c>
      <c r="AS36" s="53" t="str">
        <f t="shared" si="6"/>
        <v>OK</v>
      </c>
      <c r="AT36" s="153">
        <f t="shared" si="7"/>
        <v>0.6</v>
      </c>
      <c r="AU36" s="150">
        <f t="shared" si="8"/>
        <v>275.72372195121943</v>
      </c>
      <c r="AV36" s="153">
        <f t="shared" si="9"/>
        <v>381.77130731707308</v>
      </c>
      <c r="AW36" s="154">
        <f t="shared" si="10"/>
        <v>1452.2198227519655</v>
      </c>
      <c r="AX36" s="153">
        <f t="shared" si="11"/>
        <v>1452.2198227519655</v>
      </c>
      <c r="AY36" s="53" t="str">
        <f t="shared" si="12"/>
        <v>OK</v>
      </c>
      <c r="AZ36" s="350"/>
      <c r="BA36" s="153">
        <f t="shared" si="13"/>
        <v>452.66155609756083</v>
      </c>
      <c r="BB36" s="153">
        <f t="shared" si="14"/>
        <v>445.0703253606286</v>
      </c>
      <c r="BC36" s="150">
        <f t="shared" si="15"/>
        <v>1.8E-3</v>
      </c>
      <c r="BD36" s="148">
        <f t="shared" si="16"/>
        <v>38.744999999999997</v>
      </c>
      <c r="BE36" s="144">
        <v>5</v>
      </c>
      <c r="BF36" s="144">
        <v>27</v>
      </c>
      <c r="BG36" s="155">
        <f t="shared" si="17"/>
        <v>53.73</v>
      </c>
      <c r="BH36" s="53" t="str">
        <f t="shared" si="18"/>
        <v>OK</v>
      </c>
      <c r="BI36" s="148">
        <f t="shared" si="19"/>
        <v>0.15</v>
      </c>
      <c r="BJ36" s="155" t="str">
        <f t="shared" si="20"/>
        <v>27#5@15</v>
      </c>
      <c r="BK36" s="197">
        <f t="shared" si="21"/>
        <v>0.72110552763819091</v>
      </c>
      <c r="BL36" s="350"/>
      <c r="BM36" s="155">
        <f t="shared" si="22"/>
        <v>0</v>
      </c>
      <c r="BN36" s="153">
        <f t="shared" si="23"/>
        <v>0</v>
      </c>
      <c r="BO36" s="153">
        <f t="shared" si="24"/>
        <v>0</v>
      </c>
      <c r="BP36" s="153">
        <f t="shared" si="25"/>
        <v>9.2317499999999999</v>
      </c>
      <c r="BQ36" s="144">
        <v>10</v>
      </c>
      <c r="BR36" s="155" t="s">
        <v>191</v>
      </c>
      <c r="BS36" s="144">
        <v>6</v>
      </c>
      <c r="BT36" s="153">
        <f t="shared" si="26"/>
        <v>28.4</v>
      </c>
      <c r="BU36" s="153">
        <f t="shared" si="27"/>
        <v>1073.5199999999998</v>
      </c>
      <c r="BV36" s="53" t="str">
        <f t="shared" si="28"/>
        <v>OK</v>
      </c>
      <c r="BW36" s="122"/>
      <c r="BX36" s="350"/>
      <c r="BY36" s="153">
        <f t="shared" si="29"/>
        <v>17.04</v>
      </c>
      <c r="BZ36" s="153">
        <f t="shared" si="30"/>
        <v>644.11199999999997</v>
      </c>
      <c r="CA36" s="155" t="str">
        <f t="shared" si="31"/>
        <v>OK</v>
      </c>
      <c r="CB36" s="153">
        <f t="shared" si="32"/>
        <v>68.974039262343837</v>
      </c>
      <c r="CC36" s="53" t="str">
        <f t="shared" si="33"/>
        <v>OK</v>
      </c>
      <c r="CE36" s="114"/>
      <c r="CF36" s="114"/>
      <c r="CG36" s="114"/>
      <c r="CH36" s="114"/>
      <c r="CI36" s="117"/>
      <c r="CJ36" s="350"/>
      <c r="CK36" s="153">
        <f t="shared" si="34"/>
        <v>134.53595176264224</v>
      </c>
      <c r="CL36" s="153">
        <f t="shared" si="35"/>
        <v>0</v>
      </c>
      <c r="CM36" s="150">
        <f t="shared" si="36"/>
        <v>0</v>
      </c>
      <c r="CN36" s="150">
        <f t="shared" si="37"/>
        <v>0</v>
      </c>
      <c r="CO36" s="53" t="str">
        <f t="shared" si="38"/>
        <v>OK</v>
      </c>
      <c r="CP36" s="158">
        <f t="shared" si="39"/>
        <v>9.2317499999999999</v>
      </c>
      <c r="CQ36" s="144">
        <v>10</v>
      </c>
      <c r="CR36" s="155" t="s">
        <v>191</v>
      </c>
      <c r="CS36" s="144">
        <v>6</v>
      </c>
      <c r="CU36" s="117"/>
      <c r="CW36" s="350"/>
      <c r="CX36" s="111">
        <f t="shared" si="40"/>
        <v>288</v>
      </c>
      <c r="CY36" s="156">
        <f t="shared" si="41"/>
        <v>4.0999999999999996</v>
      </c>
      <c r="CZ36" s="156">
        <f t="shared" si="42"/>
        <v>4.0999999999999996</v>
      </c>
      <c r="DA36" s="140" t="str">
        <f t="shared" si="43"/>
        <v>27#5@15</v>
      </c>
      <c r="DB36" s="140" t="str">
        <f t="shared" si="44"/>
        <v>27#5@15</v>
      </c>
    </row>
    <row r="37" spans="1:106" ht="15" customHeight="1" x14ac:dyDescent="0.25">
      <c r="A37" s="123"/>
      <c r="B37" s="124"/>
      <c r="C37" s="188"/>
      <c r="D37" s="124"/>
      <c r="E37" s="124"/>
      <c r="F37" s="124"/>
      <c r="G37" s="124"/>
      <c r="H37" s="125"/>
      <c r="I37" s="124"/>
      <c r="J37" s="124"/>
      <c r="K37" s="124"/>
      <c r="L37" s="126"/>
      <c r="M37" s="349">
        <f>Y37</f>
        <v>0</v>
      </c>
      <c r="N37" s="143">
        <v>288</v>
      </c>
      <c r="O37" s="144" t="s">
        <v>837</v>
      </c>
      <c r="P37" s="145">
        <v>36.798099999999998</v>
      </c>
      <c r="Q37" s="145">
        <v>4.7892000000000001</v>
      </c>
      <c r="R37" s="145">
        <v>508.93959999999998</v>
      </c>
      <c r="S37" s="145">
        <v>-7.4302000000000001</v>
      </c>
      <c r="T37" s="145">
        <v>60.922600000000003</v>
      </c>
      <c r="U37" s="145">
        <v>0.6</v>
      </c>
      <c r="V37" s="146">
        <f t="shared" si="45"/>
        <v>0.52500000000000002</v>
      </c>
      <c r="W37" s="147">
        <f t="shared" si="46"/>
        <v>254.99999999999994</v>
      </c>
      <c r="X37" s="147">
        <f t="shared" si="47"/>
        <v>395.5139999999999</v>
      </c>
      <c r="Y37" s="349"/>
      <c r="Z37" s="148">
        <f t="shared" si="0"/>
        <v>2.8940675956444801</v>
      </c>
      <c r="AA37" s="149">
        <v>4.0999999999999996</v>
      </c>
      <c r="AB37" s="148">
        <f t="shared" si="48"/>
        <v>2.8940675956444801</v>
      </c>
      <c r="AC37" s="149">
        <v>4.0999999999999996</v>
      </c>
      <c r="AD37" s="150">
        <f t="shared" si="49"/>
        <v>0.11601913177034426</v>
      </c>
      <c r="AE37" s="150">
        <f t="shared" si="1"/>
        <v>1.8527692699388751E-3</v>
      </c>
      <c r="AF37" s="53" t="str">
        <f t="shared" si="50"/>
        <v>OK</v>
      </c>
      <c r="AG37" s="53" t="str">
        <f t="shared" si="51"/>
        <v>OK</v>
      </c>
      <c r="AH37" s="155" t="str">
        <f t="shared" si="52"/>
        <v>Central</v>
      </c>
      <c r="AI37" s="153">
        <f t="shared" si="53"/>
        <v>2.0499999999999998</v>
      </c>
      <c r="AJ37" s="153">
        <f t="shared" si="54"/>
        <v>2.0499999999999998</v>
      </c>
      <c r="AK37" s="152">
        <f t="shared" si="55"/>
        <v>0.58419898658356251</v>
      </c>
      <c r="AL37" s="150">
        <f t="shared" si="56"/>
        <v>17.669499579240966</v>
      </c>
      <c r="AM37" s="150">
        <f t="shared" si="57"/>
        <v>1106.4518573689597</v>
      </c>
      <c r="AN37" s="349"/>
      <c r="AO37" s="153"/>
      <c r="AP37" s="153"/>
      <c r="AQ37" s="153"/>
      <c r="AR37" s="153"/>
      <c r="AS37" s="53"/>
      <c r="AT37" s="153"/>
      <c r="AU37" s="150"/>
      <c r="AV37" s="153"/>
      <c r="AW37" s="154"/>
      <c r="AX37" s="153"/>
      <c r="AY37" s="53"/>
      <c r="AZ37" s="349"/>
      <c r="BA37" s="153"/>
      <c r="BB37" s="153"/>
      <c r="BC37" s="150"/>
      <c r="BD37" s="148"/>
      <c r="BE37" s="144"/>
      <c r="BF37" s="144"/>
      <c r="BG37" s="155"/>
      <c r="BH37" s="53"/>
      <c r="BI37" s="148"/>
      <c r="BJ37" s="155"/>
      <c r="BK37" s="197"/>
      <c r="BL37" s="349"/>
      <c r="BM37" s="155"/>
      <c r="BN37" s="153"/>
      <c r="BO37" s="153"/>
      <c r="BP37" s="153"/>
      <c r="BQ37" s="144"/>
      <c r="BR37" s="155"/>
      <c r="BS37" s="144"/>
      <c r="BT37" s="153"/>
      <c r="BU37" s="153"/>
      <c r="BV37" s="53"/>
      <c r="BW37" s="122"/>
      <c r="BX37" s="349"/>
      <c r="BY37" s="153"/>
      <c r="BZ37" s="153"/>
      <c r="CA37" s="155"/>
      <c r="CB37" s="153"/>
      <c r="CC37" s="53"/>
      <c r="CE37" s="114"/>
      <c r="CF37" s="114"/>
      <c r="CG37" s="114"/>
      <c r="CH37" s="114"/>
      <c r="CI37" s="117"/>
      <c r="CJ37" s="349"/>
      <c r="CK37" s="153"/>
      <c r="CL37" s="153"/>
      <c r="CM37" s="150"/>
      <c r="CN37" s="150"/>
      <c r="CO37" s="53"/>
      <c r="CP37" s="158"/>
      <c r="CQ37" s="144"/>
      <c r="CR37" s="155"/>
      <c r="CS37" s="144"/>
      <c r="CU37" s="117"/>
      <c r="CW37" s="349"/>
      <c r="CX37" s="111"/>
      <c r="CY37" s="156"/>
      <c r="CZ37" s="156"/>
      <c r="DA37" s="140"/>
      <c r="DB37" s="140"/>
    </row>
    <row r="38" spans="1:106" ht="15" customHeight="1" x14ac:dyDescent="0.25">
      <c r="A38" s="123"/>
      <c r="B38" s="124"/>
      <c r="C38" s="188"/>
      <c r="D38" s="124"/>
      <c r="E38" s="124"/>
      <c r="F38" s="124"/>
      <c r="G38" s="124"/>
      <c r="H38" s="125"/>
      <c r="I38" s="124"/>
      <c r="J38" s="124"/>
      <c r="K38" s="124"/>
      <c r="L38" s="126"/>
      <c r="M38" s="350"/>
      <c r="N38" s="143">
        <v>288</v>
      </c>
      <c r="O38" s="144" t="s">
        <v>837</v>
      </c>
      <c r="P38" s="145">
        <v>36.798099999999998</v>
      </c>
      <c r="Q38" s="145">
        <v>4.7892000000000001</v>
      </c>
      <c r="R38" s="145">
        <v>508.93959999999998</v>
      </c>
      <c r="S38" s="145">
        <v>-7.4302000000000001</v>
      </c>
      <c r="T38" s="145">
        <v>60.922600000000003</v>
      </c>
      <c r="U38" s="145">
        <v>0.6</v>
      </c>
      <c r="V38" s="146">
        <f t="shared" si="45"/>
        <v>0.52500000000000002</v>
      </c>
      <c r="W38" s="147">
        <f t="shared" si="46"/>
        <v>254.99999999999994</v>
      </c>
      <c r="X38" s="147">
        <f t="shared" si="47"/>
        <v>395.5139999999999</v>
      </c>
      <c r="Y38" s="350"/>
      <c r="Z38" s="148">
        <f t="shared" si="0"/>
        <v>2.8940675956444801</v>
      </c>
      <c r="AA38" s="149">
        <v>4.0999999999999996</v>
      </c>
      <c r="AB38" s="148">
        <f t="shared" si="48"/>
        <v>2.8940675956444801</v>
      </c>
      <c r="AC38" s="149">
        <v>4.0999999999999996</v>
      </c>
      <c r="AD38" s="150">
        <f t="shared" si="49"/>
        <v>0.11601913177034426</v>
      </c>
      <c r="AE38" s="150">
        <f t="shared" si="1"/>
        <v>1.8527692699388751E-3</v>
      </c>
      <c r="AF38" s="53" t="str">
        <f t="shared" si="50"/>
        <v>OK</v>
      </c>
      <c r="AG38" s="53" t="str">
        <f t="shared" si="51"/>
        <v>OK</v>
      </c>
      <c r="AH38" s="155" t="str">
        <f t="shared" si="52"/>
        <v>Central</v>
      </c>
      <c r="AI38" s="153">
        <f t="shared" si="53"/>
        <v>2.0499999999999998</v>
      </c>
      <c r="AJ38" s="153">
        <f t="shared" si="54"/>
        <v>2.0499999999999998</v>
      </c>
      <c r="AK38" s="152">
        <f t="shared" si="55"/>
        <v>0.58419898658356251</v>
      </c>
      <c r="AL38" s="150">
        <f t="shared" si="56"/>
        <v>17.669499579240966</v>
      </c>
      <c r="AM38" s="150">
        <f t="shared" si="57"/>
        <v>1106.4518573689597</v>
      </c>
      <c r="AN38" s="350"/>
      <c r="AO38" s="153"/>
      <c r="AP38" s="153"/>
      <c r="AQ38" s="153"/>
      <c r="AR38" s="153"/>
      <c r="AS38" s="53"/>
      <c r="AT38" s="153"/>
      <c r="AU38" s="150"/>
      <c r="AV38" s="153"/>
      <c r="AW38" s="154"/>
      <c r="AX38" s="153"/>
      <c r="AY38" s="53"/>
      <c r="AZ38" s="350"/>
      <c r="BA38" s="153"/>
      <c r="BB38" s="153"/>
      <c r="BC38" s="150"/>
      <c r="BD38" s="148"/>
      <c r="BE38" s="144"/>
      <c r="BF38" s="144"/>
      <c r="BG38" s="155"/>
      <c r="BH38" s="53"/>
      <c r="BI38" s="148"/>
      <c r="BJ38" s="155"/>
      <c r="BK38" s="197"/>
      <c r="BL38" s="350"/>
      <c r="BM38" s="155"/>
      <c r="BN38" s="153"/>
      <c r="BO38" s="153"/>
      <c r="BP38" s="153"/>
      <c r="BQ38" s="144"/>
      <c r="BR38" s="155"/>
      <c r="BS38" s="144"/>
      <c r="BT38" s="153"/>
      <c r="BU38" s="153"/>
      <c r="BV38" s="53"/>
      <c r="BW38" s="122"/>
      <c r="BX38" s="350"/>
      <c r="BY38" s="153"/>
      <c r="BZ38" s="153"/>
      <c r="CA38" s="155"/>
      <c r="CB38" s="153"/>
      <c r="CC38" s="53"/>
      <c r="CE38" s="114"/>
      <c r="CF38" s="114"/>
      <c r="CG38" s="114"/>
      <c r="CH38" s="114"/>
      <c r="CI38" s="117"/>
      <c r="CJ38" s="350"/>
      <c r="CK38" s="153"/>
      <c r="CL38" s="153"/>
      <c r="CM38" s="150"/>
      <c r="CN38" s="150"/>
      <c r="CO38" s="53"/>
      <c r="CP38" s="158"/>
      <c r="CQ38" s="144"/>
      <c r="CR38" s="155"/>
      <c r="CS38" s="144"/>
      <c r="CU38" s="117"/>
      <c r="CW38" s="350"/>
      <c r="CX38" s="111"/>
      <c r="CY38" s="156"/>
      <c r="CZ38" s="156"/>
      <c r="DA38" s="140"/>
      <c r="DB38" s="140"/>
    </row>
    <row r="39" spans="1:106" ht="15" customHeight="1" x14ac:dyDescent="0.25">
      <c r="A39" s="123"/>
      <c r="B39" s="124"/>
      <c r="C39" s="188"/>
      <c r="D39" s="124"/>
      <c r="E39" s="124"/>
      <c r="F39" s="124"/>
      <c r="G39" s="124"/>
      <c r="H39" s="125"/>
      <c r="I39" s="124"/>
      <c r="J39" s="124"/>
      <c r="K39" s="124"/>
      <c r="L39" s="126"/>
      <c r="M39" s="349">
        <f>Y39</f>
        <v>0</v>
      </c>
      <c r="N39" s="143">
        <v>288</v>
      </c>
      <c r="O39" s="144" t="s">
        <v>837</v>
      </c>
      <c r="P39" s="145">
        <v>111.4281</v>
      </c>
      <c r="Q39" s="145">
        <v>7.1590999999999996</v>
      </c>
      <c r="R39" s="145">
        <v>539.71519999999998</v>
      </c>
      <c r="S39" s="145">
        <v>2.6829000000000001</v>
      </c>
      <c r="T39" s="145">
        <v>399.39819999999997</v>
      </c>
      <c r="U39" s="145">
        <v>0.6</v>
      </c>
      <c r="V39" s="146">
        <f t="shared" si="45"/>
        <v>0.52500000000000002</v>
      </c>
      <c r="W39" s="147">
        <f t="shared" si="46"/>
        <v>254.99999999999994</v>
      </c>
      <c r="X39" s="147">
        <f t="shared" si="47"/>
        <v>395.5139999999999</v>
      </c>
      <c r="Y39" s="349"/>
      <c r="Z39" s="148">
        <f t="shared" si="0"/>
        <v>2.9322249459746339</v>
      </c>
      <c r="AA39" s="149">
        <v>4.0999999999999996</v>
      </c>
      <c r="AB39" s="148">
        <f t="shared" si="48"/>
        <v>3.1368129768619366</v>
      </c>
      <c r="AC39" s="149">
        <v>4.0999999999999996</v>
      </c>
      <c r="AD39" s="150">
        <f t="shared" si="49"/>
        <v>0.52280216281032277</v>
      </c>
      <c r="AE39" s="150">
        <f t="shared" si="1"/>
        <v>1.4283887506708795E-2</v>
      </c>
      <c r="AF39" s="53" t="str">
        <f t="shared" si="50"/>
        <v>OK</v>
      </c>
      <c r="AG39" s="53" t="str">
        <f t="shared" si="51"/>
        <v>OK</v>
      </c>
      <c r="AH39" s="155" t="str">
        <f t="shared" si="52"/>
        <v>Central</v>
      </c>
      <c r="AI39" s="153">
        <f t="shared" si="53"/>
        <v>2.0499999999999998</v>
      </c>
      <c r="AJ39" s="153">
        <f t="shared" si="54"/>
        <v>2.0499999999999998</v>
      </c>
      <c r="AK39" s="152">
        <f t="shared" si="55"/>
        <v>0.91348904920196761</v>
      </c>
      <c r="AL39" s="150">
        <f t="shared" si="56"/>
        <v>3.9211773512569765</v>
      </c>
      <c r="AM39" s="150">
        <f t="shared" si="57"/>
        <v>143.51835234190725</v>
      </c>
      <c r="AN39" s="349"/>
      <c r="AO39" s="153"/>
      <c r="AP39" s="153"/>
      <c r="AQ39" s="153"/>
      <c r="AR39" s="153"/>
      <c r="AS39" s="53"/>
      <c r="AT39" s="153"/>
      <c r="AU39" s="150"/>
      <c r="AV39" s="153"/>
      <c r="AW39" s="154"/>
      <c r="AX39" s="153"/>
      <c r="AY39" s="53"/>
      <c r="AZ39" s="349"/>
      <c r="BA39" s="153"/>
      <c r="BB39" s="153"/>
      <c r="BC39" s="150"/>
      <c r="BD39" s="148"/>
      <c r="BE39" s="144"/>
      <c r="BF39" s="144"/>
      <c r="BG39" s="155"/>
      <c r="BH39" s="53"/>
      <c r="BI39" s="148"/>
      <c r="BJ39" s="155"/>
      <c r="BK39" s="197"/>
      <c r="BL39" s="349"/>
      <c r="BM39" s="155"/>
      <c r="BN39" s="153"/>
      <c r="BO39" s="153"/>
      <c r="BP39" s="153"/>
      <c r="BQ39" s="144"/>
      <c r="BR39" s="155"/>
      <c r="BS39" s="144"/>
      <c r="BT39" s="153"/>
      <c r="BU39" s="153"/>
      <c r="BV39" s="53"/>
      <c r="BW39" s="122"/>
      <c r="BX39" s="349"/>
      <c r="BY39" s="153"/>
      <c r="BZ39" s="153"/>
      <c r="CA39" s="155"/>
      <c r="CB39" s="153"/>
      <c r="CC39" s="53"/>
      <c r="CE39" s="114"/>
      <c r="CF39" s="114"/>
      <c r="CG39" s="114"/>
      <c r="CH39" s="114"/>
      <c r="CI39" s="117"/>
      <c r="CJ39" s="349"/>
      <c r="CK39" s="153"/>
      <c r="CL39" s="153"/>
      <c r="CM39" s="150"/>
      <c r="CN39" s="150"/>
      <c r="CO39" s="53"/>
      <c r="CP39" s="158"/>
      <c r="CQ39" s="144"/>
      <c r="CR39" s="155"/>
      <c r="CS39" s="144"/>
      <c r="CU39" s="117"/>
      <c r="CW39" s="349"/>
      <c r="CX39" s="111"/>
      <c r="CY39" s="156"/>
      <c r="CZ39" s="156"/>
      <c r="DA39" s="140"/>
      <c r="DB39" s="140"/>
    </row>
    <row r="40" spans="1:106" ht="15" customHeight="1" x14ac:dyDescent="0.25">
      <c r="A40" s="123"/>
      <c r="B40" s="124"/>
      <c r="C40" s="188"/>
      <c r="D40" s="124"/>
      <c r="E40" s="124"/>
      <c r="F40" s="124"/>
      <c r="G40" s="124"/>
      <c r="H40" s="125"/>
      <c r="I40" s="124"/>
      <c r="J40" s="124"/>
      <c r="K40" s="124"/>
      <c r="L40" s="126"/>
      <c r="M40" s="350"/>
      <c r="N40" s="143">
        <v>288</v>
      </c>
      <c r="O40" s="144" t="s">
        <v>837</v>
      </c>
      <c r="P40" s="145">
        <v>-37.8703</v>
      </c>
      <c r="Q40" s="145">
        <v>2.4468999999999999</v>
      </c>
      <c r="R40" s="145">
        <v>486.84179999999998</v>
      </c>
      <c r="S40" s="145">
        <v>-17.589600000000001</v>
      </c>
      <c r="T40" s="145">
        <v>-277.67649999999998</v>
      </c>
      <c r="U40" s="145">
        <v>0.6</v>
      </c>
      <c r="V40" s="146">
        <f t="shared" si="45"/>
        <v>0.52500000000000002</v>
      </c>
      <c r="W40" s="147">
        <f t="shared" si="46"/>
        <v>254.99999999999994</v>
      </c>
      <c r="X40" s="147">
        <f t="shared" si="47"/>
        <v>395.5139999999999</v>
      </c>
      <c r="Y40" s="350"/>
      <c r="Z40" s="148">
        <f t="shared" si="0"/>
        <v>2.8663561889936378</v>
      </c>
      <c r="AA40" s="149">
        <v>4.0999999999999996</v>
      </c>
      <c r="AB40" s="148">
        <f t="shared" si="48"/>
        <v>2.8663561889936378</v>
      </c>
      <c r="AC40" s="149">
        <v>4.0999999999999996</v>
      </c>
      <c r="AD40" s="150">
        <f t="shared" si="49"/>
        <v>-0.31073574337951243</v>
      </c>
      <c r="AE40" s="150">
        <f t="shared" si="1"/>
        <v>-1.1162557926024559E-2</v>
      </c>
      <c r="AF40" s="53" t="str">
        <f t="shared" si="50"/>
        <v>OK</v>
      </c>
      <c r="AG40" s="53" t="str">
        <f t="shared" si="51"/>
        <v>OK</v>
      </c>
      <c r="AH40" s="155" t="str">
        <f t="shared" si="52"/>
        <v>Central</v>
      </c>
      <c r="AI40" s="153">
        <f t="shared" si="53"/>
        <v>2.0499999999999998</v>
      </c>
      <c r="AJ40" s="153">
        <f t="shared" si="54"/>
        <v>2.0499999999999998</v>
      </c>
      <c r="AK40" s="152">
        <f t="shared" si="55"/>
        <v>0.71899544993922682</v>
      </c>
      <c r="AL40" s="150">
        <f t="shared" si="56"/>
        <v>-6.5972455492391271</v>
      </c>
      <c r="AM40" s="150">
        <f t="shared" si="57"/>
        <v>-183.64966288063761</v>
      </c>
      <c r="AN40" s="350"/>
      <c r="AO40" s="153"/>
      <c r="AP40" s="153"/>
      <c r="AQ40" s="153"/>
      <c r="AR40" s="153"/>
      <c r="AS40" s="53"/>
      <c r="AT40" s="153"/>
      <c r="AU40" s="150"/>
      <c r="AV40" s="153"/>
      <c r="AW40" s="154"/>
      <c r="AX40" s="153"/>
      <c r="AY40" s="53"/>
      <c r="AZ40" s="350"/>
      <c r="BA40" s="153"/>
      <c r="BB40" s="153"/>
      <c r="BC40" s="150"/>
      <c r="BD40" s="148"/>
      <c r="BE40" s="144"/>
      <c r="BF40" s="144"/>
      <c r="BG40" s="155"/>
      <c r="BH40" s="53"/>
      <c r="BI40" s="148"/>
      <c r="BJ40" s="155"/>
      <c r="BK40" s="197"/>
      <c r="BL40" s="350"/>
      <c r="BM40" s="155"/>
      <c r="BN40" s="153"/>
      <c r="BO40" s="153"/>
      <c r="BP40" s="153"/>
      <c r="BQ40" s="144"/>
      <c r="BR40" s="155"/>
      <c r="BS40" s="144"/>
      <c r="BT40" s="153"/>
      <c r="BU40" s="153"/>
      <c r="BV40" s="53"/>
      <c r="BW40" s="122"/>
      <c r="BX40" s="350"/>
      <c r="BY40" s="153"/>
      <c r="BZ40" s="153"/>
      <c r="CA40" s="155"/>
      <c r="CB40" s="153"/>
      <c r="CC40" s="53"/>
      <c r="CE40" s="114"/>
      <c r="CF40" s="114"/>
      <c r="CG40" s="114"/>
      <c r="CH40" s="114"/>
      <c r="CI40" s="117"/>
      <c r="CJ40" s="350"/>
      <c r="CK40" s="153"/>
      <c r="CL40" s="153"/>
      <c r="CM40" s="150"/>
      <c r="CN40" s="150"/>
      <c r="CO40" s="53"/>
      <c r="CP40" s="158"/>
      <c r="CQ40" s="144"/>
      <c r="CR40" s="155"/>
      <c r="CS40" s="144"/>
      <c r="CU40" s="117"/>
      <c r="CW40" s="350"/>
      <c r="CX40" s="111"/>
      <c r="CY40" s="156"/>
      <c r="CZ40" s="156"/>
      <c r="DA40" s="140"/>
      <c r="DB40" s="140"/>
    </row>
    <row r="41" spans="1:106" ht="15" customHeight="1" x14ac:dyDescent="0.25">
      <c r="A41" s="123"/>
      <c r="L41" s="126"/>
      <c r="M41" s="349">
        <f>Y41</f>
        <v>0</v>
      </c>
      <c r="N41" s="143">
        <v>288</v>
      </c>
      <c r="O41" s="144" t="s">
        <v>837</v>
      </c>
      <c r="P41" s="145">
        <v>111.4281</v>
      </c>
      <c r="Q41" s="145">
        <v>7.1590999999999996</v>
      </c>
      <c r="R41" s="145">
        <v>539.71519999999998</v>
      </c>
      <c r="S41" s="145">
        <v>2.6829000000000001</v>
      </c>
      <c r="T41" s="145">
        <v>399.39819999999997</v>
      </c>
      <c r="U41" s="145">
        <v>0.6</v>
      </c>
      <c r="V41" s="146">
        <f t="shared" si="45"/>
        <v>0.52500000000000002</v>
      </c>
      <c r="W41" s="147">
        <f t="shared" si="46"/>
        <v>254.99999999999994</v>
      </c>
      <c r="X41" s="147">
        <f t="shared" si="47"/>
        <v>395.5139999999999</v>
      </c>
      <c r="Y41" s="349"/>
      <c r="Z41" s="148">
        <f t="shared" si="0"/>
        <v>2.9322249459746339</v>
      </c>
      <c r="AA41" s="149">
        <v>4.0999999999999996</v>
      </c>
      <c r="AB41" s="148">
        <f t="shared" si="48"/>
        <v>3.1368129768619366</v>
      </c>
      <c r="AC41" s="149">
        <v>4.0999999999999996</v>
      </c>
      <c r="AD41" s="150">
        <f t="shared" si="49"/>
        <v>0.52280216281032277</v>
      </c>
      <c r="AE41" s="150">
        <f t="shared" si="1"/>
        <v>1.4283887506708795E-2</v>
      </c>
      <c r="AF41" s="53" t="str">
        <f t="shared" si="50"/>
        <v>OK</v>
      </c>
      <c r="AG41" s="53" t="str">
        <f t="shared" si="51"/>
        <v>OK</v>
      </c>
      <c r="AH41" s="155" t="str">
        <f t="shared" si="52"/>
        <v>Central</v>
      </c>
      <c r="AI41" s="153">
        <f t="shared" si="53"/>
        <v>2.0499999999999998</v>
      </c>
      <c r="AJ41" s="153">
        <f t="shared" si="54"/>
        <v>2.0499999999999998</v>
      </c>
      <c r="AK41" s="152">
        <f t="shared" si="55"/>
        <v>0.91348904920196761</v>
      </c>
      <c r="AL41" s="150">
        <f t="shared" si="56"/>
        <v>3.9211773512569765</v>
      </c>
      <c r="AM41" s="150">
        <f t="shared" si="57"/>
        <v>143.51835234190725</v>
      </c>
      <c r="AN41" s="349"/>
      <c r="AO41" s="153"/>
      <c r="AP41" s="153"/>
      <c r="AQ41" s="153"/>
      <c r="AR41" s="153"/>
      <c r="AS41" s="53"/>
      <c r="AT41" s="153"/>
      <c r="AU41" s="150"/>
      <c r="AV41" s="153"/>
      <c r="AW41" s="154"/>
      <c r="AX41" s="153"/>
      <c r="AY41" s="53"/>
      <c r="AZ41" s="349"/>
      <c r="BA41" s="153"/>
      <c r="BB41" s="153"/>
      <c r="BC41" s="150"/>
      <c r="BD41" s="148"/>
      <c r="BE41" s="144"/>
      <c r="BF41" s="144"/>
      <c r="BG41" s="155"/>
      <c r="BH41" s="53"/>
      <c r="BI41" s="148"/>
      <c r="BJ41" s="155"/>
      <c r="BK41" s="197"/>
      <c r="BL41" s="349"/>
      <c r="BM41" s="155"/>
      <c r="BN41" s="153"/>
      <c r="BO41" s="153"/>
      <c r="BP41" s="153"/>
      <c r="BQ41" s="144"/>
      <c r="BR41" s="155"/>
      <c r="BS41" s="144"/>
      <c r="BT41" s="153"/>
      <c r="BU41" s="153"/>
      <c r="BV41" s="53"/>
      <c r="BW41" s="122"/>
      <c r="BX41" s="349"/>
      <c r="BY41" s="153"/>
      <c r="BZ41" s="153"/>
      <c r="CA41" s="155"/>
      <c r="CB41" s="153"/>
      <c r="CC41" s="53"/>
      <c r="CE41" s="166" t="s">
        <v>734</v>
      </c>
      <c r="CF41" s="114"/>
      <c r="CG41" s="114"/>
      <c r="CH41" s="114"/>
      <c r="CI41" s="117"/>
      <c r="CJ41" s="349"/>
      <c r="CK41" s="153"/>
      <c r="CL41" s="153"/>
      <c r="CM41" s="150"/>
      <c r="CN41" s="150"/>
      <c r="CO41" s="53"/>
      <c r="CP41" s="158"/>
      <c r="CQ41" s="144"/>
      <c r="CR41" s="155"/>
      <c r="CS41" s="144"/>
      <c r="CU41" s="117"/>
      <c r="CW41" s="349"/>
      <c r="CX41" s="111"/>
      <c r="CY41" s="156"/>
      <c r="CZ41" s="156"/>
      <c r="DA41" s="140"/>
      <c r="DB41" s="140"/>
    </row>
    <row r="42" spans="1:106" ht="15" customHeight="1" x14ac:dyDescent="0.25">
      <c r="A42" s="123"/>
      <c r="L42" s="126"/>
      <c r="M42" s="350"/>
      <c r="N42" s="143">
        <v>288</v>
      </c>
      <c r="O42" s="144" t="s">
        <v>837</v>
      </c>
      <c r="P42" s="145">
        <v>-37.8703</v>
      </c>
      <c r="Q42" s="145">
        <v>2.4468999999999999</v>
      </c>
      <c r="R42" s="145">
        <v>486.84179999999998</v>
      </c>
      <c r="S42" s="145">
        <v>-17.589600000000001</v>
      </c>
      <c r="T42" s="145">
        <v>-277.67649999999998</v>
      </c>
      <c r="U42" s="145">
        <v>0.6</v>
      </c>
      <c r="V42" s="146">
        <f t="shared" si="45"/>
        <v>0.52500000000000002</v>
      </c>
      <c r="W42" s="147">
        <f t="shared" si="46"/>
        <v>254.99999999999994</v>
      </c>
      <c r="X42" s="147">
        <f t="shared" si="47"/>
        <v>395.5139999999999</v>
      </c>
      <c r="Y42" s="350"/>
      <c r="Z42" s="148">
        <f t="shared" si="0"/>
        <v>2.8663561889936378</v>
      </c>
      <c r="AA42" s="149">
        <v>4.0999999999999996</v>
      </c>
      <c r="AB42" s="148">
        <f t="shared" si="48"/>
        <v>2.8663561889936378</v>
      </c>
      <c r="AC42" s="149">
        <v>4.0999999999999996</v>
      </c>
      <c r="AD42" s="150">
        <f t="shared" si="49"/>
        <v>-0.31073574337951243</v>
      </c>
      <c r="AE42" s="150">
        <f t="shared" si="1"/>
        <v>-1.1162557926024559E-2</v>
      </c>
      <c r="AF42" s="53" t="str">
        <f t="shared" si="50"/>
        <v>OK</v>
      </c>
      <c r="AG42" s="53" t="str">
        <f t="shared" si="51"/>
        <v>OK</v>
      </c>
      <c r="AH42" s="155" t="str">
        <f t="shared" si="52"/>
        <v>Central</v>
      </c>
      <c r="AI42" s="153">
        <f t="shared" si="53"/>
        <v>2.0499999999999998</v>
      </c>
      <c r="AJ42" s="153">
        <f t="shared" si="54"/>
        <v>2.0499999999999998</v>
      </c>
      <c r="AK42" s="152">
        <f t="shared" si="55"/>
        <v>0.71899544993922682</v>
      </c>
      <c r="AL42" s="150">
        <f t="shared" si="56"/>
        <v>-6.5972455492391271</v>
      </c>
      <c r="AM42" s="150">
        <f t="shared" si="57"/>
        <v>-183.64966288063761</v>
      </c>
      <c r="AN42" s="350"/>
      <c r="AO42" s="153"/>
      <c r="AP42" s="153"/>
      <c r="AQ42" s="153"/>
      <c r="AR42" s="153"/>
      <c r="AS42" s="53"/>
      <c r="AT42" s="153"/>
      <c r="AU42" s="150"/>
      <c r="AV42" s="153"/>
      <c r="AW42" s="154"/>
      <c r="AX42" s="153"/>
      <c r="AY42" s="53"/>
      <c r="AZ42" s="350"/>
      <c r="BA42" s="153"/>
      <c r="BB42" s="153"/>
      <c r="BC42" s="150"/>
      <c r="BD42" s="148"/>
      <c r="BE42" s="144"/>
      <c r="BF42" s="144"/>
      <c r="BG42" s="155"/>
      <c r="BH42" s="53"/>
      <c r="BI42" s="148"/>
      <c r="BJ42" s="155"/>
      <c r="BK42" s="197"/>
      <c r="BL42" s="350"/>
      <c r="BM42" s="155"/>
      <c r="BN42" s="153"/>
      <c r="BO42" s="153"/>
      <c r="BP42" s="153"/>
      <c r="BQ42" s="144"/>
      <c r="BR42" s="155"/>
      <c r="BS42" s="144"/>
      <c r="BT42" s="153"/>
      <c r="BU42" s="153"/>
      <c r="BV42" s="53"/>
      <c r="BW42" s="122"/>
      <c r="BX42" s="350"/>
      <c r="BY42" s="153"/>
      <c r="BZ42" s="153"/>
      <c r="CA42" s="155"/>
      <c r="CB42" s="153"/>
      <c r="CC42" s="53"/>
      <c r="CE42" s="166"/>
      <c r="CF42" s="114"/>
      <c r="CG42" s="114"/>
      <c r="CH42" s="114"/>
      <c r="CI42" s="117"/>
      <c r="CJ42" s="350"/>
      <c r="CK42" s="153"/>
      <c r="CL42" s="153"/>
      <c r="CM42" s="150"/>
      <c r="CN42" s="150"/>
      <c r="CO42" s="53"/>
      <c r="CP42" s="158"/>
      <c r="CQ42" s="144"/>
      <c r="CR42" s="155"/>
      <c r="CS42" s="144"/>
      <c r="CU42" s="117"/>
      <c r="CW42" s="350"/>
      <c r="CX42" s="111"/>
      <c r="CY42" s="156"/>
      <c r="CZ42" s="156"/>
      <c r="DA42" s="140"/>
      <c r="DB42" s="140"/>
    </row>
    <row r="43" spans="1:106" ht="15" customHeight="1" x14ac:dyDescent="0.25">
      <c r="A43" s="123"/>
      <c r="B43" s="124"/>
      <c r="C43" s="188"/>
      <c r="D43" s="124"/>
      <c r="E43" s="124"/>
      <c r="F43" s="124"/>
      <c r="G43" s="124"/>
      <c r="H43" s="125"/>
      <c r="I43" s="124"/>
      <c r="J43" s="124"/>
      <c r="K43" s="124"/>
      <c r="L43" s="126"/>
      <c r="M43" s="349">
        <f>Y43</f>
        <v>0</v>
      </c>
      <c r="N43" s="143">
        <v>288</v>
      </c>
      <c r="O43" s="144" t="s">
        <v>837</v>
      </c>
      <c r="P43" s="145">
        <v>111.4473</v>
      </c>
      <c r="Q43" s="145">
        <v>7.1452999999999998</v>
      </c>
      <c r="R43" s="145">
        <v>535.37630000000001</v>
      </c>
      <c r="S43" s="145">
        <v>2.7061000000000002</v>
      </c>
      <c r="T43" s="145">
        <v>399.4599</v>
      </c>
      <c r="U43" s="145">
        <v>0.6</v>
      </c>
      <c r="V43" s="146">
        <f t="shared" si="45"/>
        <v>0.52500000000000002</v>
      </c>
      <c r="W43" s="147">
        <f t="shared" si="46"/>
        <v>254.99999999999994</v>
      </c>
      <c r="X43" s="147">
        <f t="shared" si="47"/>
        <v>395.5139999999999</v>
      </c>
      <c r="Y43" s="349"/>
      <c r="Z43" s="148">
        <f t="shared" si="0"/>
        <v>2.9268754524178733</v>
      </c>
      <c r="AA43" s="149">
        <v>4.0999999999999996</v>
      </c>
      <c r="AB43" s="148">
        <f t="shared" si="48"/>
        <v>3.1487963094056854</v>
      </c>
      <c r="AC43" s="149">
        <v>4.0999999999999996</v>
      </c>
      <c r="AD43" s="150">
        <f t="shared" si="49"/>
        <v>0.52479938490094757</v>
      </c>
      <c r="AE43" s="150">
        <f t="shared" si="1"/>
        <v>1.4332438674976938E-2</v>
      </c>
      <c r="AF43" s="53" t="str">
        <f t="shared" si="50"/>
        <v>OK</v>
      </c>
      <c r="AG43" s="53" t="str">
        <f t="shared" si="51"/>
        <v>OK</v>
      </c>
      <c r="AH43" s="155" t="str">
        <f t="shared" si="52"/>
        <v>Central</v>
      </c>
      <c r="AI43" s="153">
        <f t="shared" si="53"/>
        <v>2.0499999999999998</v>
      </c>
      <c r="AJ43" s="153">
        <f t="shared" si="54"/>
        <v>2.0499999999999998</v>
      </c>
      <c r="AK43" s="152">
        <f t="shared" si="55"/>
        <v>0.91168467445385448</v>
      </c>
      <c r="AL43" s="150">
        <f t="shared" si="56"/>
        <v>3.9062545783793627</v>
      </c>
      <c r="AM43" s="150">
        <f t="shared" si="57"/>
        <v>143.03218360034589</v>
      </c>
      <c r="AN43" s="349"/>
      <c r="AO43" s="153"/>
      <c r="AP43" s="153"/>
      <c r="AQ43" s="153"/>
      <c r="AR43" s="153"/>
      <c r="AS43" s="53"/>
      <c r="AT43" s="153"/>
      <c r="AU43" s="150"/>
      <c r="AV43" s="153"/>
      <c r="AW43" s="154"/>
      <c r="AX43" s="153"/>
      <c r="AY43" s="53"/>
      <c r="AZ43" s="349"/>
      <c r="BA43" s="153"/>
      <c r="BB43" s="153"/>
      <c r="BC43" s="150"/>
      <c r="BD43" s="148"/>
      <c r="BE43" s="144"/>
      <c r="BF43" s="144"/>
      <c r="BG43" s="155"/>
      <c r="BH43" s="53"/>
      <c r="BI43" s="148"/>
      <c r="BJ43" s="155"/>
      <c r="BK43" s="197"/>
      <c r="BL43" s="349"/>
      <c r="BM43" s="155"/>
      <c r="BN43" s="153"/>
      <c r="BO43" s="153"/>
      <c r="BP43" s="153"/>
      <c r="BQ43" s="144"/>
      <c r="BR43" s="155"/>
      <c r="BS43" s="144"/>
      <c r="BT43" s="153"/>
      <c r="BU43" s="153"/>
      <c r="BV43" s="53"/>
      <c r="BW43" s="122"/>
      <c r="BX43" s="349"/>
      <c r="BY43" s="153"/>
      <c r="BZ43" s="153"/>
      <c r="CA43" s="155"/>
      <c r="CB43" s="153"/>
      <c r="CC43" s="53"/>
      <c r="CE43" s="351" t="s">
        <v>735</v>
      </c>
      <c r="CF43" s="351"/>
      <c r="CG43" s="351"/>
      <c r="CH43" s="351"/>
      <c r="CI43" s="352"/>
      <c r="CJ43" s="349"/>
      <c r="CK43" s="153"/>
      <c r="CL43" s="153"/>
      <c r="CM43" s="150"/>
      <c r="CN43" s="150"/>
      <c r="CO43" s="53"/>
      <c r="CP43" s="158"/>
      <c r="CQ43" s="144"/>
      <c r="CR43" s="155"/>
      <c r="CS43" s="144"/>
      <c r="CU43" s="117"/>
      <c r="CW43" s="349"/>
      <c r="CX43" s="111"/>
      <c r="CY43" s="156"/>
      <c r="CZ43" s="156"/>
      <c r="DA43" s="140"/>
      <c r="DB43" s="140"/>
    </row>
    <row r="44" spans="1:106" ht="15" customHeight="1" x14ac:dyDescent="0.25">
      <c r="A44" s="123"/>
      <c r="B44" s="124"/>
      <c r="C44" s="188"/>
      <c r="D44" s="124"/>
      <c r="E44" s="124"/>
      <c r="F44" s="124"/>
      <c r="G44" s="124"/>
      <c r="H44" s="125"/>
      <c r="I44" s="124"/>
      <c r="J44" s="124"/>
      <c r="K44" s="124"/>
      <c r="L44" s="126"/>
      <c r="M44" s="350"/>
      <c r="N44" s="143">
        <v>288</v>
      </c>
      <c r="O44" s="144" t="s">
        <v>837</v>
      </c>
      <c r="P44" s="145">
        <v>-37.851100000000002</v>
      </c>
      <c r="Q44" s="145">
        <v>2.4331</v>
      </c>
      <c r="R44" s="145">
        <v>482.50279999999998</v>
      </c>
      <c r="S44" s="145">
        <v>-17.566400000000002</v>
      </c>
      <c r="T44" s="145">
        <v>-277.61470000000003</v>
      </c>
      <c r="U44" s="145">
        <v>0.6</v>
      </c>
      <c r="V44" s="146">
        <f t="shared" si="45"/>
        <v>0.52500000000000002</v>
      </c>
      <c r="W44" s="147">
        <f t="shared" si="46"/>
        <v>254.99999999999994</v>
      </c>
      <c r="X44" s="147">
        <f t="shared" si="47"/>
        <v>395.5139999999999</v>
      </c>
      <c r="Y44" s="350"/>
      <c r="Z44" s="148">
        <f t="shared" si="0"/>
        <v>2.8608834055192496</v>
      </c>
      <c r="AA44" s="149">
        <v>4.0999999999999996</v>
      </c>
      <c r="AB44" s="148">
        <f t="shared" si="48"/>
        <v>2.8608834055192496</v>
      </c>
      <c r="AC44" s="149">
        <v>4.0999999999999996</v>
      </c>
      <c r="AD44" s="150">
        <f t="shared" si="49"/>
        <v>-0.31183730020596345</v>
      </c>
      <c r="AE44" s="150">
        <f t="shared" si="1"/>
        <v>-1.1209189484215948E-2</v>
      </c>
      <c r="AF44" s="53" t="str">
        <f t="shared" si="50"/>
        <v>OK</v>
      </c>
      <c r="AG44" s="53" t="str">
        <f t="shared" si="51"/>
        <v>OK</v>
      </c>
      <c r="AH44" s="155" t="str">
        <f t="shared" si="52"/>
        <v>Central</v>
      </c>
      <c r="AI44" s="153">
        <f t="shared" si="53"/>
        <v>2.0499999999999998</v>
      </c>
      <c r="AJ44" s="153">
        <f t="shared" si="54"/>
        <v>2.0499999999999998</v>
      </c>
      <c r="AK44" s="152">
        <f t="shared" si="55"/>
        <v>0.71707060284477353</v>
      </c>
      <c r="AL44" s="150">
        <f t="shared" si="56"/>
        <v>-6.5739409578200174</v>
      </c>
      <c r="AM44" s="150">
        <f t="shared" si="57"/>
        <v>-182.88565849356695</v>
      </c>
      <c r="AN44" s="350"/>
      <c r="AO44" s="153"/>
      <c r="AP44" s="153"/>
      <c r="AQ44" s="153"/>
      <c r="AR44" s="153"/>
      <c r="AS44" s="53"/>
      <c r="AT44" s="153"/>
      <c r="AU44" s="150"/>
      <c r="AV44" s="153"/>
      <c r="AW44" s="154"/>
      <c r="AX44" s="153"/>
      <c r="AY44" s="53"/>
      <c r="AZ44" s="350"/>
      <c r="BA44" s="153"/>
      <c r="BB44" s="153"/>
      <c r="BC44" s="150"/>
      <c r="BD44" s="148"/>
      <c r="BE44" s="144"/>
      <c r="BF44" s="144"/>
      <c r="BG44" s="155"/>
      <c r="BH44" s="53"/>
      <c r="BI44" s="148"/>
      <c r="BJ44" s="155"/>
      <c r="BK44" s="197"/>
      <c r="BL44" s="350"/>
      <c r="BM44" s="155"/>
      <c r="BN44" s="153"/>
      <c r="BO44" s="153"/>
      <c r="BP44" s="153"/>
      <c r="BQ44" s="144"/>
      <c r="BR44" s="155"/>
      <c r="BS44" s="144"/>
      <c r="BT44" s="153"/>
      <c r="BU44" s="153"/>
      <c r="BV44" s="53"/>
      <c r="BW44" s="122"/>
      <c r="BX44" s="350"/>
      <c r="BY44" s="153"/>
      <c r="BZ44" s="153"/>
      <c r="CA44" s="155"/>
      <c r="CB44" s="153"/>
      <c r="CC44" s="53"/>
      <c r="CE44" s="351"/>
      <c r="CF44" s="351"/>
      <c r="CG44" s="351"/>
      <c r="CH44" s="351"/>
      <c r="CI44" s="352"/>
      <c r="CJ44" s="350"/>
      <c r="CK44" s="153"/>
      <c r="CL44" s="153"/>
      <c r="CM44" s="150"/>
      <c r="CN44" s="150"/>
      <c r="CO44" s="53"/>
      <c r="CP44" s="158"/>
      <c r="CQ44" s="144"/>
      <c r="CR44" s="155"/>
      <c r="CS44" s="144"/>
      <c r="CU44" s="117"/>
      <c r="CW44" s="350"/>
      <c r="CX44" s="111"/>
      <c r="CY44" s="156"/>
      <c r="CZ44" s="156"/>
      <c r="DA44" s="140"/>
      <c r="DB44" s="140"/>
    </row>
    <row r="45" spans="1:106" ht="15" customHeight="1" x14ac:dyDescent="0.25">
      <c r="A45" s="123"/>
      <c r="B45" s="124"/>
      <c r="C45" s="188"/>
      <c r="D45" s="124"/>
      <c r="E45" s="124"/>
      <c r="F45" s="124"/>
      <c r="G45" s="124"/>
      <c r="H45" s="125"/>
      <c r="I45" s="124"/>
      <c r="J45" s="124"/>
      <c r="K45" s="124"/>
      <c r="L45" s="126"/>
      <c r="M45" s="159"/>
      <c r="W45" s="160"/>
      <c r="X45" s="122"/>
      <c r="Y45" s="116"/>
      <c r="Z45" s="114"/>
      <c r="AA45" s="114"/>
      <c r="AB45" s="114"/>
      <c r="AC45" s="114"/>
      <c r="AD45" s="207">
        <f>MAX(AD51:AD82)</f>
        <v>0.93730672481429667</v>
      </c>
      <c r="AJ45" s="122"/>
      <c r="AN45" s="116"/>
      <c r="AQ45" s="114"/>
      <c r="AR45" s="114"/>
      <c r="AS45" s="114"/>
      <c r="AT45" s="114"/>
      <c r="AU45" s="114"/>
      <c r="AV45" s="114"/>
      <c r="AW45" s="114"/>
      <c r="AX45" s="114"/>
      <c r="AY45" s="117"/>
      <c r="AZ45" s="116"/>
      <c r="BC45" s="114"/>
      <c r="BD45" s="114"/>
      <c r="BE45" s="114"/>
      <c r="BF45" s="114"/>
      <c r="BG45" s="114"/>
      <c r="BH45" s="114"/>
      <c r="BI45" s="114"/>
      <c r="BJ45" s="114"/>
      <c r="BK45" s="122"/>
      <c r="BL45" s="198"/>
      <c r="BS45" s="112"/>
      <c r="BT45" s="112"/>
      <c r="BU45" s="112"/>
      <c r="BV45" s="112"/>
      <c r="BW45" s="122"/>
      <c r="BX45" s="121"/>
      <c r="CI45" s="122"/>
      <c r="CU45" s="117"/>
    </row>
    <row r="46" spans="1:106" ht="15" customHeight="1" x14ac:dyDescent="0.25">
      <c r="A46" s="123"/>
      <c r="B46" s="124"/>
      <c r="C46" s="188"/>
      <c r="D46" s="124"/>
      <c r="E46" s="124"/>
      <c r="F46" s="124"/>
      <c r="G46" s="124"/>
      <c r="H46" s="125"/>
      <c r="I46" s="124"/>
      <c r="J46" s="124"/>
      <c r="K46" s="124"/>
      <c r="L46" s="126"/>
      <c r="M46" s="159"/>
      <c r="W46" s="160"/>
      <c r="X46" s="122"/>
      <c r="Y46" s="116"/>
      <c r="Z46" s="114"/>
      <c r="AA46" s="114"/>
      <c r="AB46" s="114"/>
      <c r="AC46" s="114"/>
      <c r="AD46" s="114"/>
      <c r="AJ46" s="122"/>
      <c r="AN46" s="116"/>
      <c r="AQ46" s="114"/>
      <c r="AR46" s="114"/>
      <c r="AS46" s="114"/>
      <c r="AT46" s="114"/>
      <c r="AU46" s="114"/>
      <c r="AV46" s="114"/>
      <c r="AW46" s="114"/>
      <c r="AX46" s="114"/>
      <c r="AY46" s="117"/>
      <c r="AZ46" s="116"/>
      <c r="BC46" s="114"/>
      <c r="BD46" s="114"/>
      <c r="BE46" s="114"/>
      <c r="BF46" s="114"/>
      <c r="BG46" s="114"/>
      <c r="BH46" s="114"/>
      <c r="BI46" s="114"/>
      <c r="BJ46" s="114"/>
      <c r="BK46" s="122"/>
      <c r="BL46" s="121"/>
      <c r="BS46" s="112"/>
      <c r="BT46" s="112"/>
      <c r="BU46" s="112"/>
      <c r="BV46" s="112"/>
      <c r="BW46" s="122"/>
      <c r="BX46" s="121"/>
      <c r="CI46" s="122"/>
      <c r="CU46" s="117"/>
    </row>
    <row r="47" spans="1:106" s="125" customFormat="1" ht="15" customHeight="1" x14ac:dyDescent="0.2">
      <c r="A47" s="123"/>
      <c r="B47" s="124"/>
      <c r="C47" s="188"/>
      <c r="D47" s="124"/>
      <c r="E47" s="124"/>
      <c r="F47" s="124"/>
      <c r="G47" s="124"/>
      <c r="I47" s="124"/>
      <c r="J47" s="124"/>
      <c r="K47" s="124"/>
      <c r="L47" s="126"/>
      <c r="M47" s="331" t="s">
        <v>638</v>
      </c>
      <c r="N47" s="338" t="s">
        <v>701</v>
      </c>
      <c r="O47" s="338"/>
      <c r="P47" s="338"/>
      <c r="Q47" s="338" t="s">
        <v>702</v>
      </c>
      <c r="R47" s="338"/>
      <c r="S47" s="338"/>
      <c r="T47" s="338"/>
      <c r="U47" s="338"/>
      <c r="V47" s="338"/>
      <c r="W47" s="331" t="s">
        <v>703</v>
      </c>
      <c r="X47" s="331"/>
      <c r="Y47" s="353" t="s">
        <v>638</v>
      </c>
      <c r="Z47" s="332" t="s">
        <v>651</v>
      </c>
      <c r="AA47" s="333"/>
      <c r="AB47" s="333"/>
      <c r="AC47" s="333"/>
      <c r="AD47" s="333"/>
      <c r="AE47" s="333"/>
      <c r="AF47" s="336"/>
      <c r="AG47" s="338" t="s">
        <v>760</v>
      </c>
      <c r="AH47" s="338"/>
      <c r="AI47" s="338"/>
      <c r="AJ47" s="338"/>
      <c r="AK47" s="132"/>
      <c r="AL47" s="132"/>
      <c r="AM47" s="132"/>
      <c r="AN47" s="331" t="s">
        <v>638</v>
      </c>
      <c r="AO47" s="155"/>
      <c r="AP47" s="155"/>
      <c r="AQ47" s="153"/>
      <c r="AR47" s="153"/>
      <c r="AS47" s="150"/>
      <c r="AT47" s="148"/>
      <c r="AU47" s="144"/>
      <c r="AV47" s="144"/>
      <c r="AW47" s="155"/>
      <c r="AX47" s="155"/>
      <c r="AY47" s="148"/>
      <c r="AZ47" s="331" t="s">
        <v>638</v>
      </c>
      <c r="BA47" s="338" t="s">
        <v>641</v>
      </c>
      <c r="BB47" s="338"/>
      <c r="BC47" s="338"/>
      <c r="BD47" s="338"/>
      <c r="BE47" s="338"/>
      <c r="BF47" s="338"/>
      <c r="BG47" s="338"/>
      <c r="BH47" s="338"/>
      <c r="BI47" s="338"/>
      <c r="BJ47" s="338"/>
      <c r="BK47" s="122"/>
      <c r="BL47" s="339" t="s">
        <v>642</v>
      </c>
      <c r="BM47" s="359" t="s">
        <v>643</v>
      </c>
      <c r="BN47" s="360"/>
      <c r="BO47" s="360"/>
      <c r="BP47" s="360"/>
      <c r="BQ47" s="360"/>
      <c r="BR47" s="360"/>
      <c r="BS47" s="360"/>
      <c r="BT47" s="360"/>
      <c r="BU47" s="360"/>
      <c r="BV47" s="360"/>
      <c r="BW47" s="346"/>
      <c r="BX47" s="196"/>
      <c r="CI47" s="161"/>
      <c r="CJ47" s="336" t="s">
        <v>642</v>
      </c>
      <c r="CK47" s="343" t="s">
        <v>644</v>
      </c>
      <c r="CL47" s="344"/>
      <c r="CM47" s="345"/>
      <c r="CU47" s="161"/>
    </row>
    <row r="48" spans="1:106" s="125" customFormat="1" ht="15" customHeight="1" x14ac:dyDescent="0.2">
      <c r="A48" s="123"/>
      <c r="B48" s="124"/>
      <c r="C48" s="188"/>
      <c r="D48" s="124"/>
      <c r="E48" s="124"/>
      <c r="F48" s="124"/>
      <c r="G48" s="124"/>
      <c r="I48" s="124"/>
      <c r="J48" s="124"/>
      <c r="K48" s="124"/>
      <c r="L48" s="126"/>
      <c r="M48" s="331"/>
      <c r="N48" s="338"/>
      <c r="O48" s="338"/>
      <c r="P48" s="338"/>
      <c r="Q48" s="338"/>
      <c r="R48" s="338"/>
      <c r="S48" s="338"/>
      <c r="T48" s="338"/>
      <c r="U48" s="338"/>
      <c r="V48" s="338"/>
      <c r="W48" s="331"/>
      <c r="X48" s="331"/>
      <c r="Y48" s="354"/>
      <c r="Z48" s="334"/>
      <c r="AA48" s="335"/>
      <c r="AB48" s="335"/>
      <c r="AC48" s="335"/>
      <c r="AD48" s="335"/>
      <c r="AE48" s="335"/>
      <c r="AF48" s="337"/>
      <c r="AG48" s="359" t="s">
        <v>704</v>
      </c>
      <c r="AH48" s="346"/>
      <c r="AI48" s="359" t="s">
        <v>705</v>
      </c>
      <c r="AJ48" s="346"/>
      <c r="AK48" s="135"/>
      <c r="AL48" s="135"/>
      <c r="AM48" s="135"/>
      <c r="AN48" s="331"/>
      <c r="AO48" s="338" t="s">
        <v>706</v>
      </c>
      <c r="AP48" s="338"/>
      <c r="AQ48" s="338"/>
      <c r="AR48" s="338"/>
      <c r="AS48" s="338"/>
      <c r="AT48" s="338" t="s">
        <v>700</v>
      </c>
      <c r="AU48" s="338"/>
      <c r="AV48" s="338"/>
      <c r="AW48" s="338"/>
      <c r="AX48" s="338"/>
      <c r="AY48" s="162"/>
      <c r="AZ48" s="331"/>
      <c r="BA48" s="338" t="s">
        <v>707</v>
      </c>
      <c r="BB48" s="338"/>
      <c r="BC48" s="338"/>
      <c r="BD48" s="338"/>
      <c r="BE48" s="338"/>
      <c r="BF48" s="338"/>
      <c r="BG48" s="338"/>
      <c r="BH48" s="338"/>
      <c r="BI48" s="338"/>
      <c r="BJ48" s="338"/>
      <c r="BK48" s="122"/>
      <c r="BL48" s="340"/>
      <c r="BM48" s="338" t="s">
        <v>655</v>
      </c>
      <c r="BN48" s="338"/>
      <c r="BO48" s="338"/>
      <c r="BP48" s="338"/>
      <c r="BQ48" s="338"/>
      <c r="BR48" s="338"/>
      <c r="BS48" s="338"/>
      <c r="BT48" s="338"/>
      <c r="BU48" s="338" t="s">
        <v>656</v>
      </c>
      <c r="BV48" s="338"/>
      <c r="BW48" s="338"/>
      <c r="BX48" s="196"/>
      <c r="CI48" s="161"/>
      <c r="CJ48" s="355"/>
      <c r="CK48" s="341" t="s">
        <v>656</v>
      </c>
      <c r="CL48" s="341"/>
      <c r="CM48" s="341"/>
      <c r="CU48" s="161"/>
    </row>
    <row r="49" spans="1:99" s="125" customFormat="1" ht="15" customHeight="1" x14ac:dyDescent="0.2">
      <c r="A49" s="123"/>
      <c r="B49" s="124"/>
      <c r="C49" s="188"/>
      <c r="D49" s="124"/>
      <c r="E49" s="124"/>
      <c r="F49" s="124"/>
      <c r="G49" s="124"/>
      <c r="I49" s="124"/>
      <c r="J49" s="124"/>
      <c r="K49" s="124"/>
      <c r="L49" s="126"/>
      <c r="M49" s="331"/>
      <c r="N49" s="132" t="s">
        <v>661</v>
      </c>
      <c r="O49" s="138" t="s">
        <v>662</v>
      </c>
      <c r="P49" s="141" t="s">
        <v>663</v>
      </c>
      <c r="Q49" s="338" t="s">
        <v>709</v>
      </c>
      <c r="R49" s="338" t="s">
        <v>710</v>
      </c>
      <c r="S49" s="338" t="s">
        <v>711</v>
      </c>
      <c r="T49" s="132" t="s">
        <v>712</v>
      </c>
      <c r="U49" s="132" t="s">
        <v>696</v>
      </c>
      <c r="V49" s="132" t="s">
        <v>713</v>
      </c>
      <c r="W49" s="132" t="s">
        <v>125</v>
      </c>
      <c r="X49" s="132" t="s">
        <v>312</v>
      </c>
      <c r="Y49" s="354"/>
      <c r="Z49" s="132" t="s">
        <v>672</v>
      </c>
      <c r="AA49" s="132" t="s">
        <v>673</v>
      </c>
      <c r="AB49" s="135" t="s">
        <v>674</v>
      </c>
      <c r="AC49" s="132" t="s">
        <v>675</v>
      </c>
      <c r="AD49" s="338" t="s">
        <v>676</v>
      </c>
      <c r="AE49" s="332" t="s">
        <v>714</v>
      </c>
      <c r="AF49" s="336"/>
      <c r="AG49" s="132" t="s">
        <v>715</v>
      </c>
      <c r="AH49" s="338" t="s">
        <v>716</v>
      </c>
      <c r="AI49" s="132" t="s">
        <v>715</v>
      </c>
      <c r="AJ49" s="338" t="s">
        <v>716</v>
      </c>
      <c r="AK49" s="132"/>
      <c r="AL49" s="132"/>
      <c r="AM49" s="132"/>
      <c r="AN49" s="331"/>
      <c r="AO49" s="132" t="s">
        <v>717</v>
      </c>
      <c r="AP49" s="132" t="s">
        <v>718</v>
      </c>
      <c r="AQ49" s="132" t="s">
        <v>719</v>
      </c>
      <c r="AR49" s="132" t="s">
        <v>720</v>
      </c>
      <c r="AS49" s="338" t="s">
        <v>660</v>
      </c>
      <c r="AT49" s="356" t="s">
        <v>721</v>
      </c>
      <c r="AU49" s="132" t="s">
        <v>804</v>
      </c>
      <c r="AV49" s="357" t="s">
        <v>805</v>
      </c>
      <c r="AW49" s="132" t="s">
        <v>722</v>
      </c>
      <c r="AX49" s="132" t="s">
        <v>723</v>
      </c>
      <c r="AY49" s="132" t="s">
        <v>667</v>
      </c>
      <c r="AZ49" s="331"/>
      <c r="BA49" s="142" t="s">
        <v>724</v>
      </c>
      <c r="BB49" s="142" t="s">
        <v>413</v>
      </c>
      <c r="BC49" s="341" t="s">
        <v>414</v>
      </c>
      <c r="BD49" s="142" t="s">
        <v>725</v>
      </c>
      <c r="BE49" s="341" t="s">
        <v>394</v>
      </c>
      <c r="BF49" s="341" t="s">
        <v>416</v>
      </c>
      <c r="BG49" s="142" t="s">
        <v>686</v>
      </c>
      <c r="BH49" s="341" t="s">
        <v>660</v>
      </c>
      <c r="BI49" s="142" t="s">
        <v>687</v>
      </c>
      <c r="BJ49" s="342" t="s">
        <v>688</v>
      </c>
      <c r="BK49" s="122"/>
      <c r="BL49" s="340"/>
      <c r="BM49" s="338" t="s">
        <v>689</v>
      </c>
      <c r="BN49" s="132" t="s">
        <v>690</v>
      </c>
      <c r="BO49" s="132" t="s">
        <v>171</v>
      </c>
      <c r="BP49" s="132" t="s">
        <v>171</v>
      </c>
      <c r="BQ49" s="331" t="s">
        <v>691</v>
      </c>
      <c r="BR49" s="338" t="s">
        <v>692</v>
      </c>
      <c r="BS49" s="132" t="s">
        <v>693</v>
      </c>
      <c r="BT49" s="132" t="s">
        <v>694</v>
      </c>
      <c r="BU49" s="338" t="s">
        <v>416</v>
      </c>
      <c r="BV49" s="338" t="s">
        <v>695</v>
      </c>
      <c r="BW49" s="338"/>
      <c r="BX49" s="196"/>
      <c r="CI49" s="161"/>
      <c r="CJ49" s="355"/>
      <c r="CK49" s="132" t="s">
        <v>727</v>
      </c>
      <c r="CL49" s="132" t="s">
        <v>139</v>
      </c>
      <c r="CM49" s="338" t="s">
        <v>660</v>
      </c>
      <c r="CU49" s="161"/>
    </row>
    <row r="50" spans="1:99" s="125" customFormat="1" ht="15" customHeight="1" x14ac:dyDescent="0.2">
      <c r="A50" s="123"/>
      <c r="B50" s="124"/>
      <c r="C50" s="188"/>
      <c r="D50" s="124"/>
      <c r="E50" s="124"/>
      <c r="F50" s="124"/>
      <c r="G50" s="124"/>
      <c r="I50" s="124"/>
      <c r="J50" s="124"/>
      <c r="K50" s="124"/>
      <c r="L50" s="126"/>
      <c r="M50" s="331"/>
      <c r="N50" s="132" t="s">
        <v>95</v>
      </c>
      <c r="O50" s="138" t="s">
        <v>411</v>
      </c>
      <c r="P50" s="141" t="s">
        <v>411</v>
      </c>
      <c r="Q50" s="338"/>
      <c r="R50" s="338"/>
      <c r="S50" s="338"/>
      <c r="T50" s="132" t="s">
        <v>101</v>
      </c>
      <c r="U50" s="132" t="s">
        <v>101</v>
      </c>
      <c r="V50" s="132" t="s">
        <v>728</v>
      </c>
      <c r="W50" s="132" t="s">
        <v>101</v>
      </c>
      <c r="X50" s="132" t="s">
        <v>101</v>
      </c>
      <c r="Y50" s="354"/>
      <c r="Z50" s="132" t="s">
        <v>634</v>
      </c>
      <c r="AA50" s="132" t="s">
        <v>634</v>
      </c>
      <c r="AB50" s="135" t="s">
        <v>634</v>
      </c>
      <c r="AC50" s="132" t="s">
        <v>634</v>
      </c>
      <c r="AD50" s="338"/>
      <c r="AE50" s="334"/>
      <c r="AF50" s="337"/>
      <c r="AG50" s="133" t="s">
        <v>411</v>
      </c>
      <c r="AH50" s="339"/>
      <c r="AI50" s="133" t="s">
        <v>411</v>
      </c>
      <c r="AJ50" s="339"/>
      <c r="AK50" s="133"/>
      <c r="AL50" s="133"/>
      <c r="AM50" s="133"/>
      <c r="AN50" s="331"/>
      <c r="AO50" s="132" t="s">
        <v>403</v>
      </c>
      <c r="AP50" s="132" t="s">
        <v>403</v>
      </c>
      <c r="AQ50" s="132" t="s">
        <v>101</v>
      </c>
      <c r="AR50" s="132" t="s">
        <v>95</v>
      </c>
      <c r="AS50" s="338"/>
      <c r="AT50" s="356"/>
      <c r="AU50" s="132" t="s">
        <v>101</v>
      </c>
      <c r="AV50" s="358"/>
      <c r="AW50" s="132" t="s">
        <v>101</v>
      </c>
      <c r="AX50" s="132" t="s">
        <v>101</v>
      </c>
      <c r="AY50" s="132" t="s">
        <v>101</v>
      </c>
      <c r="AZ50" s="331"/>
      <c r="BA50" s="132" t="s">
        <v>411</v>
      </c>
      <c r="BB50" s="132" t="s">
        <v>634</v>
      </c>
      <c r="BC50" s="338"/>
      <c r="BD50" s="132" t="s">
        <v>309</v>
      </c>
      <c r="BE50" s="338"/>
      <c r="BF50" s="338"/>
      <c r="BG50" s="132" t="s">
        <v>309</v>
      </c>
      <c r="BH50" s="338"/>
      <c r="BI50" s="132" t="s">
        <v>101</v>
      </c>
      <c r="BJ50" s="331"/>
      <c r="BK50" s="122"/>
      <c r="BL50" s="341"/>
      <c r="BM50" s="338"/>
      <c r="BN50" s="132" t="s">
        <v>697</v>
      </c>
      <c r="BO50" s="132" t="s">
        <v>697</v>
      </c>
      <c r="BP50" s="132" t="s">
        <v>636</v>
      </c>
      <c r="BQ50" s="331"/>
      <c r="BR50" s="338"/>
      <c r="BS50" s="132" t="s">
        <v>95</v>
      </c>
      <c r="BT50" s="132" t="s">
        <v>309</v>
      </c>
      <c r="BU50" s="338"/>
      <c r="BV50" s="338"/>
      <c r="BW50" s="338"/>
      <c r="BX50" s="196"/>
      <c r="CI50" s="161"/>
      <c r="CJ50" s="337"/>
      <c r="CK50" s="132" t="s">
        <v>309</v>
      </c>
      <c r="CL50" s="132" t="s">
        <v>95</v>
      </c>
      <c r="CM50" s="338"/>
      <c r="CU50" s="161"/>
    </row>
    <row r="51" spans="1:99" ht="15" customHeight="1" x14ac:dyDescent="0.25">
      <c r="A51" s="123"/>
      <c r="B51" s="124"/>
      <c r="C51" s="188"/>
      <c r="D51" s="124"/>
      <c r="E51" s="124"/>
      <c r="F51" s="124"/>
      <c r="G51" s="124"/>
      <c r="H51" s="125"/>
      <c r="I51" s="124"/>
      <c r="J51" s="124"/>
      <c r="K51" s="124"/>
      <c r="L51" s="126"/>
      <c r="M51" s="349" t="str">
        <f>M13</f>
        <v>Z1</v>
      </c>
      <c r="N51" s="147">
        <f t="shared" ref="N51:N82" si="60">R13+W13+X13</f>
        <v>1032.5757999999998</v>
      </c>
      <c r="O51" s="147">
        <f>S13+Q13*U51</f>
        <v>1.5122</v>
      </c>
      <c r="P51" s="147">
        <f t="shared" ref="P51:P82" si="61">+T13+P13*U51</f>
        <v>89.014200000000002</v>
      </c>
      <c r="Q51" s="143">
        <f t="shared" ref="Q51:Q77" si="62">IF(O13="Central",40,IF(O13="Medianera",30,IF(O13="Esquinera",20,"Def. Posición")))</f>
        <v>40</v>
      </c>
      <c r="R51" s="163">
        <f t="shared" ref="R51:R82" si="63">MAX(W51:X51)/MIN(W51:X51)</f>
        <v>3.1428571428571432</v>
      </c>
      <c r="S51" s="163">
        <f>MAX(AA13,AC13)/MIN(AA13,AC13)</f>
        <v>1</v>
      </c>
      <c r="T51" s="155">
        <f>2*(W51+X51+2*V13)</f>
        <v>5</v>
      </c>
      <c r="U51" s="164">
        <v>2</v>
      </c>
      <c r="V51" s="165">
        <f t="shared" ref="V51:V82" si="64">W51*X51^3/12</f>
        <v>3.9302083333333324E-3</v>
      </c>
      <c r="W51" s="144">
        <v>1.1000000000000001</v>
      </c>
      <c r="X51" s="144">
        <v>0.35</v>
      </c>
      <c r="Y51" s="349" t="str">
        <f>M51</f>
        <v>Z1</v>
      </c>
      <c r="Z51" s="150">
        <f>N51/(AA13*AC13)*(1+6*AD13/AC13+6*AE13/AA13)</f>
        <v>69.307165885579138</v>
      </c>
      <c r="AA51" s="150">
        <f>N51/(AA13*AC13)*(1+6*AD13/AC13-6*AE13/AA13)</f>
        <v>69.043873130105482</v>
      </c>
      <c r="AB51" s="151">
        <f>N51/(AA13*AC13)*(1-6*AD13/AC13+6*AE13/AA13)</f>
        <v>53.808690819924252</v>
      </c>
      <c r="AC51" s="150">
        <f>N51/(AA13*AC13)*(1-6*AD13/AC13-6*AE13/AA13)</f>
        <v>53.545398064450595</v>
      </c>
      <c r="AD51" s="152">
        <f>MAX(Z51:AC51)/$T$6</f>
        <v>0.50065909242419182</v>
      </c>
      <c r="AE51" s="361" t="str">
        <f>IF(AND(AD13&lt;AC13/6,AE13&lt;AA13/6),"Zapata a compresión","Hay tensiones en la zapata")</f>
        <v>Zapata a compresión</v>
      </c>
      <c r="AF51" s="361"/>
      <c r="AG51" s="148">
        <f t="shared" ref="AG51:AG82" si="65">N51*AI13</f>
        <v>2116.7803899999994</v>
      </c>
      <c r="AH51" s="150">
        <f t="shared" ref="AH51:AH82" si="66">AG51/P51</f>
        <v>23.780255172770179</v>
      </c>
      <c r="AI51" s="148">
        <f t="shared" ref="AI51:AI82" si="67">N51*AJ13</f>
        <v>2116.7803899999994</v>
      </c>
      <c r="AJ51" s="150">
        <f t="shared" ref="AJ51:AJ82" si="68">AI51/O51</f>
        <v>1399.8018714455757</v>
      </c>
      <c r="AK51" s="204"/>
      <c r="AL51" s="204"/>
      <c r="AM51" s="204"/>
      <c r="AN51" s="349" t="str">
        <f>Y51</f>
        <v>Z1</v>
      </c>
      <c r="AO51" s="155">
        <f t="shared" ref="AO51:AO70" si="69">W51*X51</f>
        <v>0.38500000000000001</v>
      </c>
      <c r="AP51" s="155">
        <f t="shared" ref="AP51:AP70" si="70">(4*U13+W51)*(4*U13+X51)</f>
        <v>9.625</v>
      </c>
      <c r="AQ51" s="150">
        <f t="shared" ref="AQ51:AQ74" si="71">MIN(SQRT(AP51/AO51),2)</f>
        <v>2</v>
      </c>
      <c r="AR51" s="150">
        <f t="shared" ref="AR51:AR74" si="72">0.65*0.85*$O$6*AO51*AQ51*10^3</f>
        <v>11911.9</v>
      </c>
      <c r="AS51" s="53" t="str">
        <f t="shared" ref="AS51:AS70" si="73">IF(AR51&gt;=N51,"OK","N/C")</f>
        <v>OK</v>
      </c>
      <c r="AT51" s="155" t="str">
        <f t="shared" ref="AT51:AT70" si="74">IF(O13&lt;&gt;"Central","SÍ","NO")</f>
        <v>NO</v>
      </c>
      <c r="AU51" s="144">
        <v>10.125</v>
      </c>
      <c r="AV51" s="143" t="s">
        <v>730</v>
      </c>
      <c r="AW51" s="163">
        <f t="shared" ref="AW51:AW74" si="75">MAX(AU51/(IF(AV51="DES",20,IF(AV51="DMO",30,40))),0.3)</f>
        <v>0.50624999999999998</v>
      </c>
      <c r="AX51" s="144">
        <v>0.55000000000000004</v>
      </c>
      <c r="AY51" s="144">
        <v>0.3</v>
      </c>
      <c r="AZ51" s="349" t="str">
        <f>AN51</f>
        <v>Z1</v>
      </c>
      <c r="BA51" s="153">
        <f t="shared" ref="BA51:BA70" si="76">SUM(N51/(2*AC13)*(AC13/2-X51/2)^2,O51)</f>
        <v>444.21333376524376</v>
      </c>
      <c r="BB51" s="153">
        <f t="shared" ref="BB51:BB70" si="77">BA51/(0.9*AC13*V13^2)</f>
        <v>436.76378151674874</v>
      </c>
      <c r="BC51" s="150">
        <f t="shared" ref="BC51:BC74" si="78">MAX(0.85*$O$6/$O$7*(1-SQRT(1-2*BB51/(0.85*$O$6*10^3))),0.0018)</f>
        <v>1.8E-3</v>
      </c>
      <c r="BD51" s="148">
        <f t="shared" ref="BD51:BD70" si="79">+BC51*AC13*V13*100^2</f>
        <v>38.744999999999997</v>
      </c>
      <c r="BE51" s="144">
        <v>5</v>
      </c>
      <c r="BF51" s="144">
        <v>27</v>
      </c>
      <c r="BG51" s="155">
        <f t="shared" ref="BG51:BG74" si="80">VLOOKUP(BE51,$N$91:$T$102,7,)*BF51</f>
        <v>53.73</v>
      </c>
      <c r="BH51" s="53" t="str">
        <f t="shared" ref="BH51:BH74" si="81">IF(BG51&gt;=BD51,"OK","N/C")</f>
        <v>OK</v>
      </c>
      <c r="BI51" s="148">
        <f t="shared" ref="BI51:BI70" si="82">ROUND((AC13-2*0.075)/BF51,2)</f>
        <v>0.15</v>
      </c>
      <c r="BJ51" s="155" t="str">
        <f t="shared" ref="BJ51:BJ74" si="83">BF51&amp;"#"&amp;BE51&amp;"@"&amp;ROUNDDOWN(BI51*100/5,0)*5</f>
        <v>27#5@15</v>
      </c>
      <c r="BK51" s="197">
        <f t="shared" ref="BK51:BK74" si="84">BD51/BG51</f>
        <v>0.72110552763819091</v>
      </c>
      <c r="BL51" s="349" t="str">
        <f>AZ51</f>
        <v>Z1</v>
      </c>
      <c r="BM51" s="153">
        <f t="shared" ref="BM51:BM70" si="85">(1+0.5*AA13/AC13)/1.5</f>
        <v>1</v>
      </c>
      <c r="BN51" s="157">
        <v>0.85</v>
      </c>
      <c r="BO51" s="153">
        <f t="shared" ref="BO51:BO74" si="86">BM51*BN51/0.67</f>
        <v>1.2686567164179103</v>
      </c>
      <c r="BP51" s="153">
        <f t="shared" ref="BP51:BP74" si="87">BO51*9.81*(100)^3/(10^3)</f>
        <v>12445.5223880597</v>
      </c>
      <c r="BQ51" s="155" t="s">
        <v>699</v>
      </c>
      <c r="BR51" s="155">
        <f t="shared" ref="BR51:BR74" si="88">IF(BQ51="Empotrado",0.75,1)</f>
        <v>0.75</v>
      </c>
      <c r="BS51" s="153">
        <f t="shared" ref="BS51:BS70" si="89">IF(AT51="SÍ",(N51*(AA13-W51)/2-P51)/(BM13+U13+BP51*BR51^2*BM13^2*AA13^3*AC13/(36*10^3*$O$8*V51)),0)</f>
        <v>0</v>
      </c>
      <c r="BT51" s="153">
        <f t="shared" ref="BT51:BT74" si="90">BP13</f>
        <v>9.2317499999999999</v>
      </c>
      <c r="BU51" s="144">
        <v>6</v>
      </c>
      <c r="BV51" s="155" t="s">
        <v>191</v>
      </c>
      <c r="BW51" s="144">
        <v>6</v>
      </c>
      <c r="BX51" s="121"/>
      <c r="CI51" s="122"/>
      <c r="CJ51" s="349" t="str">
        <f>CJ13</f>
        <v>Z1</v>
      </c>
      <c r="CK51" s="153">
        <f t="shared" ref="CK51:CK74" si="91">CQ13*VLOOKUP(CS13,$N$91:$T$102,7,)</f>
        <v>28.4</v>
      </c>
      <c r="CL51" s="153">
        <f t="shared" ref="CL51:CL74" si="92">0.9*$O$7*CK51*10^3/(100^2)</f>
        <v>1073.5199999999998</v>
      </c>
      <c r="CM51" s="53" t="str">
        <f t="shared" ref="CM51:CM74" si="93">IF(AND(CL51&gt;=CL13,CK51&gt;=CP13),"OK","N/C")</f>
        <v>OK</v>
      </c>
      <c r="CU51" s="117"/>
    </row>
    <row r="52" spans="1:99" ht="15" customHeight="1" x14ac:dyDescent="0.25">
      <c r="A52" s="123"/>
      <c r="B52" s="124"/>
      <c r="C52" s="188"/>
      <c r="D52" s="124"/>
      <c r="E52" s="124"/>
      <c r="F52" s="124"/>
      <c r="G52" s="124"/>
      <c r="H52" s="125"/>
      <c r="I52" s="124"/>
      <c r="J52" s="124"/>
      <c r="K52" s="124"/>
      <c r="L52" s="126"/>
      <c r="M52" s="350"/>
      <c r="N52" s="147">
        <f t="shared" si="60"/>
        <v>1201.7461999999998</v>
      </c>
      <c r="O52" s="147">
        <f t="shared" ref="O52:O82" si="94">S14+Q14*U52</f>
        <v>2.3602999999999996</v>
      </c>
      <c r="P52" s="147">
        <f t="shared" si="61"/>
        <v>149.68689999999998</v>
      </c>
      <c r="Q52" s="143">
        <f t="shared" si="62"/>
        <v>40</v>
      </c>
      <c r="R52" s="163">
        <f t="shared" si="63"/>
        <v>3.1428571428571432</v>
      </c>
      <c r="S52" s="163">
        <f t="shared" ref="S52:S82" si="95">MAX(AA14,AC14)/MIN(AA14,AC14)</f>
        <v>1</v>
      </c>
      <c r="T52" s="155">
        <f>2*(W52+X52+2*V14)</f>
        <v>5</v>
      </c>
      <c r="U52" s="164">
        <v>2</v>
      </c>
      <c r="V52" s="165">
        <f t="shared" si="64"/>
        <v>3.9302083333333324E-3</v>
      </c>
      <c r="W52" s="144">
        <v>1.1000000000000001</v>
      </c>
      <c r="X52" s="144">
        <v>0.35</v>
      </c>
      <c r="Y52" s="350"/>
      <c r="Z52" s="150">
        <f t="shared" ref="Z52:Z82" si="96">N52/(AA14*AC14)*(1+6*AD14/AC14+6*AE14/AA14)</f>
        <v>84.726609016119895</v>
      </c>
      <c r="AA52" s="150">
        <f t="shared" ref="AA52:AA82" si="97">N52/(AA14*AC14)*(1+6*AD14/AC14-6*AE14/AA14)</f>
        <v>84.315651543071056</v>
      </c>
      <c r="AB52" s="151">
        <f t="shared" ref="AB52:AB82" si="98">N52/(AA14*AC14)*(1-6*AD14/AC14+6*AE14/AA14)</f>
        <v>58.664265173169277</v>
      </c>
      <c r="AC52" s="150">
        <f t="shared" ref="AC52:AC82" si="99">N52/(AA14*AC14)*(1-6*AD14/AC14-6*AE14/AA14)</f>
        <v>58.253307700120423</v>
      </c>
      <c r="AD52" s="152">
        <f t="shared" ref="AD52:AD82" si="100">MAX(Z52:AC52)/$T$6</f>
        <v>0.61204561797001944</v>
      </c>
      <c r="AE52" s="361" t="str">
        <f t="shared" ref="AE52:AE82" si="101">IF(AND(AD14&lt;AC14/6,AE14&lt;AA14/6),"Zapata a compresión","Hay tensiones en la zapata")</f>
        <v>Zapata a compresión</v>
      </c>
      <c r="AF52" s="361"/>
      <c r="AG52" s="148">
        <f t="shared" si="65"/>
        <v>2463.5797099999995</v>
      </c>
      <c r="AH52" s="150">
        <f t="shared" si="66"/>
        <v>16.458218521460459</v>
      </c>
      <c r="AI52" s="148">
        <f t="shared" si="67"/>
        <v>2463.5797099999995</v>
      </c>
      <c r="AJ52" s="150">
        <f t="shared" si="68"/>
        <v>1043.7570266491548</v>
      </c>
      <c r="AK52" s="205"/>
      <c r="AL52" s="205"/>
      <c r="AM52" s="205"/>
      <c r="AN52" s="350"/>
      <c r="AO52" s="155">
        <f t="shared" si="69"/>
        <v>0.38500000000000001</v>
      </c>
      <c r="AP52" s="155">
        <f t="shared" si="70"/>
        <v>9.625</v>
      </c>
      <c r="AQ52" s="150">
        <f t="shared" si="71"/>
        <v>2</v>
      </c>
      <c r="AR52" s="150">
        <f t="shared" si="72"/>
        <v>11911.9</v>
      </c>
      <c r="AS52" s="53" t="str">
        <f t="shared" si="73"/>
        <v>OK</v>
      </c>
      <c r="AT52" s="155" t="str">
        <f t="shared" si="74"/>
        <v>NO</v>
      </c>
      <c r="AU52" s="144">
        <v>10.125</v>
      </c>
      <c r="AV52" s="143" t="s">
        <v>730</v>
      </c>
      <c r="AW52" s="163">
        <f t="shared" si="75"/>
        <v>0.50624999999999998</v>
      </c>
      <c r="AX52" s="144">
        <v>0.55000000000000004</v>
      </c>
      <c r="AY52" s="144">
        <v>0.3</v>
      </c>
      <c r="AZ52" s="350"/>
      <c r="BA52" s="153">
        <f t="shared" si="76"/>
        <v>517.59066394817057</v>
      </c>
      <c r="BB52" s="153">
        <f t="shared" si="77"/>
        <v>508.91055823920317</v>
      </c>
      <c r="BC52" s="150">
        <f t="shared" si="78"/>
        <v>1.8E-3</v>
      </c>
      <c r="BD52" s="148">
        <f t="shared" si="79"/>
        <v>38.744999999999997</v>
      </c>
      <c r="BE52" s="144">
        <v>5</v>
      </c>
      <c r="BF52" s="144">
        <v>27</v>
      </c>
      <c r="BG52" s="155">
        <f t="shared" si="80"/>
        <v>53.73</v>
      </c>
      <c r="BH52" s="53" t="str">
        <f t="shared" si="81"/>
        <v>OK</v>
      </c>
      <c r="BI52" s="148">
        <f t="shared" si="82"/>
        <v>0.15</v>
      </c>
      <c r="BJ52" s="155" t="str">
        <f t="shared" si="83"/>
        <v>27#5@15</v>
      </c>
      <c r="BK52" s="197">
        <f t="shared" si="84"/>
        <v>0.72110552763819091</v>
      </c>
      <c r="BL52" s="350"/>
      <c r="BM52" s="153">
        <f t="shared" si="85"/>
        <v>1</v>
      </c>
      <c r="BN52" s="157">
        <v>0.85</v>
      </c>
      <c r="BO52" s="153">
        <f t="shared" si="86"/>
        <v>1.2686567164179103</v>
      </c>
      <c r="BP52" s="153">
        <f t="shared" si="87"/>
        <v>12445.5223880597</v>
      </c>
      <c r="BQ52" s="155" t="s">
        <v>699</v>
      </c>
      <c r="BR52" s="155">
        <f t="shared" si="88"/>
        <v>0.75</v>
      </c>
      <c r="BS52" s="153">
        <f t="shared" si="89"/>
        <v>0</v>
      </c>
      <c r="BT52" s="153">
        <f t="shared" si="90"/>
        <v>9.2317499999999999</v>
      </c>
      <c r="BU52" s="144">
        <v>6</v>
      </c>
      <c r="BV52" s="155" t="s">
        <v>191</v>
      </c>
      <c r="BW52" s="144">
        <v>6</v>
      </c>
      <c r="BX52" s="121"/>
      <c r="CI52" s="122"/>
      <c r="CJ52" s="350"/>
      <c r="CK52" s="153">
        <f t="shared" si="91"/>
        <v>28.4</v>
      </c>
      <c r="CL52" s="153">
        <f t="shared" si="92"/>
        <v>1073.5199999999998</v>
      </c>
      <c r="CM52" s="53" t="str">
        <f t="shared" si="93"/>
        <v>OK</v>
      </c>
      <c r="CU52" s="117"/>
    </row>
    <row r="53" spans="1:99" ht="15" customHeight="1" x14ac:dyDescent="0.25">
      <c r="A53" s="123"/>
      <c r="B53" s="124"/>
      <c r="C53" s="188"/>
      <c r="D53" s="124"/>
      <c r="E53" s="124"/>
      <c r="F53" s="124"/>
      <c r="G53" s="124"/>
      <c r="H53" s="125"/>
      <c r="I53" s="124"/>
      <c r="J53" s="124"/>
      <c r="K53" s="124"/>
      <c r="L53" s="126"/>
      <c r="M53" s="349">
        <f>M15</f>
        <v>0</v>
      </c>
      <c r="N53" s="147">
        <f t="shared" si="60"/>
        <v>1032.5757999999998</v>
      </c>
      <c r="O53" s="147">
        <f t="shared" si="94"/>
        <v>1.5122</v>
      </c>
      <c r="P53" s="147">
        <f t="shared" si="61"/>
        <v>89.014200000000002</v>
      </c>
      <c r="Q53" s="143">
        <f t="shared" si="62"/>
        <v>40</v>
      </c>
      <c r="R53" s="163">
        <f t="shared" si="63"/>
        <v>3.1428571428571432</v>
      </c>
      <c r="S53" s="163">
        <f t="shared" si="95"/>
        <v>1</v>
      </c>
      <c r="T53" s="155">
        <f t="shared" ref="T53:T82" si="102">2*(W53+X53+2*V15)</f>
        <v>5</v>
      </c>
      <c r="U53" s="164">
        <v>2</v>
      </c>
      <c r="V53" s="165">
        <f t="shared" si="64"/>
        <v>3.9302083333333324E-3</v>
      </c>
      <c r="W53" s="144">
        <v>1.1000000000000001</v>
      </c>
      <c r="X53" s="144">
        <v>0.35</v>
      </c>
      <c r="Y53" s="349">
        <f>M53</f>
        <v>0</v>
      </c>
      <c r="Z53" s="150">
        <f t="shared" si="96"/>
        <v>69.307165885579138</v>
      </c>
      <c r="AA53" s="150">
        <f t="shared" si="97"/>
        <v>69.043873130105482</v>
      </c>
      <c r="AB53" s="151">
        <f t="shared" si="98"/>
        <v>53.808690819924252</v>
      </c>
      <c r="AC53" s="150">
        <f t="shared" si="99"/>
        <v>53.545398064450595</v>
      </c>
      <c r="AD53" s="152">
        <f t="shared" si="100"/>
        <v>0.50065909242419182</v>
      </c>
      <c r="AE53" s="361" t="str">
        <f t="shared" si="101"/>
        <v>Zapata a compresión</v>
      </c>
      <c r="AF53" s="361"/>
      <c r="AG53" s="148">
        <f t="shared" si="65"/>
        <v>4052.8600149999993</v>
      </c>
      <c r="AH53" s="150">
        <f t="shared" si="66"/>
        <v>45.530488562499009</v>
      </c>
      <c r="AI53" s="148">
        <f t="shared" si="67"/>
        <v>2116.7803899999994</v>
      </c>
      <c r="AJ53" s="150">
        <f t="shared" si="68"/>
        <v>1399.8018714455757</v>
      </c>
      <c r="AK53" s="204"/>
      <c r="AL53" s="204"/>
      <c r="AM53" s="204"/>
      <c r="AN53" s="349">
        <f>Y53</f>
        <v>0</v>
      </c>
      <c r="AO53" s="155">
        <f t="shared" si="69"/>
        <v>0.38500000000000001</v>
      </c>
      <c r="AP53" s="155">
        <f t="shared" si="70"/>
        <v>9.625</v>
      </c>
      <c r="AQ53" s="150">
        <f t="shared" si="71"/>
        <v>2</v>
      </c>
      <c r="AR53" s="150">
        <f t="shared" si="72"/>
        <v>11911.9</v>
      </c>
      <c r="AS53" s="53" t="str">
        <f t="shared" si="73"/>
        <v>OK</v>
      </c>
      <c r="AT53" s="155" t="str">
        <f t="shared" si="74"/>
        <v>NO</v>
      </c>
      <c r="AU53" s="144">
        <v>10.125</v>
      </c>
      <c r="AV53" s="143" t="s">
        <v>730</v>
      </c>
      <c r="AW53" s="163">
        <f t="shared" si="75"/>
        <v>0.50624999999999998</v>
      </c>
      <c r="AX53" s="144">
        <v>0.55000000000000004</v>
      </c>
      <c r="AY53" s="144">
        <v>0.3</v>
      </c>
      <c r="AZ53" s="349">
        <f>AN53</f>
        <v>0</v>
      </c>
      <c r="BA53" s="153">
        <f t="shared" si="76"/>
        <v>444.21333376524376</v>
      </c>
      <c r="BB53" s="153">
        <f t="shared" si="77"/>
        <v>436.76378151674874</v>
      </c>
      <c r="BC53" s="150">
        <f t="shared" si="78"/>
        <v>1.8E-3</v>
      </c>
      <c r="BD53" s="148">
        <f t="shared" si="79"/>
        <v>38.744999999999997</v>
      </c>
      <c r="BE53" s="144">
        <v>5</v>
      </c>
      <c r="BF53" s="144">
        <v>27</v>
      </c>
      <c r="BG53" s="155">
        <f t="shared" si="80"/>
        <v>53.73</v>
      </c>
      <c r="BH53" s="53" t="str">
        <f t="shared" si="81"/>
        <v>OK</v>
      </c>
      <c r="BI53" s="148">
        <f t="shared" si="82"/>
        <v>0.15</v>
      </c>
      <c r="BJ53" s="155" t="str">
        <f t="shared" si="83"/>
        <v>27#5@15</v>
      </c>
      <c r="BK53" s="197">
        <f t="shared" si="84"/>
        <v>0.72110552763819091</v>
      </c>
      <c r="BL53" s="349">
        <f>AZ53</f>
        <v>0</v>
      </c>
      <c r="BM53" s="153">
        <f t="shared" si="85"/>
        <v>1</v>
      </c>
      <c r="BN53" s="157">
        <v>0.85</v>
      </c>
      <c r="BO53" s="153">
        <f t="shared" si="86"/>
        <v>1.2686567164179103</v>
      </c>
      <c r="BP53" s="153">
        <f t="shared" si="87"/>
        <v>12445.5223880597</v>
      </c>
      <c r="BQ53" s="155" t="s">
        <v>699</v>
      </c>
      <c r="BR53" s="155">
        <f t="shared" si="88"/>
        <v>0.75</v>
      </c>
      <c r="BS53" s="153">
        <f t="shared" si="89"/>
        <v>0</v>
      </c>
      <c r="BT53" s="153">
        <f t="shared" si="90"/>
        <v>9.2317499999999999</v>
      </c>
      <c r="BU53" s="144">
        <v>6</v>
      </c>
      <c r="BV53" s="155" t="s">
        <v>191</v>
      </c>
      <c r="BW53" s="144">
        <v>6</v>
      </c>
      <c r="BX53" s="121"/>
      <c r="CI53" s="122"/>
      <c r="CJ53" s="349">
        <f>CJ15</f>
        <v>0</v>
      </c>
      <c r="CK53" s="153">
        <f t="shared" si="91"/>
        <v>28.4</v>
      </c>
      <c r="CL53" s="153">
        <f t="shared" si="92"/>
        <v>1073.5199999999998</v>
      </c>
      <c r="CM53" s="53" t="str">
        <f t="shared" si="93"/>
        <v>OK</v>
      </c>
      <c r="CU53" s="117"/>
    </row>
    <row r="54" spans="1:99" ht="15" customHeight="1" x14ac:dyDescent="0.25">
      <c r="A54" s="123"/>
      <c r="B54" s="124"/>
      <c r="C54" s="188"/>
      <c r="D54" s="124"/>
      <c r="E54" s="124"/>
      <c r="F54" s="124"/>
      <c r="G54" s="124"/>
      <c r="H54" s="125"/>
      <c r="I54" s="124"/>
      <c r="J54" s="124"/>
      <c r="K54" s="124"/>
      <c r="L54" s="126"/>
      <c r="M54" s="350"/>
      <c r="N54" s="147">
        <f t="shared" si="60"/>
        <v>1038.3609999999999</v>
      </c>
      <c r="O54" s="147">
        <f t="shared" si="94"/>
        <v>1.5181000000000004</v>
      </c>
      <c r="P54" s="147">
        <f t="shared" si="61"/>
        <v>88.880600000000001</v>
      </c>
      <c r="Q54" s="143">
        <f t="shared" si="62"/>
        <v>40</v>
      </c>
      <c r="R54" s="163">
        <f t="shared" si="63"/>
        <v>3.1428571428571432</v>
      </c>
      <c r="S54" s="163">
        <f t="shared" si="95"/>
        <v>1</v>
      </c>
      <c r="T54" s="155">
        <f t="shared" si="102"/>
        <v>5</v>
      </c>
      <c r="U54" s="164">
        <v>2</v>
      </c>
      <c r="V54" s="165">
        <f t="shared" si="64"/>
        <v>3.9302083333333324E-3</v>
      </c>
      <c r="W54" s="144">
        <v>1.1000000000000001</v>
      </c>
      <c r="X54" s="144">
        <v>0.35</v>
      </c>
      <c r="Y54" s="350"/>
      <c r="Z54" s="150">
        <f t="shared" si="96"/>
        <v>69.640201099809929</v>
      </c>
      <c r="AA54" s="150">
        <f t="shared" si="97"/>
        <v>69.375881081237935</v>
      </c>
      <c r="AB54" s="151">
        <f t="shared" si="98"/>
        <v>54.164987449398581</v>
      </c>
      <c r="AC54" s="150">
        <f t="shared" si="99"/>
        <v>53.900667430826594</v>
      </c>
      <c r="AD54" s="152">
        <f t="shared" si="100"/>
        <v>0.50306486253427463</v>
      </c>
      <c r="AE54" s="361" t="str">
        <f t="shared" si="101"/>
        <v>Zapata a compresión</v>
      </c>
      <c r="AF54" s="361"/>
      <c r="AG54" s="148">
        <f t="shared" si="65"/>
        <v>4075.5669249999992</v>
      </c>
      <c r="AH54" s="150">
        <f t="shared" si="66"/>
        <v>45.854403829407083</v>
      </c>
      <c r="AI54" s="148">
        <f t="shared" si="67"/>
        <v>2128.6400499999995</v>
      </c>
      <c r="AJ54" s="150">
        <f t="shared" si="68"/>
        <v>1402.1738027797899</v>
      </c>
      <c r="AK54" s="205"/>
      <c r="AL54" s="205"/>
      <c r="AM54" s="205"/>
      <c r="AN54" s="350"/>
      <c r="AO54" s="155">
        <f t="shared" si="69"/>
        <v>0.38500000000000001</v>
      </c>
      <c r="AP54" s="155">
        <f t="shared" si="70"/>
        <v>9.625</v>
      </c>
      <c r="AQ54" s="150">
        <f t="shared" si="71"/>
        <v>2</v>
      </c>
      <c r="AR54" s="150">
        <f t="shared" si="72"/>
        <v>11911.9</v>
      </c>
      <c r="AS54" s="53" t="str">
        <f t="shared" si="73"/>
        <v>OK</v>
      </c>
      <c r="AT54" s="155" t="str">
        <f t="shared" si="74"/>
        <v>NO</v>
      </c>
      <c r="AU54" s="144">
        <v>10.125</v>
      </c>
      <c r="AV54" s="143" t="s">
        <v>730</v>
      </c>
      <c r="AW54" s="163">
        <f t="shared" si="75"/>
        <v>0.50624999999999998</v>
      </c>
      <c r="AX54" s="144">
        <v>0.55000000000000004</v>
      </c>
      <c r="AY54" s="144">
        <v>0.3</v>
      </c>
      <c r="AZ54" s="350"/>
      <c r="BA54" s="153">
        <f t="shared" si="76"/>
        <v>446.6995500762194</v>
      </c>
      <c r="BB54" s="153">
        <f t="shared" si="77"/>
        <v>439.20830345049194</v>
      </c>
      <c r="BC54" s="150">
        <f t="shared" si="78"/>
        <v>1.8E-3</v>
      </c>
      <c r="BD54" s="148">
        <f t="shared" si="79"/>
        <v>38.744999999999997</v>
      </c>
      <c r="BE54" s="144">
        <v>5</v>
      </c>
      <c r="BF54" s="144">
        <v>27</v>
      </c>
      <c r="BG54" s="155">
        <f t="shared" si="80"/>
        <v>53.73</v>
      </c>
      <c r="BH54" s="53" t="str">
        <f t="shared" si="81"/>
        <v>OK</v>
      </c>
      <c r="BI54" s="148">
        <f t="shared" si="82"/>
        <v>0.15</v>
      </c>
      <c r="BJ54" s="155" t="str">
        <f t="shared" si="83"/>
        <v>27#5@15</v>
      </c>
      <c r="BK54" s="197">
        <f t="shared" si="84"/>
        <v>0.72110552763819091</v>
      </c>
      <c r="BL54" s="350"/>
      <c r="BM54" s="153">
        <f t="shared" si="85"/>
        <v>1</v>
      </c>
      <c r="BN54" s="157">
        <v>0.85</v>
      </c>
      <c r="BO54" s="153">
        <f t="shared" si="86"/>
        <v>1.2686567164179103</v>
      </c>
      <c r="BP54" s="153">
        <f t="shared" si="87"/>
        <v>12445.5223880597</v>
      </c>
      <c r="BQ54" s="155" t="s">
        <v>699</v>
      </c>
      <c r="BR54" s="155">
        <f t="shared" si="88"/>
        <v>0.75</v>
      </c>
      <c r="BS54" s="153">
        <f t="shared" si="89"/>
        <v>0</v>
      </c>
      <c r="BT54" s="153">
        <f t="shared" si="90"/>
        <v>9.2317499999999999</v>
      </c>
      <c r="BU54" s="144">
        <v>6</v>
      </c>
      <c r="BV54" s="155" t="s">
        <v>191</v>
      </c>
      <c r="BW54" s="144">
        <v>6</v>
      </c>
      <c r="BX54" s="121"/>
      <c r="CI54" s="122"/>
      <c r="CJ54" s="350"/>
      <c r="CK54" s="153">
        <f t="shared" si="91"/>
        <v>28.4</v>
      </c>
      <c r="CL54" s="153">
        <f t="shared" si="92"/>
        <v>1073.5199999999998</v>
      </c>
      <c r="CM54" s="53" t="str">
        <f t="shared" si="93"/>
        <v>OK</v>
      </c>
      <c r="CU54" s="117"/>
    </row>
    <row r="55" spans="1:99" ht="15" customHeight="1" x14ac:dyDescent="0.25">
      <c r="A55" s="123"/>
      <c r="B55" s="124"/>
      <c r="C55" s="188"/>
      <c r="D55" s="124"/>
      <c r="E55" s="124"/>
      <c r="F55" s="124"/>
      <c r="G55" s="124"/>
      <c r="H55" s="125"/>
      <c r="I55" s="124"/>
      <c r="J55" s="124"/>
      <c r="K55" s="124"/>
      <c r="L55" s="126"/>
      <c r="M55" s="349">
        <f>M17</f>
        <v>0</v>
      </c>
      <c r="N55" s="147">
        <f t="shared" si="60"/>
        <v>1163.7924999999998</v>
      </c>
      <c r="O55" s="147">
        <f t="shared" si="94"/>
        <v>2.1527000000000003</v>
      </c>
      <c r="P55" s="147">
        <f t="shared" si="61"/>
        <v>134.4186</v>
      </c>
      <c r="Q55" s="143">
        <f t="shared" si="62"/>
        <v>40</v>
      </c>
      <c r="R55" s="163">
        <f t="shared" si="63"/>
        <v>3.1428571428571432</v>
      </c>
      <c r="S55" s="163">
        <f t="shared" si="95"/>
        <v>1</v>
      </c>
      <c r="T55" s="155">
        <f t="shared" si="102"/>
        <v>5</v>
      </c>
      <c r="U55" s="164">
        <v>2</v>
      </c>
      <c r="V55" s="165">
        <f t="shared" si="64"/>
        <v>3.9302083333333324E-3</v>
      </c>
      <c r="W55" s="144">
        <v>1.1000000000000001</v>
      </c>
      <c r="X55" s="144">
        <v>0.35</v>
      </c>
      <c r="Y55" s="349">
        <f>M55</f>
        <v>0</v>
      </c>
      <c r="Z55" s="150">
        <f t="shared" si="96"/>
        <v>81.121531173372389</v>
      </c>
      <c r="AA55" s="150">
        <f t="shared" si="97"/>
        <v>80.746719432393604</v>
      </c>
      <c r="AB55" s="151">
        <f t="shared" si="98"/>
        <v>57.717587527749153</v>
      </c>
      <c r="AC55" s="150">
        <f t="shared" si="99"/>
        <v>57.342775786770346</v>
      </c>
      <c r="AD55" s="152">
        <f t="shared" si="100"/>
        <v>0.58600336133167541</v>
      </c>
      <c r="AE55" s="361" t="str">
        <f t="shared" si="101"/>
        <v>Zapata a compresión</v>
      </c>
      <c r="AF55" s="361"/>
      <c r="AG55" s="148">
        <f t="shared" si="65"/>
        <v>2385.7746249999996</v>
      </c>
      <c r="AH55" s="150">
        <f t="shared" si="66"/>
        <v>17.748842980063767</v>
      </c>
      <c r="AI55" s="148">
        <f t="shared" si="67"/>
        <v>2385.7746249999996</v>
      </c>
      <c r="AJ55" s="150">
        <f t="shared" si="68"/>
        <v>1108.27083430111</v>
      </c>
      <c r="AK55" s="204"/>
      <c r="AL55" s="204"/>
      <c r="AM55" s="204"/>
      <c r="AN55" s="349">
        <f>Y55</f>
        <v>0</v>
      </c>
      <c r="AO55" s="155">
        <f t="shared" si="69"/>
        <v>0.38500000000000001</v>
      </c>
      <c r="AP55" s="155">
        <f t="shared" si="70"/>
        <v>9.625</v>
      </c>
      <c r="AQ55" s="150">
        <f t="shared" si="71"/>
        <v>2</v>
      </c>
      <c r="AR55" s="150">
        <f t="shared" si="72"/>
        <v>11911.9</v>
      </c>
      <c r="AS55" s="53" t="str">
        <f t="shared" si="73"/>
        <v>OK</v>
      </c>
      <c r="AT55" s="155" t="str">
        <f t="shared" si="74"/>
        <v>NO</v>
      </c>
      <c r="AU55" s="144">
        <v>10.125</v>
      </c>
      <c r="AV55" s="143" t="s">
        <v>730</v>
      </c>
      <c r="AW55" s="163">
        <f t="shared" si="75"/>
        <v>0.50624999999999998</v>
      </c>
      <c r="AX55" s="144">
        <v>0.55000000000000004</v>
      </c>
      <c r="AY55" s="144">
        <v>0.3</v>
      </c>
      <c r="AZ55" s="349">
        <f>AN55</f>
        <v>0</v>
      </c>
      <c r="BA55" s="153">
        <f t="shared" si="76"/>
        <v>501.11099363567052</v>
      </c>
      <c r="BB55" s="153">
        <f t="shared" si="77"/>
        <v>492.70725550889688</v>
      </c>
      <c r="BC55" s="150">
        <f t="shared" si="78"/>
        <v>1.8E-3</v>
      </c>
      <c r="BD55" s="148">
        <f t="shared" si="79"/>
        <v>38.744999999999997</v>
      </c>
      <c r="BE55" s="144">
        <v>5</v>
      </c>
      <c r="BF55" s="144">
        <v>27</v>
      </c>
      <c r="BG55" s="155">
        <f t="shared" si="80"/>
        <v>53.73</v>
      </c>
      <c r="BH55" s="53" t="str">
        <f t="shared" si="81"/>
        <v>OK</v>
      </c>
      <c r="BI55" s="148">
        <f t="shared" si="82"/>
        <v>0.15</v>
      </c>
      <c r="BJ55" s="155" t="str">
        <f t="shared" si="83"/>
        <v>27#5@15</v>
      </c>
      <c r="BK55" s="197">
        <f t="shared" si="84"/>
        <v>0.72110552763819091</v>
      </c>
      <c r="BL55" s="349">
        <f>AZ55</f>
        <v>0</v>
      </c>
      <c r="BM55" s="153">
        <f t="shared" si="85"/>
        <v>1</v>
      </c>
      <c r="BN55" s="157">
        <v>0.85</v>
      </c>
      <c r="BO55" s="153">
        <f t="shared" si="86"/>
        <v>1.2686567164179103</v>
      </c>
      <c r="BP55" s="153">
        <f t="shared" si="87"/>
        <v>12445.5223880597</v>
      </c>
      <c r="BQ55" s="155" t="s">
        <v>699</v>
      </c>
      <c r="BR55" s="155">
        <f t="shared" si="88"/>
        <v>0.75</v>
      </c>
      <c r="BS55" s="153">
        <f t="shared" si="89"/>
        <v>0</v>
      </c>
      <c r="BT55" s="153">
        <f t="shared" si="90"/>
        <v>9.2317499999999999</v>
      </c>
      <c r="BU55" s="144">
        <v>6</v>
      </c>
      <c r="BV55" s="155" t="s">
        <v>191</v>
      </c>
      <c r="BW55" s="144">
        <v>6</v>
      </c>
      <c r="BX55" s="121"/>
      <c r="CI55" s="122"/>
      <c r="CJ55" s="349">
        <f>CJ17</f>
        <v>0</v>
      </c>
      <c r="CK55" s="153">
        <f t="shared" si="91"/>
        <v>28.4</v>
      </c>
      <c r="CL55" s="153">
        <f t="shared" si="92"/>
        <v>1073.5199999999998</v>
      </c>
      <c r="CM55" s="53" t="str">
        <f t="shared" si="93"/>
        <v>OK</v>
      </c>
      <c r="CU55" s="117"/>
    </row>
    <row r="56" spans="1:99" ht="15" customHeight="1" x14ac:dyDescent="0.25">
      <c r="A56" s="123"/>
      <c r="B56" s="124"/>
      <c r="C56" s="188"/>
      <c r="D56" s="124"/>
      <c r="E56" s="124"/>
      <c r="F56" s="124"/>
      <c r="G56" s="124"/>
      <c r="H56" s="125"/>
      <c r="I56" s="124"/>
      <c r="J56" s="124"/>
      <c r="K56" s="124"/>
      <c r="L56" s="126"/>
      <c r="M56" s="350"/>
      <c r="N56" s="147">
        <f t="shared" si="60"/>
        <v>1159.4535999999998</v>
      </c>
      <c r="O56" s="147">
        <f t="shared" si="94"/>
        <v>2.1482000000000001</v>
      </c>
      <c r="P56" s="147">
        <f t="shared" si="61"/>
        <v>134.5188</v>
      </c>
      <c r="Q56" s="143">
        <f t="shared" si="62"/>
        <v>40</v>
      </c>
      <c r="R56" s="163">
        <f t="shared" si="63"/>
        <v>3.1428571428571432</v>
      </c>
      <c r="S56" s="163">
        <f t="shared" si="95"/>
        <v>1</v>
      </c>
      <c r="T56" s="155">
        <f t="shared" si="102"/>
        <v>5</v>
      </c>
      <c r="U56" s="164">
        <v>2</v>
      </c>
      <c r="V56" s="165">
        <f t="shared" si="64"/>
        <v>3.9302083333333324E-3</v>
      </c>
      <c r="W56" s="144">
        <v>1.1000000000000001</v>
      </c>
      <c r="X56" s="144">
        <v>0.35</v>
      </c>
      <c r="Y56" s="350"/>
      <c r="Z56" s="150">
        <f t="shared" si="96"/>
        <v>80.871748233484709</v>
      </c>
      <c r="AA56" s="150">
        <f t="shared" si="97"/>
        <v>80.497719998258859</v>
      </c>
      <c r="AB56" s="151">
        <f t="shared" si="98"/>
        <v>57.450358526428801</v>
      </c>
      <c r="AC56" s="150">
        <f t="shared" si="99"/>
        <v>57.076330291202964</v>
      </c>
      <c r="AD56" s="152">
        <f t="shared" si="100"/>
        <v>0.58419898658356251</v>
      </c>
      <c r="AE56" s="361" t="str">
        <f t="shared" si="101"/>
        <v>Zapata a compresión</v>
      </c>
      <c r="AF56" s="361"/>
      <c r="AG56" s="148">
        <f t="shared" si="65"/>
        <v>2376.8798799999995</v>
      </c>
      <c r="AH56" s="150">
        <f t="shared" si="66"/>
        <v>17.669499579240966</v>
      </c>
      <c r="AI56" s="148">
        <f t="shared" si="67"/>
        <v>2376.8798799999995</v>
      </c>
      <c r="AJ56" s="150">
        <f t="shared" si="68"/>
        <v>1106.4518573689597</v>
      </c>
      <c r="AK56" s="205"/>
      <c r="AL56" s="205"/>
      <c r="AM56" s="205"/>
      <c r="AN56" s="350"/>
      <c r="AO56" s="155">
        <f t="shared" si="69"/>
        <v>0.38500000000000001</v>
      </c>
      <c r="AP56" s="155">
        <f t="shared" si="70"/>
        <v>9.625</v>
      </c>
      <c r="AQ56" s="150">
        <f t="shared" si="71"/>
        <v>2</v>
      </c>
      <c r="AR56" s="150">
        <f t="shared" si="72"/>
        <v>11911.9</v>
      </c>
      <c r="AS56" s="53" t="str">
        <f t="shared" si="73"/>
        <v>OK</v>
      </c>
      <c r="AT56" s="155" t="str">
        <f t="shared" si="74"/>
        <v>NO</v>
      </c>
      <c r="AU56" s="144">
        <v>10.125</v>
      </c>
      <c r="AV56" s="143" t="s">
        <v>730</v>
      </c>
      <c r="AW56" s="163">
        <f t="shared" si="75"/>
        <v>0.50624999999999998</v>
      </c>
      <c r="AX56" s="144">
        <v>0.55000000000000004</v>
      </c>
      <c r="AY56" s="144">
        <v>0.3</v>
      </c>
      <c r="AZ56" s="350"/>
      <c r="BA56" s="153">
        <f t="shared" si="76"/>
        <v>499.24625640243886</v>
      </c>
      <c r="BB56" s="153">
        <f t="shared" si="77"/>
        <v>490.8737903163555</v>
      </c>
      <c r="BC56" s="150">
        <f t="shared" si="78"/>
        <v>1.8E-3</v>
      </c>
      <c r="BD56" s="148">
        <f t="shared" si="79"/>
        <v>38.744999999999997</v>
      </c>
      <c r="BE56" s="144">
        <v>5</v>
      </c>
      <c r="BF56" s="144">
        <v>27</v>
      </c>
      <c r="BG56" s="155">
        <f t="shared" si="80"/>
        <v>53.73</v>
      </c>
      <c r="BH56" s="53" t="str">
        <f t="shared" si="81"/>
        <v>OK</v>
      </c>
      <c r="BI56" s="148">
        <f t="shared" si="82"/>
        <v>0.15</v>
      </c>
      <c r="BJ56" s="155" t="str">
        <f t="shared" si="83"/>
        <v>27#5@15</v>
      </c>
      <c r="BK56" s="197">
        <f t="shared" si="84"/>
        <v>0.72110552763819091</v>
      </c>
      <c r="BL56" s="350"/>
      <c r="BM56" s="153">
        <f t="shared" si="85"/>
        <v>1</v>
      </c>
      <c r="BN56" s="157">
        <v>0.85</v>
      </c>
      <c r="BO56" s="153">
        <f t="shared" si="86"/>
        <v>1.2686567164179103</v>
      </c>
      <c r="BP56" s="153">
        <f t="shared" si="87"/>
        <v>12445.5223880597</v>
      </c>
      <c r="BQ56" s="155" t="s">
        <v>699</v>
      </c>
      <c r="BR56" s="155">
        <f t="shared" si="88"/>
        <v>0.75</v>
      </c>
      <c r="BS56" s="153">
        <f t="shared" si="89"/>
        <v>0</v>
      </c>
      <c r="BT56" s="153">
        <f t="shared" si="90"/>
        <v>9.2317499999999999</v>
      </c>
      <c r="BU56" s="144">
        <v>6</v>
      </c>
      <c r="BV56" s="155" t="s">
        <v>191</v>
      </c>
      <c r="BW56" s="144">
        <v>6</v>
      </c>
      <c r="BX56" s="121"/>
      <c r="CI56" s="122"/>
      <c r="CJ56" s="350"/>
      <c r="CK56" s="153">
        <f t="shared" si="91"/>
        <v>28.4</v>
      </c>
      <c r="CL56" s="153">
        <f t="shared" si="92"/>
        <v>1073.5199999999998</v>
      </c>
      <c r="CM56" s="53" t="str">
        <f t="shared" si="93"/>
        <v>OK</v>
      </c>
      <c r="CU56" s="117"/>
    </row>
    <row r="57" spans="1:99" ht="15" customHeight="1" x14ac:dyDescent="0.25">
      <c r="A57" s="123"/>
      <c r="B57" s="124"/>
      <c r="C57" s="188"/>
      <c r="D57" s="124"/>
      <c r="E57" s="124"/>
      <c r="F57" s="124"/>
      <c r="G57" s="124"/>
      <c r="H57" s="125"/>
      <c r="I57" s="124"/>
      <c r="J57" s="124"/>
      <c r="K57" s="124"/>
      <c r="L57" s="126"/>
      <c r="M57" s="349">
        <f>M19</f>
        <v>0</v>
      </c>
      <c r="N57" s="147">
        <f t="shared" si="60"/>
        <v>1039.1874999999998</v>
      </c>
      <c r="O57" s="147">
        <f t="shared" si="94"/>
        <v>1.5188999999999995</v>
      </c>
      <c r="P57" s="147">
        <f t="shared" si="61"/>
        <v>88.861500000000007</v>
      </c>
      <c r="Q57" s="143">
        <f t="shared" si="62"/>
        <v>40</v>
      </c>
      <c r="R57" s="163">
        <f t="shared" si="63"/>
        <v>3.1428571428571432</v>
      </c>
      <c r="S57" s="163">
        <f t="shared" si="95"/>
        <v>1</v>
      </c>
      <c r="T57" s="155">
        <f t="shared" si="102"/>
        <v>5</v>
      </c>
      <c r="U57" s="164">
        <v>2</v>
      </c>
      <c r="V57" s="165">
        <f t="shared" si="64"/>
        <v>3.9302083333333324E-3</v>
      </c>
      <c r="W57" s="144">
        <v>1.1000000000000001</v>
      </c>
      <c r="X57" s="144">
        <v>0.35</v>
      </c>
      <c r="Y57" s="349">
        <f>M57</f>
        <v>0</v>
      </c>
      <c r="Z57" s="150">
        <f t="shared" si="96"/>
        <v>69.687775133848888</v>
      </c>
      <c r="AA57" s="150">
        <f t="shared" si="97"/>
        <v>69.423315825365265</v>
      </c>
      <c r="AB57" s="151">
        <f t="shared" si="98"/>
        <v>54.215887030077909</v>
      </c>
      <c r="AC57" s="150">
        <f t="shared" si="99"/>
        <v>53.951427721594278</v>
      </c>
      <c r="AD57" s="152">
        <f t="shared" si="100"/>
        <v>0.50340852645993894</v>
      </c>
      <c r="AE57" s="361" t="str">
        <f t="shared" si="101"/>
        <v>Zapata a compresión</v>
      </c>
      <c r="AF57" s="361"/>
      <c r="AG57" s="148">
        <f t="shared" si="65"/>
        <v>2130.3343749999995</v>
      </c>
      <c r="AH57" s="150">
        <f t="shared" si="66"/>
        <v>23.973648599224628</v>
      </c>
      <c r="AI57" s="148">
        <f t="shared" si="67"/>
        <v>3689.115624999999</v>
      </c>
      <c r="AJ57" s="150">
        <f t="shared" si="68"/>
        <v>2428.8074428862997</v>
      </c>
      <c r="AK57" s="204"/>
      <c r="AL57" s="204"/>
      <c r="AM57" s="204"/>
      <c r="AN57" s="349">
        <f>Y57</f>
        <v>0</v>
      </c>
      <c r="AO57" s="155">
        <f t="shared" si="69"/>
        <v>0.38500000000000001</v>
      </c>
      <c r="AP57" s="155">
        <f t="shared" si="70"/>
        <v>9.625</v>
      </c>
      <c r="AQ57" s="150">
        <f t="shared" si="71"/>
        <v>2</v>
      </c>
      <c r="AR57" s="150">
        <f t="shared" si="72"/>
        <v>11911.9</v>
      </c>
      <c r="AS57" s="53" t="str">
        <f t="shared" si="73"/>
        <v>OK</v>
      </c>
      <c r="AT57" s="155" t="str">
        <f t="shared" si="74"/>
        <v>NO</v>
      </c>
      <c r="AU57" s="144">
        <v>10.125</v>
      </c>
      <c r="AV57" s="143" t="s">
        <v>730</v>
      </c>
      <c r="AW57" s="163">
        <f t="shared" si="75"/>
        <v>0.50624999999999998</v>
      </c>
      <c r="AX57" s="144">
        <v>0.55000000000000004</v>
      </c>
      <c r="AY57" s="144">
        <v>0.3</v>
      </c>
      <c r="AZ57" s="349">
        <f>AN57</f>
        <v>0</v>
      </c>
      <c r="BA57" s="153">
        <f t="shared" si="76"/>
        <v>447.05469935213398</v>
      </c>
      <c r="BB57" s="153">
        <f t="shared" si="77"/>
        <v>439.55749679738364</v>
      </c>
      <c r="BC57" s="150">
        <f t="shared" si="78"/>
        <v>1.8E-3</v>
      </c>
      <c r="BD57" s="148">
        <f t="shared" si="79"/>
        <v>38.744999999999997</v>
      </c>
      <c r="BE57" s="144">
        <v>5</v>
      </c>
      <c r="BF57" s="144">
        <v>17</v>
      </c>
      <c r="BG57" s="155">
        <f t="shared" si="80"/>
        <v>33.83</v>
      </c>
      <c r="BH57" s="53" t="str">
        <f t="shared" si="81"/>
        <v>N/C</v>
      </c>
      <c r="BI57" s="148">
        <f t="shared" si="82"/>
        <v>0.23</v>
      </c>
      <c r="BJ57" s="155" t="str">
        <f t="shared" si="83"/>
        <v>17#5@20</v>
      </c>
      <c r="BK57" s="197">
        <f t="shared" si="84"/>
        <v>1.1452852497783033</v>
      </c>
      <c r="BL57" s="349">
        <f>AZ57</f>
        <v>0</v>
      </c>
      <c r="BM57" s="153">
        <f t="shared" si="85"/>
        <v>1</v>
      </c>
      <c r="BN57" s="157">
        <v>0.85</v>
      </c>
      <c r="BO57" s="153">
        <f t="shared" si="86"/>
        <v>1.2686567164179103</v>
      </c>
      <c r="BP57" s="153">
        <f t="shared" si="87"/>
        <v>12445.5223880597</v>
      </c>
      <c r="BQ57" s="155" t="s">
        <v>699</v>
      </c>
      <c r="BR57" s="155">
        <f t="shared" si="88"/>
        <v>0.75</v>
      </c>
      <c r="BS57" s="153">
        <f t="shared" si="89"/>
        <v>0</v>
      </c>
      <c r="BT57" s="153">
        <f t="shared" si="90"/>
        <v>9.2317499999999999</v>
      </c>
      <c r="BU57" s="144">
        <v>6</v>
      </c>
      <c r="BV57" s="155" t="s">
        <v>191</v>
      </c>
      <c r="BW57" s="144">
        <v>6</v>
      </c>
      <c r="BX57" s="121"/>
      <c r="CI57" s="122"/>
      <c r="CJ57" s="349">
        <f>CJ19</f>
        <v>0</v>
      </c>
      <c r="CK57" s="153">
        <f t="shared" si="91"/>
        <v>28.4</v>
      </c>
      <c r="CL57" s="153">
        <f t="shared" si="92"/>
        <v>1073.5199999999998</v>
      </c>
      <c r="CM57" s="53" t="str">
        <f t="shared" si="93"/>
        <v>OK</v>
      </c>
      <c r="CU57" s="117"/>
    </row>
    <row r="58" spans="1:99" ht="15" customHeight="1" x14ac:dyDescent="0.25">
      <c r="A58" s="123"/>
      <c r="L58" s="126"/>
      <c r="M58" s="350"/>
      <c r="N58" s="147">
        <f t="shared" si="60"/>
        <v>1032.5757999999998</v>
      </c>
      <c r="O58" s="147">
        <f t="shared" si="94"/>
        <v>1.5122</v>
      </c>
      <c r="P58" s="147">
        <f t="shared" si="61"/>
        <v>89.014200000000002</v>
      </c>
      <c r="Q58" s="143">
        <f t="shared" si="62"/>
        <v>40</v>
      </c>
      <c r="R58" s="163">
        <f t="shared" si="63"/>
        <v>3.1428571428571432</v>
      </c>
      <c r="S58" s="163">
        <f t="shared" si="95"/>
        <v>1</v>
      </c>
      <c r="T58" s="155">
        <f t="shared" si="102"/>
        <v>5</v>
      </c>
      <c r="U58" s="164">
        <v>2</v>
      </c>
      <c r="V58" s="165">
        <f t="shared" si="64"/>
        <v>3.9302083333333324E-3</v>
      </c>
      <c r="W58" s="144">
        <v>1.1000000000000001</v>
      </c>
      <c r="X58" s="144">
        <v>0.35</v>
      </c>
      <c r="Y58" s="350"/>
      <c r="Z58" s="150">
        <f t="shared" si="96"/>
        <v>69.307165885579138</v>
      </c>
      <c r="AA58" s="150">
        <f t="shared" si="97"/>
        <v>69.043873130105482</v>
      </c>
      <c r="AB58" s="151">
        <f t="shared" si="98"/>
        <v>53.808690819924252</v>
      </c>
      <c r="AC58" s="150">
        <f t="shared" si="99"/>
        <v>53.545398064450595</v>
      </c>
      <c r="AD58" s="152">
        <f t="shared" si="100"/>
        <v>0.50065909242419182</v>
      </c>
      <c r="AE58" s="361" t="str">
        <f t="shared" si="101"/>
        <v>Zapata a compresión</v>
      </c>
      <c r="AF58" s="361"/>
      <c r="AG58" s="148">
        <f t="shared" si="65"/>
        <v>2116.7803899999994</v>
      </c>
      <c r="AH58" s="150">
        <f t="shared" si="66"/>
        <v>23.780255172770179</v>
      </c>
      <c r="AI58" s="148">
        <f t="shared" si="67"/>
        <v>3665.6440899999993</v>
      </c>
      <c r="AJ58" s="150">
        <f t="shared" si="68"/>
        <v>2424.0471432350214</v>
      </c>
      <c r="AK58" s="205"/>
      <c r="AL58" s="205"/>
      <c r="AM58" s="205"/>
      <c r="AN58" s="350"/>
      <c r="AO58" s="155">
        <f t="shared" si="69"/>
        <v>0.38500000000000001</v>
      </c>
      <c r="AP58" s="155">
        <f t="shared" si="70"/>
        <v>9.625</v>
      </c>
      <c r="AQ58" s="150">
        <f t="shared" si="71"/>
        <v>2</v>
      </c>
      <c r="AR58" s="150">
        <f t="shared" si="72"/>
        <v>11911.9</v>
      </c>
      <c r="AS58" s="53" t="str">
        <f t="shared" si="73"/>
        <v>OK</v>
      </c>
      <c r="AT58" s="155" t="str">
        <f t="shared" si="74"/>
        <v>NO</v>
      </c>
      <c r="AU58" s="144">
        <v>10.125</v>
      </c>
      <c r="AV58" s="143" t="s">
        <v>730</v>
      </c>
      <c r="AW58" s="163">
        <f t="shared" si="75"/>
        <v>0.50624999999999998</v>
      </c>
      <c r="AX58" s="144">
        <v>0.55000000000000004</v>
      </c>
      <c r="AY58" s="144">
        <v>0.3</v>
      </c>
      <c r="AZ58" s="350"/>
      <c r="BA58" s="153">
        <f t="shared" si="76"/>
        <v>444.21333376524376</v>
      </c>
      <c r="BB58" s="153">
        <f t="shared" si="77"/>
        <v>436.76378151674874</v>
      </c>
      <c r="BC58" s="150">
        <f t="shared" si="78"/>
        <v>1.8E-3</v>
      </c>
      <c r="BD58" s="148">
        <f t="shared" si="79"/>
        <v>38.744999999999997</v>
      </c>
      <c r="BE58" s="144">
        <v>5</v>
      </c>
      <c r="BF58" s="144">
        <v>17</v>
      </c>
      <c r="BG58" s="155">
        <f t="shared" si="80"/>
        <v>33.83</v>
      </c>
      <c r="BH58" s="53" t="str">
        <f t="shared" si="81"/>
        <v>N/C</v>
      </c>
      <c r="BI58" s="148">
        <f t="shared" si="82"/>
        <v>0.23</v>
      </c>
      <c r="BJ58" s="155" t="str">
        <f t="shared" si="83"/>
        <v>17#5@20</v>
      </c>
      <c r="BK58" s="197">
        <f t="shared" si="84"/>
        <v>1.1452852497783033</v>
      </c>
      <c r="BL58" s="350"/>
      <c r="BM58" s="153">
        <f t="shared" si="85"/>
        <v>1</v>
      </c>
      <c r="BN58" s="157">
        <v>0.85</v>
      </c>
      <c r="BO58" s="153">
        <f t="shared" si="86"/>
        <v>1.2686567164179103</v>
      </c>
      <c r="BP58" s="153">
        <f t="shared" si="87"/>
        <v>12445.5223880597</v>
      </c>
      <c r="BQ58" s="155" t="s">
        <v>699</v>
      </c>
      <c r="BR58" s="155">
        <f t="shared" si="88"/>
        <v>0.75</v>
      </c>
      <c r="BS58" s="153">
        <f t="shared" si="89"/>
        <v>0</v>
      </c>
      <c r="BT58" s="153">
        <f t="shared" si="90"/>
        <v>9.2317499999999999</v>
      </c>
      <c r="BU58" s="144">
        <v>6</v>
      </c>
      <c r="BV58" s="155" t="s">
        <v>191</v>
      </c>
      <c r="BW58" s="144">
        <v>6</v>
      </c>
      <c r="BX58" s="121"/>
      <c r="CI58" s="122"/>
      <c r="CJ58" s="350"/>
      <c r="CK58" s="153">
        <f t="shared" si="91"/>
        <v>28.4</v>
      </c>
      <c r="CL58" s="153">
        <f t="shared" si="92"/>
        <v>1073.5199999999998</v>
      </c>
      <c r="CM58" s="53" t="str">
        <f t="shared" si="93"/>
        <v>OK</v>
      </c>
      <c r="CU58" s="117"/>
    </row>
    <row r="59" spans="1:99" ht="15" customHeight="1" x14ac:dyDescent="0.25">
      <c r="A59" s="123"/>
      <c r="L59" s="126"/>
      <c r="M59" s="349">
        <f>M21</f>
        <v>0</v>
      </c>
      <c r="N59" s="147">
        <f t="shared" si="60"/>
        <v>1032.5757999999998</v>
      </c>
      <c r="O59" s="147">
        <f t="shared" si="94"/>
        <v>1.5122</v>
      </c>
      <c r="P59" s="147">
        <f t="shared" si="61"/>
        <v>89.014200000000002</v>
      </c>
      <c r="Q59" s="143">
        <f t="shared" si="62"/>
        <v>40</v>
      </c>
      <c r="R59" s="163">
        <f t="shared" si="63"/>
        <v>3.1428571428571432</v>
      </c>
      <c r="S59" s="163">
        <f t="shared" si="95"/>
        <v>1</v>
      </c>
      <c r="T59" s="155">
        <f t="shared" si="102"/>
        <v>5</v>
      </c>
      <c r="U59" s="164">
        <v>2</v>
      </c>
      <c r="V59" s="165">
        <f t="shared" si="64"/>
        <v>3.9302083333333324E-3</v>
      </c>
      <c r="W59" s="144">
        <v>1.1000000000000001</v>
      </c>
      <c r="X59" s="144">
        <v>0.35</v>
      </c>
      <c r="Y59" s="349">
        <f>M59</f>
        <v>0</v>
      </c>
      <c r="Z59" s="150">
        <f t="shared" si="96"/>
        <v>69.307165885579138</v>
      </c>
      <c r="AA59" s="150">
        <f t="shared" si="97"/>
        <v>69.043873130105482</v>
      </c>
      <c r="AB59" s="151">
        <f t="shared" si="98"/>
        <v>53.808690819924252</v>
      </c>
      <c r="AC59" s="150">
        <f t="shared" si="99"/>
        <v>53.545398064450595</v>
      </c>
      <c r="AD59" s="152">
        <f t="shared" si="100"/>
        <v>0.50065909242419182</v>
      </c>
      <c r="AE59" s="361" t="str">
        <f t="shared" si="101"/>
        <v>Zapata a compresión</v>
      </c>
      <c r="AF59" s="361"/>
      <c r="AG59" s="148">
        <f t="shared" si="65"/>
        <v>2116.7803899999994</v>
      </c>
      <c r="AH59" s="150">
        <f t="shared" si="66"/>
        <v>23.780255172770179</v>
      </c>
      <c r="AI59" s="148">
        <f t="shared" si="67"/>
        <v>2116.7803899999994</v>
      </c>
      <c r="AJ59" s="150">
        <f t="shared" si="68"/>
        <v>1399.8018714455757</v>
      </c>
      <c r="AK59" s="204"/>
      <c r="AL59" s="204"/>
      <c r="AM59" s="204"/>
      <c r="AN59" s="349">
        <f>Y59</f>
        <v>0</v>
      </c>
      <c r="AO59" s="155">
        <f t="shared" si="69"/>
        <v>0.38500000000000001</v>
      </c>
      <c r="AP59" s="155">
        <f t="shared" si="70"/>
        <v>9.625</v>
      </c>
      <c r="AQ59" s="150">
        <f t="shared" si="71"/>
        <v>2</v>
      </c>
      <c r="AR59" s="150">
        <f t="shared" si="72"/>
        <v>11911.9</v>
      </c>
      <c r="AS59" s="53" t="str">
        <f t="shared" si="73"/>
        <v>OK</v>
      </c>
      <c r="AT59" s="155" t="str">
        <f t="shared" si="74"/>
        <v>NO</v>
      </c>
      <c r="AU59" s="144">
        <v>10.125</v>
      </c>
      <c r="AV59" s="143" t="s">
        <v>730</v>
      </c>
      <c r="AW59" s="163">
        <f t="shared" si="75"/>
        <v>0.50624999999999998</v>
      </c>
      <c r="AX59" s="144">
        <v>0.55000000000000004</v>
      </c>
      <c r="AY59" s="144">
        <v>0.3</v>
      </c>
      <c r="AZ59" s="349">
        <f>AN59</f>
        <v>0</v>
      </c>
      <c r="BA59" s="153">
        <f t="shared" si="76"/>
        <v>444.21333376524376</v>
      </c>
      <c r="BB59" s="153">
        <f t="shared" si="77"/>
        <v>436.76378151674874</v>
      </c>
      <c r="BC59" s="150">
        <f t="shared" si="78"/>
        <v>1.8E-3</v>
      </c>
      <c r="BD59" s="148">
        <f t="shared" si="79"/>
        <v>38.744999999999997</v>
      </c>
      <c r="BE59" s="144">
        <v>5</v>
      </c>
      <c r="BF59" s="144">
        <v>18</v>
      </c>
      <c r="BG59" s="155">
        <f t="shared" si="80"/>
        <v>35.82</v>
      </c>
      <c r="BH59" s="53" t="str">
        <f t="shared" si="81"/>
        <v>N/C</v>
      </c>
      <c r="BI59" s="148">
        <f t="shared" si="82"/>
        <v>0.22</v>
      </c>
      <c r="BJ59" s="155" t="str">
        <f t="shared" si="83"/>
        <v>18#5@20</v>
      </c>
      <c r="BK59" s="197">
        <f t="shared" si="84"/>
        <v>1.0816582914572863</v>
      </c>
      <c r="BL59" s="349">
        <f>AZ59</f>
        <v>0</v>
      </c>
      <c r="BM59" s="153">
        <f t="shared" si="85"/>
        <v>1</v>
      </c>
      <c r="BN59" s="157">
        <v>0.85</v>
      </c>
      <c r="BO59" s="153">
        <f t="shared" si="86"/>
        <v>1.2686567164179103</v>
      </c>
      <c r="BP59" s="153">
        <f t="shared" si="87"/>
        <v>12445.5223880597</v>
      </c>
      <c r="BQ59" s="155" t="s">
        <v>699</v>
      </c>
      <c r="BR59" s="155">
        <f t="shared" si="88"/>
        <v>0.75</v>
      </c>
      <c r="BS59" s="153">
        <f t="shared" si="89"/>
        <v>0</v>
      </c>
      <c r="BT59" s="153">
        <f t="shared" si="90"/>
        <v>9.2317499999999999</v>
      </c>
      <c r="BU59" s="144">
        <v>6</v>
      </c>
      <c r="BV59" s="155" t="s">
        <v>191</v>
      </c>
      <c r="BW59" s="144">
        <v>6</v>
      </c>
      <c r="BX59" s="121"/>
      <c r="CI59" s="122"/>
      <c r="CJ59" s="349">
        <f>CJ21</f>
        <v>0</v>
      </c>
      <c r="CK59" s="153">
        <f t="shared" si="91"/>
        <v>28.4</v>
      </c>
      <c r="CL59" s="153">
        <f t="shared" si="92"/>
        <v>1073.5199999999998</v>
      </c>
      <c r="CM59" s="53" t="str">
        <f t="shared" si="93"/>
        <v>OK</v>
      </c>
      <c r="CU59" s="117"/>
    </row>
    <row r="60" spans="1:99" ht="15" customHeight="1" x14ac:dyDescent="0.25">
      <c r="A60" s="123"/>
      <c r="B60" s="124"/>
      <c r="C60" s="188"/>
      <c r="D60" s="124"/>
      <c r="E60" s="124"/>
      <c r="F60" s="124"/>
      <c r="G60" s="124"/>
      <c r="H60" s="125"/>
      <c r="I60" s="124"/>
      <c r="J60" s="124"/>
      <c r="K60" s="124"/>
      <c r="L60" s="126"/>
      <c r="M60" s="350"/>
      <c r="N60" s="147">
        <f t="shared" si="60"/>
        <v>1032.5757999999998</v>
      </c>
      <c r="O60" s="147">
        <f t="shared" si="94"/>
        <v>1.5122</v>
      </c>
      <c r="P60" s="147">
        <f t="shared" si="61"/>
        <v>89.014200000000002</v>
      </c>
      <c r="Q60" s="143">
        <f t="shared" si="62"/>
        <v>40</v>
      </c>
      <c r="R60" s="163">
        <f t="shared" si="63"/>
        <v>3.1428571428571432</v>
      </c>
      <c r="S60" s="163">
        <f t="shared" si="95"/>
        <v>1</v>
      </c>
      <c r="T60" s="155">
        <f t="shared" si="102"/>
        <v>5</v>
      </c>
      <c r="U60" s="164">
        <v>2</v>
      </c>
      <c r="V60" s="165">
        <f t="shared" si="64"/>
        <v>3.9302083333333324E-3</v>
      </c>
      <c r="W60" s="144">
        <v>1.1000000000000001</v>
      </c>
      <c r="X60" s="144">
        <v>0.35</v>
      </c>
      <c r="Y60" s="350"/>
      <c r="Z60" s="150">
        <f t="shared" si="96"/>
        <v>69.307165885579138</v>
      </c>
      <c r="AA60" s="150">
        <f t="shared" si="97"/>
        <v>69.043873130105482</v>
      </c>
      <c r="AB60" s="151">
        <f t="shared" si="98"/>
        <v>53.808690819924252</v>
      </c>
      <c r="AC60" s="150">
        <f t="shared" si="99"/>
        <v>53.545398064450595</v>
      </c>
      <c r="AD60" s="152">
        <f t="shared" si="100"/>
        <v>0.50065909242419182</v>
      </c>
      <c r="AE60" s="361" t="str">
        <f t="shared" si="101"/>
        <v>Zapata a compresión</v>
      </c>
      <c r="AF60" s="361"/>
      <c r="AG60" s="148">
        <f t="shared" si="65"/>
        <v>2116.7803899999994</v>
      </c>
      <c r="AH60" s="150">
        <f t="shared" si="66"/>
        <v>23.780255172770179</v>
      </c>
      <c r="AI60" s="148">
        <f t="shared" si="67"/>
        <v>2116.7803899999994</v>
      </c>
      <c r="AJ60" s="150">
        <f t="shared" si="68"/>
        <v>1399.8018714455757</v>
      </c>
      <c r="AK60" s="205"/>
      <c r="AL60" s="205"/>
      <c r="AM60" s="205"/>
      <c r="AN60" s="350"/>
      <c r="AO60" s="155">
        <f t="shared" si="69"/>
        <v>0.38500000000000001</v>
      </c>
      <c r="AP60" s="155">
        <f t="shared" si="70"/>
        <v>9.625</v>
      </c>
      <c r="AQ60" s="150">
        <f t="shared" si="71"/>
        <v>2</v>
      </c>
      <c r="AR60" s="150">
        <f t="shared" si="72"/>
        <v>11911.9</v>
      </c>
      <c r="AS60" s="53" t="str">
        <f t="shared" si="73"/>
        <v>OK</v>
      </c>
      <c r="AT60" s="155" t="str">
        <f t="shared" si="74"/>
        <v>NO</v>
      </c>
      <c r="AU60" s="144">
        <v>10.125</v>
      </c>
      <c r="AV60" s="143" t="s">
        <v>730</v>
      </c>
      <c r="AW60" s="163">
        <f t="shared" si="75"/>
        <v>0.50624999999999998</v>
      </c>
      <c r="AX60" s="144">
        <v>0.55000000000000004</v>
      </c>
      <c r="AY60" s="144">
        <v>0.3</v>
      </c>
      <c r="AZ60" s="350"/>
      <c r="BA60" s="153">
        <f t="shared" si="76"/>
        <v>444.21333376524376</v>
      </c>
      <c r="BB60" s="153">
        <f t="shared" si="77"/>
        <v>436.76378151674874</v>
      </c>
      <c r="BC60" s="150">
        <f t="shared" si="78"/>
        <v>1.8E-3</v>
      </c>
      <c r="BD60" s="148">
        <f t="shared" si="79"/>
        <v>38.744999999999997</v>
      </c>
      <c r="BE60" s="144">
        <v>5</v>
      </c>
      <c r="BF60" s="144">
        <v>18</v>
      </c>
      <c r="BG60" s="155">
        <f t="shared" si="80"/>
        <v>35.82</v>
      </c>
      <c r="BH60" s="53" t="str">
        <f t="shared" si="81"/>
        <v>N/C</v>
      </c>
      <c r="BI60" s="148">
        <f t="shared" si="82"/>
        <v>0.22</v>
      </c>
      <c r="BJ60" s="155" t="str">
        <f t="shared" si="83"/>
        <v>18#5@20</v>
      </c>
      <c r="BK60" s="197">
        <f t="shared" si="84"/>
        <v>1.0816582914572863</v>
      </c>
      <c r="BL60" s="350"/>
      <c r="BM60" s="153">
        <f t="shared" si="85"/>
        <v>1</v>
      </c>
      <c r="BN60" s="157">
        <v>0.85</v>
      </c>
      <c r="BO60" s="153">
        <f t="shared" si="86"/>
        <v>1.2686567164179103</v>
      </c>
      <c r="BP60" s="153">
        <f t="shared" si="87"/>
        <v>12445.5223880597</v>
      </c>
      <c r="BQ60" s="155" t="s">
        <v>699</v>
      </c>
      <c r="BR60" s="155">
        <f t="shared" si="88"/>
        <v>0.75</v>
      </c>
      <c r="BS60" s="153">
        <f t="shared" si="89"/>
        <v>0</v>
      </c>
      <c r="BT60" s="153">
        <f t="shared" si="90"/>
        <v>9.2317499999999999</v>
      </c>
      <c r="BU60" s="144">
        <v>6</v>
      </c>
      <c r="BV60" s="155" t="s">
        <v>191</v>
      </c>
      <c r="BW60" s="144">
        <v>6</v>
      </c>
      <c r="BX60" s="121"/>
      <c r="CI60" s="122"/>
      <c r="CJ60" s="350"/>
      <c r="CK60" s="153">
        <f t="shared" si="91"/>
        <v>28.4</v>
      </c>
      <c r="CL60" s="153">
        <f t="shared" si="92"/>
        <v>1073.5199999999998</v>
      </c>
      <c r="CM60" s="53" t="str">
        <f t="shared" si="93"/>
        <v>OK</v>
      </c>
      <c r="CU60" s="117"/>
    </row>
    <row r="61" spans="1:99" ht="15" customHeight="1" x14ac:dyDescent="0.25">
      <c r="A61" s="123"/>
      <c r="B61" s="124"/>
      <c r="C61" s="188"/>
      <c r="D61" s="124"/>
      <c r="E61" s="124"/>
      <c r="F61" s="124"/>
      <c r="G61" s="124"/>
      <c r="H61" s="125"/>
      <c r="I61" s="124"/>
      <c r="J61" s="124"/>
      <c r="K61" s="124"/>
      <c r="L61" s="126"/>
      <c r="M61" s="349">
        <f>M23</f>
        <v>0</v>
      </c>
      <c r="N61" s="147">
        <f t="shared" si="60"/>
        <v>1067.8246999999999</v>
      </c>
      <c r="O61" s="147">
        <f t="shared" si="94"/>
        <v>21.310199999999998</v>
      </c>
      <c r="P61" s="147">
        <f t="shared" si="61"/>
        <v>739.46190000000001</v>
      </c>
      <c r="Q61" s="143">
        <f t="shared" si="62"/>
        <v>40</v>
      </c>
      <c r="R61" s="163">
        <f t="shared" si="63"/>
        <v>3.1428571428571432</v>
      </c>
      <c r="S61" s="163">
        <f t="shared" si="95"/>
        <v>1</v>
      </c>
      <c r="T61" s="155">
        <f t="shared" si="102"/>
        <v>5</v>
      </c>
      <c r="U61" s="164">
        <v>2</v>
      </c>
      <c r="V61" s="165">
        <f t="shared" si="64"/>
        <v>3.9302083333333324E-3</v>
      </c>
      <c r="W61" s="144">
        <v>1.1000000000000001</v>
      </c>
      <c r="X61" s="144">
        <v>0.35</v>
      </c>
      <c r="Y61" s="349">
        <f>M61</f>
        <v>0</v>
      </c>
      <c r="Z61" s="150">
        <f>N61/(AA23*AC23)*(1+6*AD23/AC23+6*AE23/AA23)</f>
        <v>129.75310674540418</v>
      </c>
      <c r="AA61" s="150">
        <f t="shared" si="97"/>
        <v>126.04273690167005</v>
      </c>
      <c r="AB61" s="151">
        <f t="shared" si="98"/>
        <v>1.0036283571045002</v>
      </c>
      <c r="AC61" s="150">
        <f t="shared" si="99"/>
        <v>-2.7067414866296309</v>
      </c>
      <c r="AD61" s="152">
        <f>MAX(Z61:AC61)/$T$6</f>
        <v>0.93730672481429667</v>
      </c>
      <c r="AE61" s="361" t="str">
        <f t="shared" si="101"/>
        <v>Hay tensiones en la zapata</v>
      </c>
      <c r="AF61" s="361"/>
      <c r="AG61" s="148">
        <f t="shared" si="65"/>
        <v>2189.0406349999994</v>
      </c>
      <c r="AH61" s="150">
        <f t="shared" si="66"/>
        <v>2.9603156497988596</v>
      </c>
      <c r="AI61" s="148">
        <f t="shared" si="67"/>
        <v>3790.7776849999996</v>
      </c>
      <c r="AJ61" s="150">
        <f t="shared" si="68"/>
        <v>177.8855986804441</v>
      </c>
      <c r="AK61" s="204"/>
      <c r="AL61" s="204"/>
      <c r="AM61" s="204"/>
      <c r="AN61" s="349">
        <f>Y61</f>
        <v>0</v>
      </c>
      <c r="AO61" s="155">
        <f t="shared" si="69"/>
        <v>0.38500000000000001</v>
      </c>
      <c r="AP61" s="155">
        <f t="shared" si="70"/>
        <v>9.625</v>
      </c>
      <c r="AQ61" s="150">
        <f t="shared" si="71"/>
        <v>2</v>
      </c>
      <c r="AR61" s="150">
        <f t="shared" si="72"/>
        <v>11911.9</v>
      </c>
      <c r="AS61" s="53" t="str">
        <f t="shared" si="73"/>
        <v>OK</v>
      </c>
      <c r="AT61" s="155" t="str">
        <f t="shared" si="74"/>
        <v>NO</v>
      </c>
      <c r="AU61" s="144">
        <v>10.125</v>
      </c>
      <c r="AV61" s="143" t="s">
        <v>730</v>
      </c>
      <c r="AW61" s="163">
        <f t="shared" si="75"/>
        <v>0.50624999999999998</v>
      </c>
      <c r="AX61" s="144">
        <v>0.55000000000000004</v>
      </c>
      <c r="AY61" s="144">
        <v>0.3</v>
      </c>
      <c r="AZ61" s="349">
        <f>AN61</f>
        <v>0</v>
      </c>
      <c r="BA61" s="153">
        <f t="shared" si="76"/>
        <v>479.12376230945114</v>
      </c>
      <c r="BB61" s="153">
        <f t="shared" si="77"/>
        <v>471.08875473647709</v>
      </c>
      <c r="BC61" s="150">
        <f t="shared" si="78"/>
        <v>1.8E-3</v>
      </c>
      <c r="BD61" s="148">
        <f t="shared" si="79"/>
        <v>38.744999999999997</v>
      </c>
      <c r="BE61" s="144">
        <v>5</v>
      </c>
      <c r="BF61" s="144">
        <v>17</v>
      </c>
      <c r="BG61" s="155">
        <f t="shared" si="80"/>
        <v>33.83</v>
      </c>
      <c r="BH61" s="53" t="str">
        <f t="shared" si="81"/>
        <v>N/C</v>
      </c>
      <c r="BI61" s="148">
        <f t="shared" si="82"/>
        <v>0.23</v>
      </c>
      <c r="BJ61" s="155" t="str">
        <f t="shared" si="83"/>
        <v>17#5@20</v>
      </c>
      <c r="BK61" s="197">
        <f t="shared" si="84"/>
        <v>1.1452852497783033</v>
      </c>
      <c r="BL61" s="349">
        <f>AZ61</f>
        <v>0</v>
      </c>
      <c r="BM61" s="153">
        <f t="shared" si="85"/>
        <v>1</v>
      </c>
      <c r="BN61" s="157">
        <v>0.85</v>
      </c>
      <c r="BO61" s="153">
        <f t="shared" si="86"/>
        <v>1.2686567164179103</v>
      </c>
      <c r="BP61" s="153">
        <f t="shared" si="87"/>
        <v>12445.5223880597</v>
      </c>
      <c r="BQ61" s="155" t="s">
        <v>699</v>
      </c>
      <c r="BR61" s="155">
        <f t="shared" si="88"/>
        <v>0.75</v>
      </c>
      <c r="BS61" s="153">
        <f t="shared" si="89"/>
        <v>0</v>
      </c>
      <c r="BT61" s="153">
        <f t="shared" si="90"/>
        <v>9.2317499999999999</v>
      </c>
      <c r="BU61" s="144">
        <v>6</v>
      </c>
      <c r="BV61" s="155" t="s">
        <v>191</v>
      </c>
      <c r="BW61" s="144">
        <v>6</v>
      </c>
      <c r="BX61" s="121"/>
      <c r="CI61" s="122"/>
      <c r="CJ61" s="349">
        <f>CJ23</f>
        <v>0</v>
      </c>
      <c r="CK61" s="153">
        <f t="shared" si="91"/>
        <v>28.4</v>
      </c>
      <c r="CL61" s="153">
        <f t="shared" si="92"/>
        <v>1073.5199999999998</v>
      </c>
      <c r="CM61" s="53" t="str">
        <f t="shared" si="93"/>
        <v>OK</v>
      </c>
      <c r="CU61" s="117"/>
    </row>
    <row r="62" spans="1:99" ht="15" customHeight="1" x14ac:dyDescent="0.25">
      <c r="A62" s="123"/>
      <c r="B62" s="124"/>
      <c r="C62" s="188"/>
      <c r="D62" s="124"/>
      <c r="E62" s="124"/>
      <c r="F62" s="124"/>
      <c r="G62" s="124"/>
      <c r="H62" s="125"/>
      <c r="I62" s="124"/>
      <c r="J62" s="124"/>
      <c r="K62" s="124"/>
      <c r="L62" s="126"/>
      <c r="M62" s="350"/>
      <c r="N62" s="147">
        <f t="shared" si="60"/>
        <v>997.32679999999982</v>
      </c>
      <c r="O62" s="147">
        <f t="shared" si="94"/>
        <v>-18.285800000000002</v>
      </c>
      <c r="P62" s="147">
        <f t="shared" si="61"/>
        <v>-561.43329999999992</v>
      </c>
      <c r="Q62" s="143">
        <f t="shared" si="62"/>
        <v>40</v>
      </c>
      <c r="R62" s="163">
        <f t="shared" si="63"/>
        <v>3.1428571428571432</v>
      </c>
      <c r="S62" s="163">
        <f t="shared" si="95"/>
        <v>1</v>
      </c>
      <c r="T62" s="155">
        <f t="shared" si="102"/>
        <v>5</v>
      </c>
      <c r="U62" s="164">
        <v>2</v>
      </c>
      <c r="V62" s="165">
        <f t="shared" si="64"/>
        <v>3.9302083333333324E-3</v>
      </c>
      <c r="W62" s="144">
        <v>1.1000000000000001</v>
      </c>
      <c r="X62" s="144">
        <v>0.35</v>
      </c>
      <c r="Y62" s="350"/>
      <c r="Z62" s="150">
        <f t="shared" si="96"/>
        <v>8.8612364881531001</v>
      </c>
      <c r="AA62" s="150">
        <f t="shared" si="97"/>
        <v>12.045020820939916</v>
      </c>
      <c r="AB62" s="151">
        <f t="shared" si="98"/>
        <v>106.61372992266506</v>
      </c>
      <c r="AC62" s="150">
        <f t="shared" si="99"/>
        <v>109.79751425545187</v>
      </c>
      <c r="AD62" s="152">
        <f t="shared" si="100"/>
        <v>0.79315209524394548</v>
      </c>
      <c r="AE62" s="361" t="str">
        <f t="shared" si="101"/>
        <v>Zapata a compresión</v>
      </c>
      <c r="AF62" s="361"/>
      <c r="AG62" s="148">
        <f t="shared" si="65"/>
        <v>2044.5199399999995</v>
      </c>
      <c r="AH62" s="150">
        <f t="shared" si="66"/>
        <v>-3.6416078989258382</v>
      </c>
      <c r="AI62" s="148">
        <f t="shared" si="67"/>
        <v>3540.5101399999994</v>
      </c>
      <c r="AJ62" s="150">
        <f t="shared" si="68"/>
        <v>-193.62074068402799</v>
      </c>
      <c r="AK62" s="205"/>
      <c r="AL62" s="205"/>
      <c r="AM62" s="205"/>
      <c r="AN62" s="350"/>
      <c r="AO62" s="155">
        <f t="shared" si="69"/>
        <v>0.38500000000000001</v>
      </c>
      <c r="AP62" s="155">
        <f t="shared" si="70"/>
        <v>9.625</v>
      </c>
      <c r="AQ62" s="150">
        <f t="shared" si="71"/>
        <v>2</v>
      </c>
      <c r="AR62" s="150">
        <f t="shared" si="72"/>
        <v>11911.9</v>
      </c>
      <c r="AS62" s="53" t="str">
        <f t="shared" si="73"/>
        <v>OK</v>
      </c>
      <c r="AT62" s="155" t="str">
        <f t="shared" si="74"/>
        <v>NO</v>
      </c>
      <c r="AU62" s="144">
        <v>10.125</v>
      </c>
      <c r="AV62" s="143" t="s">
        <v>730</v>
      </c>
      <c r="AW62" s="163">
        <f t="shared" si="75"/>
        <v>0.50624999999999998</v>
      </c>
      <c r="AX62" s="144">
        <v>0.55000000000000004</v>
      </c>
      <c r="AY62" s="144">
        <v>0.3</v>
      </c>
      <c r="AZ62" s="350"/>
      <c r="BA62" s="153">
        <f t="shared" si="76"/>
        <v>409.30286234756085</v>
      </c>
      <c r="BB62" s="153">
        <f t="shared" si="77"/>
        <v>402.43876614254214</v>
      </c>
      <c r="BC62" s="150">
        <f t="shared" si="78"/>
        <v>1.8E-3</v>
      </c>
      <c r="BD62" s="148">
        <f t="shared" si="79"/>
        <v>38.744999999999997</v>
      </c>
      <c r="BE62" s="144">
        <v>5</v>
      </c>
      <c r="BF62" s="144">
        <v>17</v>
      </c>
      <c r="BG62" s="155">
        <f t="shared" si="80"/>
        <v>33.83</v>
      </c>
      <c r="BH62" s="53" t="str">
        <f t="shared" si="81"/>
        <v>N/C</v>
      </c>
      <c r="BI62" s="148">
        <f t="shared" si="82"/>
        <v>0.23</v>
      </c>
      <c r="BJ62" s="155" t="str">
        <f t="shared" si="83"/>
        <v>17#5@20</v>
      </c>
      <c r="BK62" s="197">
        <f t="shared" si="84"/>
        <v>1.1452852497783033</v>
      </c>
      <c r="BL62" s="350"/>
      <c r="BM62" s="153">
        <f t="shared" si="85"/>
        <v>1</v>
      </c>
      <c r="BN62" s="157">
        <v>0.85</v>
      </c>
      <c r="BO62" s="153">
        <f t="shared" si="86"/>
        <v>1.2686567164179103</v>
      </c>
      <c r="BP62" s="153">
        <f t="shared" si="87"/>
        <v>12445.5223880597</v>
      </c>
      <c r="BQ62" s="155" t="s">
        <v>699</v>
      </c>
      <c r="BR62" s="155">
        <f t="shared" si="88"/>
        <v>0.75</v>
      </c>
      <c r="BS62" s="153">
        <f t="shared" si="89"/>
        <v>0</v>
      </c>
      <c r="BT62" s="153">
        <f t="shared" si="90"/>
        <v>9.2317499999999999</v>
      </c>
      <c r="BU62" s="144">
        <v>6</v>
      </c>
      <c r="BV62" s="155" t="s">
        <v>191</v>
      </c>
      <c r="BW62" s="144">
        <v>6</v>
      </c>
      <c r="BX62" s="121"/>
      <c r="CI62" s="122"/>
      <c r="CJ62" s="350"/>
      <c r="CK62" s="153">
        <f t="shared" si="91"/>
        <v>28.4</v>
      </c>
      <c r="CL62" s="153">
        <f t="shared" si="92"/>
        <v>1073.5199999999998</v>
      </c>
      <c r="CM62" s="53" t="str">
        <f t="shared" si="93"/>
        <v>OK</v>
      </c>
      <c r="CU62" s="117"/>
    </row>
    <row r="63" spans="1:99" ht="15" customHeight="1" x14ac:dyDescent="0.25">
      <c r="A63" s="123"/>
      <c r="B63" s="124"/>
      <c r="C63" s="188"/>
      <c r="D63" s="124"/>
      <c r="E63" s="124"/>
      <c r="F63" s="124"/>
      <c r="G63" s="124"/>
      <c r="H63" s="125"/>
      <c r="I63" s="124"/>
      <c r="J63" s="124"/>
      <c r="K63" s="124"/>
      <c r="L63" s="126"/>
      <c r="M63" s="349">
        <f>M25</f>
        <v>0</v>
      </c>
      <c r="N63" s="147">
        <f t="shared" si="60"/>
        <v>1067.8246999999999</v>
      </c>
      <c r="O63" s="147">
        <f t="shared" si="94"/>
        <v>21.310199999999998</v>
      </c>
      <c r="P63" s="147">
        <f t="shared" si="61"/>
        <v>739.46190000000001</v>
      </c>
      <c r="Q63" s="143">
        <f t="shared" si="62"/>
        <v>40</v>
      </c>
      <c r="R63" s="163">
        <f t="shared" si="63"/>
        <v>3.1428571428571432</v>
      </c>
      <c r="S63" s="163">
        <f t="shared" si="95"/>
        <v>1</v>
      </c>
      <c r="T63" s="155">
        <f t="shared" si="102"/>
        <v>5</v>
      </c>
      <c r="U63" s="164">
        <v>2</v>
      </c>
      <c r="V63" s="165">
        <f t="shared" si="64"/>
        <v>3.9302083333333324E-3</v>
      </c>
      <c r="W63" s="144">
        <v>1.1000000000000001</v>
      </c>
      <c r="X63" s="144">
        <v>0.35</v>
      </c>
      <c r="Y63" s="349">
        <f>M63</f>
        <v>0</v>
      </c>
      <c r="Z63" s="150">
        <f t="shared" si="96"/>
        <v>129.75310674540418</v>
      </c>
      <c r="AA63" s="150">
        <f t="shared" si="97"/>
        <v>126.04273690167005</v>
      </c>
      <c r="AB63" s="151">
        <f t="shared" si="98"/>
        <v>1.0036283571045002</v>
      </c>
      <c r="AC63" s="150">
        <f t="shared" si="99"/>
        <v>-2.7067414866296309</v>
      </c>
      <c r="AD63" s="152">
        <f t="shared" si="100"/>
        <v>0.93730672481429667</v>
      </c>
      <c r="AE63" s="361" t="str">
        <f t="shared" si="101"/>
        <v>Hay tensiones en la zapata</v>
      </c>
      <c r="AF63" s="361"/>
      <c r="AG63" s="148">
        <f t="shared" si="65"/>
        <v>2189.0406349999994</v>
      </c>
      <c r="AH63" s="150">
        <f t="shared" si="66"/>
        <v>2.9603156497988596</v>
      </c>
      <c r="AI63" s="148">
        <f t="shared" si="67"/>
        <v>3790.7776849999996</v>
      </c>
      <c r="AJ63" s="150">
        <f t="shared" si="68"/>
        <v>177.8855986804441</v>
      </c>
      <c r="AK63" s="204"/>
      <c r="AL63" s="204"/>
      <c r="AM63" s="204"/>
      <c r="AN63" s="349">
        <f>Y63</f>
        <v>0</v>
      </c>
      <c r="AO63" s="155">
        <f t="shared" si="69"/>
        <v>0.38500000000000001</v>
      </c>
      <c r="AP63" s="155">
        <f t="shared" si="70"/>
        <v>9.625</v>
      </c>
      <c r="AQ63" s="150">
        <f t="shared" si="71"/>
        <v>2</v>
      </c>
      <c r="AR63" s="150">
        <f t="shared" si="72"/>
        <v>11911.9</v>
      </c>
      <c r="AS63" s="53" t="str">
        <f t="shared" si="73"/>
        <v>OK</v>
      </c>
      <c r="AT63" s="155" t="str">
        <f t="shared" si="74"/>
        <v>NO</v>
      </c>
      <c r="AU63" s="144">
        <v>10.125</v>
      </c>
      <c r="AV63" s="143" t="s">
        <v>730</v>
      </c>
      <c r="AW63" s="163">
        <f t="shared" si="75"/>
        <v>0.50624999999999998</v>
      </c>
      <c r="AX63" s="144">
        <v>0.55000000000000004</v>
      </c>
      <c r="AY63" s="144">
        <v>0.3</v>
      </c>
      <c r="AZ63" s="349">
        <f>AN63</f>
        <v>0</v>
      </c>
      <c r="BA63" s="153">
        <f t="shared" si="76"/>
        <v>479.12376230945114</v>
      </c>
      <c r="BB63" s="153">
        <f t="shared" si="77"/>
        <v>471.08875473647709</v>
      </c>
      <c r="BC63" s="150">
        <f t="shared" si="78"/>
        <v>1.8E-3</v>
      </c>
      <c r="BD63" s="148">
        <f t="shared" si="79"/>
        <v>38.744999999999997</v>
      </c>
      <c r="BE63" s="144">
        <v>5</v>
      </c>
      <c r="BF63" s="144">
        <v>17</v>
      </c>
      <c r="BG63" s="155">
        <f t="shared" si="80"/>
        <v>33.83</v>
      </c>
      <c r="BH63" s="53" t="str">
        <f t="shared" si="81"/>
        <v>N/C</v>
      </c>
      <c r="BI63" s="148">
        <f t="shared" si="82"/>
        <v>0.23</v>
      </c>
      <c r="BJ63" s="155" t="str">
        <f t="shared" si="83"/>
        <v>17#5@20</v>
      </c>
      <c r="BK63" s="197">
        <f t="shared" si="84"/>
        <v>1.1452852497783033</v>
      </c>
      <c r="BL63" s="349">
        <f>AZ63</f>
        <v>0</v>
      </c>
      <c r="BM63" s="153">
        <f t="shared" si="85"/>
        <v>1</v>
      </c>
      <c r="BN63" s="157">
        <v>0.85</v>
      </c>
      <c r="BO63" s="153">
        <f t="shared" si="86"/>
        <v>1.2686567164179103</v>
      </c>
      <c r="BP63" s="153">
        <f t="shared" si="87"/>
        <v>12445.5223880597</v>
      </c>
      <c r="BQ63" s="155" t="s">
        <v>699</v>
      </c>
      <c r="BR63" s="155">
        <f t="shared" si="88"/>
        <v>0.75</v>
      </c>
      <c r="BS63" s="153">
        <f t="shared" si="89"/>
        <v>0</v>
      </c>
      <c r="BT63" s="153">
        <f t="shared" si="90"/>
        <v>9.2317499999999999</v>
      </c>
      <c r="BU63" s="144">
        <v>6</v>
      </c>
      <c r="BV63" s="155" t="s">
        <v>191</v>
      </c>
      <c r="BW63" s="144">
        <v>6</v>
      </c>
      <c r="BX63" s="121"/>
      <c r="CI63" s="122"/>
      <c r="CJ63" s="349">
        <f>CJ25</f>
        <v>0</v>
      </c>
      <c r="CK63" s="153">
        <f t="shared" si="91"/>
        <v>28.4</v>
      </c>
      <c r="CL63" s="153">
        <f t="shared" si="92"/>
        <v>1073.5199999999998</v>
      </c>
      <c r="CM63" s="53" t="str">
        <f t="shared" si="93"/>
        <v>OK</v>
      </c>
      <c r="CU63" s="117"/>
    </row>
    <row r="64" spans="1:99" ht="15" customHeight="1" x14ac:dyDescent="0.25">
      <c r="A64" s="123"/>
      <c r="B64" s="124"/>
      <c r="C64" s="188"/>
      <c r="D64" s="124"/>
      <c r="E64" s="124"/>
      <c r="F64" s="124"/>
      <c r="G64" s="124"/>
      <c r="H64" s="125"/>
      <c r="I64" s="124"/>
      <c r="J64" s="124"/>
      <c r="K64" s="124"/>
      <c r="L64" s="126"/>
      <c r="M64" s="350"/>
      <c r="N64" s="147">
        <f t="shared" si="60"/>
        <v>997.32679999999982</v>
      </c>
      <c r="O64" s="147">
        <f t="shared" si="94"/>
        <v>-18.285800000000002</v>
      </c>
      <c r="P64" s="147">
        <f t="shared" si="61"/>
        <v>-561.43329999999992</v>
      </c>
      <c r="Q64" s="143">
        <f t="shared" si="62"/>
        <v>40</v>
      </c>
      <c r="R64" s="163">
        <f t="shared" si="63"/>
        <v>3.1428571428571432</v>
      </c>
      <c r="S64" s="163">
        <f t="shared" si="95"/>
        <v>1</v>
      </c>
      <c r="T64" s="155">
        <f t="shared" si="102"/>
        <v>5</v>
      </c>
      <c r="U64" s="164">
        <v>2</v>
      </c>
      <c r="V64" s="165">
        <f t="shared" si="64"/>
        <v>3.9302083333333324E-3</v>
      </c>
      <c r="W64" s="144">
        <v>1.1000000000000001</v>
      </c>
      <c r="X64" s="144">
        <v>0.35</v>
      </c>
      <c r="Y64" s="350"/>
      <c r="Z64" s="150">
        <f t="shared" si="96"/>
        <v>8.8612364881531001</v>
      </c>
      <c r="AA64" s="150">
        <f t="shared" si="97"/>
        <v>12.045020820939916</v>
      </c>
      <c r="AB64" s="151">
        <f t="shared" si="98"/>
        <v>106.61372992266506</v>
      </c>
      <c r="AC64" s="150">
        <f t="shared" si="99"/>
        <v>109.79751425545187</v>
      </c>
      <c r="AD64" s="152">
        <f t="shared" si="100"/>
        <v>0.79315209524394548</v>
      </c>
      <c r="AE64" s="361" t="str">
        <f t="shared" si="101"/>
        <v>Zapata a compresión</v>
      </c>
      <c r="AF64" s="361"/>
      <c r="AG64" s="148">
        <f t="shared" si="65"/>
        <v>2044.5199399999995</v>
      </c>
      <c r="AH64" s="150">
        <f t="shared" si="66"/>
        <v>-3.6416078989258382</v>
      </c>
      <c r="AI64" s="148">
        <f t="shared" si="67"/>
        <v>3540.5101399999994</v>
      </c>
      <c r="AJ64" s="150">
        <f t="shared" si="68"/>
        <v>-193.62074068402799</v>
      </c>
      <c r="AK64" s="205"/>
      <c r="AL64" s="205"/>
      <c r="AM64" s="205"/>
      <c r="AN64" s="350"/>
      <c r="AO64" s="155">
        <f t="shared" si="69"/>
        <v>0.38500000000000001</v>
      </c>
      <c r="AP64" s="155">
        <f t="shared" si="70"/>
        <v>9.625</v>
      </c>
      <c r="AQ64" s="150">
        <f t="shared" si="71"/>
        <v>2</v>
      </c>
      <c r="AR64" s="150">
        <f t="shared" si="72"/>
        <v>11911.9</v>
      </c>
      <c r="AS64" s="53" t="str">
        <f t="shared" si="73"/>
        <v>OK</v>
      </c>
      <c r="AT64" s="155" t="str">
        <f t="shared" si="74"/>
        <v>NO</v>
      </c>
      <c r="AU64" s="144">
        <v>10.125</v>
      </c>
      <c r="AV64" s="143" t="s">
        <v>730</v>
      </c>
      <c r="AW64" s="163">
        <f t="shared" si="75"/>
        <v>0.50624999999999998</v>
      </c>
      <c r="AX64" s="144">
        <v>0.55000000000000004</v>
      </c>
      <c r="AY64" s="144">
        <v>0.3</v>
      </c>
      <c r="AZ64" s="350"/>
      <c r="BA64" s="153">
        <f t="shared" si="76"/>
        <v>409.30286234756085</v>
      </c>
      <c r="BB64" s="153">
        <f t="shared" si="77"/>
        <v>402.43876614254214</v>
      </c>
      <c r="BC64" s="150">
        <f t="shared" si="78"/>
        <v>1.8E-3</v>
      </c>
      <c r="BD64" s="148">
        <f t="shared" si="79"/>
        <v>38.744999999999997</v>
      </c>
      <c r="BE64" s="144">
        <v>5</v>
      </c>
      <c r="BF64" s="144">
        <v>17</v>
      </c>
      <c r="BG64" s="155">
        <f t="shared" si="80"/>
        <v>33.83</v>
      </c>
      <c r="BH64" s="53" t="str">
        <f t="shared" si="81"/>
        <v>N/C</v>
      </c>
      <c r="BI64" s="148">
        <f t="shared" si="82"/>
        <v>0.23</v>
      </c>
      <c r="BJ64" s="155" t="str">
        <f t="shared" si="83"/>
        <v>17#5@20</v>
      </c>
      <c r="BK64" s="197">
        <f t="shared" si="84"/>
        <v>1.1452852497783033</v>
      </c>
      <c r="BL64" s="350"/>
      <c r="BM64" s="153">
        <f t="shared" si="85"/>
        <v>1</v>
      </c>
      <c r="BN64" s="157">
        <v>0.85</v>
      </c>
      <c r="BO64" s="153">
        <f t="shared" si="86"/>
        <v>1.2686567164179103</v>
      </c>
      <c r="BP64" s="153">
        <f t="shared" si="87"/>
        <v>12445.5223880597</v>
      </c>
      <c r="BQ64" s="155" t="s">
        <v>699</v>
      </c>
      <c r="BR64" s="155">
        <f t="shared" si="88"/>
        <v>0.75</v>
      </c>
      <c r="BS64" s="153">
        <f t="shared" si="89"/>
        <v>0</v>
      </c>
      <c r="BT64" s="153">
        <f t="shared" si="90"/>
        <v>9.2317499999999999</v>
      </c>
      <c r="BU64" s="144">
        <v>6</v>
      </c>
      <c r="BV64" s="155" t="s">
        <v>191</v>
      </c>
      <c r="BW64" s="144">
        <v>6</v>
      </c>
      <c r="BX64" s="121"/>
      <c r="CI64" s="122"/>
      <c r="CJ64" s="350"/>
      <c r="CK64" s="153">
        <f t="shared" si="91"/>
        <v>28.4</v>
      </c>
      <c r="CL64" s="153">
        <f t="shared" si="92"/>
        <v>1073.5199999999998</v>
      </c>
      <c r="CM64" s="53" t="str">
        <f t="shared" si="93"/>
        <v>OK</v>
      </c>
      <c r="CU64" s="117"/>
    </row>
    <row r="65" spans="1:99" ht="15" customHeight="1" x14ac:dyDescent="0.25">
      <c r="A65" s="123"/>
      <c r="B65" s="124"/>
      <c r="C65" s="188"/>
      <c r="D65" s="124"/>
      <c r="E65" s="124"/>
      <c r="F65" s="124"/>
      <c r="G65" s="124"/>
      <c r="H65" s="125"/>
      <c r="I65" s="124"/>
      <c r="J65" s="124"/>
      <c r="K65" s="124"/>
      <c r="L65" s="126"/>
      <c r="M65" s="349">
        <f>M27</f>
        <v>0</v>
      </c>
      <c r="N65" s="147">
        <f t="shared" si="60"/>
        <v>1063.3010999999999</v>
      </c>
      <c r="O65" s="147">
        <f t="shared" si="94"/>
        <v>63.152900000000002</v>
      </c>
      <c r="P65" s="147">
        <f t="shared" si="61"/>
        <v>286.78499999999997</v>
      </c>
      <c r="Q65" s="143">
        <f t="shared" si="62"/>
        <v>40</v>
      </c>
      <c r="R65" s="163">
        <f t="shared" si="63"/>
        <v>3.1428571428571432</v>
      </c>
      <c r="S65" s="163">
        <f t="shared" si="95"/>
        <v>1</v>
      </c>
      <c r="T65" s="155">
        <f t="shared" si="102"/>
        <v>5</v>
      </c>
      <c r="U65" s="164">
        <v>2</v>
      </c>
      <c r="V65" s="165">
        <f t="shared" si="64"/>
        <v>3.9302083333333324E-3</v>
      </c>
      <c r="W65" s="144">
        <v>1.1000000000000001</v>
      </c>
      <c r="X65" s="144">
        <v>0.35</v>
      </c>
      <c r="Y65" s="349">
        <f>M65</f>
        <v>0</v>
      </c>
      <c r="Z65" s="150">
        <f t="shared" si="96"/>
        <v>93.71834288533249</v>
      </c>
      <c r="AA65" s="150">
        <f t="shared" si="97"/>
        <v>82.72264055948115</v>
      </c>
      <c r="AB65" s="151">
        <f t="shared" si="98"/>
        <v>43.785521248966205</v>
      </c>
      <c r="AC65" s="150">
        <f t="shared" si="99"/>
        <v>32.789818923114858</v>
      </c>
      <c r="AD65" s="152">
        <f t="shared" si="100"/>
        <v>0.67699984399784408</v>
      </c>
      <c r="AE65" s="361" t="str">
        <f t="shared" si="101"/>
        <v>Zapata a compresión</v>
      </c>
      <c r="AF65" s="361"/>
      <c r="AG65" s="148">
        <f t="shared" si="65"/>
        <v>2179.7672549999997</v>
      </c>
      <c r="AH65" s="150">
        <f t="shared" si="66"/>
        <v>7.6007017626444897</v>
      </c>
      <c r="AI65" s="148">
        <f t="shared" si="67"/>
        <v>2179.7672549999997</v>
      </c>
      <c r="AJ65" s="150">
        <f t="shared" si="68"/>
        <v>34.515711154990505</v>
      </c>
      <c r="AK65" s="204"/>
      <c r="AL65" s="204"/>
      <c r="AM65" s="204"/>
      <c r="AN65" s="349">
        <f>Y65</f>
        <v>0</v>
      </c>
      <c r="AO65" s="155">
        <f t="shared" si="69"/>
        <v>0.38500000000000001</v>
      </c>
      <c r="AP65" s="155">
        <f t="shared" si="70"/>
        <v>9.625</v>
      </c>
      <c r="AQ65" s="150">
        <f t="shared" si="71"/>
        <v>2</v>
      </c>
      <c r="AR65" s="150">
        <f t="shared" si="72"/>
        <v>11911.9</v>
      </c>
      <c r="AS65" s="53" t="str">
        <f t="shared" si="73"/>
        <v>OK</v>
      </c>
      <c r="AT65" s="155" t="str">
        <f t="shared" si="74"/>
        <v>NO</v>
      </c>
      <c r="AU65" s="144">
        <v>10.125</v>
      </c>
      <c r="AV65" s="143" t="s">
        <v>730</v>
      </c>
      <c r="AW65" s="163">
        <f t="shared" si="75"/>
        <v>0.50624999999999998</v>
      </c>
      <c r="AX65" s="144">
        <v>0.55000000000000004</v>
      </c>
      <c r="AY65" s="144">
        <v>0.3</v>
      </c>
      <c r="AZ65" s="349">
        <f>AN65</f>
        <v>0</v>
      </c>
      <c r="BA65" s="153">
        <f t="shared" si="76"/>
        <v>519.02703776676822</v>
      </c>
      <c r="BB65" s="153">
        <f t="shared" si="77"/>
        <v>510.32284376283832</v>
      </c>
      <c r="BC65" s="150">
        <f t="shared" si="78"/>
        <v>1.8E-3</v>
      </c>
      <c r="BD65" s="148">
        <f t="shared" si="79"/>
        <v>38.744999999999997</v>
      </c>
      <c r="BE65" s="144">
        <v>5</v>
      </c>
      <c r="BF65" s="144">
        <v>18</v>
      </c>
      <c r="BG65" s="155">
        <f t="shared" si="80"/>
        <v>35.82</v>
      </c>
      <c r="BH65" s="53" t="str">
        <f t="shared" si="81"/>
        <v>N/C</v>
      </c>
      <c r="BI65" s="148">
        <f t="shared" si="82"/>
        <v>0.22</v>
      </c>
      <c r="BJ65" s="155" t="str">
        <f t="shared" si="83"/>
        <v>18#5@20</v>
      </c>
      <c r="BK65" s="197">
        <f t="shared" si="84"/>
        <v>1.0816582914572863</v>
      </c>
      <c r="BL65" s="349">
        <f>AZ65</f>
        <v>0</v>
      </c>
      <c r="BM65" s="153">
        <f t="shared" si="85"/>
        <v>1</v>
      </c>
      <c r="BN65" s="157">
        <v>0.85</v>
      </c>
      <c r="BO65" s="153">
        <f t="shared" si="86"/>
        <v>1.2686567164179103</v>
      </c>
      <c r="BP65" s="153">
        <f t="shared" si="87"/>
        <v>12445.5223880597</v>
      </c>
      <c r="BQ65" s="155" t="s">
        <v>699</v>
      </c>
      <c r="BR65" s="155">
        <f t="shared" si="88"/>
        <v>0.75</v>
      </c>
      <c r="BS65" s="153">
        <f t="shared" si="89"/>
        <v>0</v>
      </c>
      <c r="BT65" s="153">
        <f t="shared" si="90"/>
        <v>9.2317499999999999</v>
      </c>
      <c r="BU65" s="144">
        <v>6</v>
      </c>
      <c r="BV65" s="155" t="s">
        <v>191</v>
      </c>
      <c r="BW65" s="144">
        <v>6</v>
      </c>
      <c r="BX65" s="121"/>
      <c r="CI65" s="122"/>
      <c r="CJ65" s="349">
        <f>CJ27</f>
        <v>0</v>
      </c>
      <c r="CK65" s="153">
        <f t="shared" si="91"/>
        <v>28.4</v>
      </c>
      <c r="CL65" s="153">
        <f t="shared" si="92"/>
        <v>1073.5199999999998</v>
      </c>
      <c r="CM65" s="53" t="str">
        <f t="shared" si="93"/>
        <v>OK</v>
      </c>
      <c r="CU65" s="117"/>
    </row>
    <row r="66" spans="1:99" ht="15" customHeight="1" x14ac:dyDescent="0.25">
      <c r="A66" s="123"/>
      <c r="B66" s="124"/>
      <c r="C66" s="188"/>
      <c r="D66" s="124"/>
      <c r="E66" s="124"/>
      <c r="F66" s="124"/>
      <c r="G66" s="124"/>
      <c r="H66" s="125"/>
      <c r="I66" s="124"/>
      <c r="J66" s="124"/>
      <c r="K66" s="124"/>
      <c r="L66" s="126"/>
      <c r="M66" s="350"/>
      <c r="N66" s="147">
        <f t="shared" si="60"/>
        <v>1001.8503999999998</v>
      </c>
      <c r="O66" s="147">
        <f t="shared" si="94"/>
        <v>-60.128500000000003</v>
      </c>
      <c r="P66" s="147">
        <f t="shared" si="61"/>
        <v>-108.75640000000001</v>
      </c>
      <c r="Q66" s="143">
        <f t="shared" si="62"/>
        <v>40</v>
      </c>
      <c r="R66" s="163">
        <f t="shared" si="63"/>
        <v>3.1428571428571432</v>
      </c>
      <c r="S66" s="163">
        <f t="shared" si="95"/>
        <v>1</v>
      </c>
      <c r="T66" s="155">
        <f t="shared" si="102"/>
        <v>5</v>
      </c>
      <c r="U66" s="164">
        <v>2</v>
      </c>
      <c r="V66" s="165">
        <f t="shared" si="64"/>
        <v>3.9302083333333324E-3</v>
      </c>
      <c r="W66" s="144">
        <v>1.1000000000000001</v>
      </c>
      <c r="X66" s="144">
        <v>0.35</v>
      </c>
      <c r="Y66" s="350"/>
      <c r="Z66" s="150">
        <f t="shared" si="96"/>
        <v>44.896000348224774</v>
      </c>
      <c r="AA66" s="150">
        <f t="shared" si="97"/>
        <v>55.365117163128794</v>
      </c>
      <c r="AB66" s="151">
        <f t="shared" si="98"/>
        <v>63.831837030803378</v>
      </c>
      <c r="AC66" s="150">
        <f t="shared" si="99"/>
        <v>74.300953845707397</v>
      </c>
      <c r="AD66" s="152">
        <f t="shared" si="100"/>
        <v>0.53673307288393657</v>
      </c>
      <c r="AE66" s="361" t="str">
        <f t="shared" si="101"/>
        <v>Zapata a compresión</v>
      </c>
      <c r="AF66" s="361"/>
      <c r="AG66" s="148">
        <f t="shared" si="65"/>
        <v>2053.7933199999993</v>
      </c>
      <c r="AH66" s="150">
        <f t="shared" si="66"/>
        <v>-18.884344461567309</v>
      </c>
      <c r="AI66" s="148">
        <f t="shared" si="67"/>
        <v>2053.7933199999993</v>
      </c>
      <c r="AJ66" s="150">
        <f t="shared" si="68"/>
        <v>-34.156736323041471</v>
      </c>
      <c r="AK66" s="205"/>
      <c r="AL66" s="205"/>
      <c r="AM66" s="205"/>
      <c r="AN66" s="350"/>
      <c r="AO66" s="155">
        <f t="shared" si="69"/>
        <v>0.38500000000000001</v>
      </c>
      <c r="AP66" s="155">
        <f t="shared" si="70"/>
        <v>9.625</v>
      </c>
      <c r="AQ66" s="150">
        <f t="shared" si="71"/>
        <v>2</v>
      </c>
      <c r="AR66" s="150">
        <f t="shared" si="72"/>
        <v>11911.9</v>
      </c>
      <c r="AS66" s="53" t="str">
        <f t="shared" si="73"/>
        <v>OK</v>
      </c>
      <c r="AT66" s="155" t="str">
        <f t="shared" si="74"/>
        <v>NO</v>
      </c>
      <c r="AU66" s="144">
        <v>10.125</v>
      </c>
      <c r="AV66" s="143" t="s">
        <v>730</v>
      </c>
      <c r="AW66" s="163">
        <f t="shared" si="75"/>
        <v>0.50624999999999998</v>
      </c>
      <c r="AX66" s="144">
        <v>0.55000000000000004</v>
      </c>
      <c r="AY66" s="144">
        <v>0.3</v>
      </c>
      <c r="AZ66" s="350"/>
      <c r="BA66" s="153">
        <f t="shared" si="76"/>
        <v>369.39958689024377</v>
      </c>
      <c r="BB66" s="153">
        <f t="shared" si="77"/>
        <v>363.2046771161809</v>
      </c>
      <c r="BC66" s="150">
        <f t="shared" si="78"/>
        <v>1.8E-3</v>
      </c>
      <c r="BD66" s="148">
        <f t="shared" si="79"/>
        <v>38.744999999999997</v>
      </c>
      <c r="BE66" s="144">
        <v>5</v>
      </c>
      <c r="BF66" s="144">
        <v>18</v>
      </c>
      <c r="BG66" s="155">
        <f t="shared" si="80"/>
        <v>35.82</v>
      </c>
      <c r="BH66" s="53" t="str">
        <f t="shared" si="81"/>
        <v>N/C</v>
      </c>
      <c r="BI66" s="148">
        <f t="shared" si="82"/>
        <v>0.22</v>
      </c>
      <c r="BJ66" s="155" t="str">
        <f t="shared" si="83"/>
        <v>18#5@20</v>
      </c>
      <c r="BK66" s="197">
        <f t="shared" si="84"/>
        <v>1.0816582914572863</v>
      </c>
      <c r="BL66" s="350"/>
      <c r="BM66" s="153">
        <f t="shared" si="85"/>
        <v>1</v>
      </c>
      <c r="BN66" s="157">
        <v>0.85</v>
      </c>
      <c r="BO66" s="153">
        <f t="shared" si="86"/>
        <v>1.2686567164179103</v>
      </c>
      <c r="BP66" s="153">
        <f t="shared" si="87"/>
        <v>12445.5223880597</v>
      </c>
      <c r="BQ66" s="155" t="s">
        <v>699</v>
      </c>
      <c r="BR66" s="155">
        <f t="shared" si="88"/>
        <v>0.75</v>
      </c>
      <c r="BS66" s="153">
        <f t="shared" si="89"/>
        <v>0</v>
      </c>
      <c r="BT66" s="153">
        <f t="shared" si="90"/>
        <v>9.2317499999999999</v>
      </c>
      <c r="BU66" s="144">
        <v>6</v>
      </c>
      <c r="BV66" s="155" t="s">
        <v>191</v>
      </c>
      <c r="BW66" s="144">
        <v>6</v>
      </c>
      <c r="BX66" s="121"/>
      <c r="CI66" s="122"/>
      <c r="CJ66" s="350"/>
      <c r="CK66" s="153">
        <f t="shared" si="91"/>
        <v>28.4</v>
      </c>
      <c r="CL66" s="153">
        <f t="shared" si="92"/>
        <v>1073.5199999999998</v>
      </c>
      <c r="CM66" s="53" t="str">
        <f t="shared" si="93"/>
        <v>OK</v>
      </c>
      <c r="CU66" s="117"/>
    </row>
    <row r="67" spans="1:99" ht="15" customHeight="1" x14ac:dyDescent="0.25">
      <c r="A67" s="123"/>
      <c r="B67" s="124"/>
      <c r="C67" s="188"/>
      <c r="D67" s="124"/>
      <c r="E67" s="124"/>
      <c r="F67" s="124"/>
      <c r="G67" s="124"/>
      <c r="H67" s="125"/>
      <c r="I67" s="124"/>
      <c r="J67" s="124"/>
      <c r="K67" s="124"/>
      <c r="L67" s="126"/>
      <c r="M67" s="349">
        <f>M29</f>
        <v>0</v>
      </c>
      <c r="N67" s="147">
        <f t="shared" si="60"/>
        <v>1063.3010999999999</v>
      </c>
      <c r="O67" s="147">
        <f t="shared" si="94"/>
        <v>63.152900000000002</v>
      </c>
      <c r="P67" s="147">
        <f t="shared" si="61"/>
        <v>286.78499999999997</v>
      </c>
      <c r="Q67" s="143">
        <f t="shared" si="62"/>
        <v>40</v>
      </c>
      <c r="R67" s="163">
        <f t="shared" si="63"/>
        <v>3.1428571428571432</v>
      </c>
      <c r="S67" s="163">
        <f>MAX(AA29,AC29)/MIN(AA29,AC29)</f>
        <v>1</v>
      </c>
      <c r="T67" s="155">
        <f t="shared" si="102"/>
        <v>5</v>
      </c>
      <c r="U67" s="164">
        <v>2</v>
      </c>
      <c r="V67" s="165">
        <f t="shared" si="64"/>
        <v>3.9302083333333324E-3</v>
      </c>
      <c r="W67" s="144">
        <v>1.1000000000000001</v>
      </c>
      <c r="X67" s="144">
        <v>0.35</v>
      </c>
      <c r="Y67" s="349">
        <f>M67</f>
        <v>0</v>
      </c>
      <c r="Z67" s="150">
        <f>N67/(AA29*AC29)*(1+6*AD29/AC29+6*AE29/AA29)</f>
        <v>93.71834288533249</v>
      </c>
      <c r="AA67" s="150">
        <f>N67/(AA29*AC29)*(1+6*AD29/AC29-6*AE29/AA29)</f>
        <v>82.72264055948115</v>
      </c>
      <c r="AB67" s="151">
        <f>N67/(AA29*AC29)*(1-6*AD29/AC29+6*AE29/AA29)</f>
        <v>43.785521248966205</v>
      </c>
      <c r="AC67" s="150">
        <f>N67/(AA29*AC29)*(1-6*AD29/AC29-6*AE29/AA29)</f>
        <v>32.789818923114858</v>
      </c>
      <c r="AD67" s="152">
        <f t="shared" si="100"/>
        <v>0.67699984399784408</v>
      </c>
      <c r="AE67" s="361" t="str">
        <f>IF(AND(AD29&lt;AC29/6,AE29&lt;AA29/6),"Zapata a compresión","Hay tensiones en la zapata")</f>
        <v>Zapata a compresión</v>
      </c>
      <c r="AF67" s="361"/>
      <c r="AG67" s="148">
        <f t="shared" si="65"/>
        <v>2179.7672549999997</v>
      </c>
      <c r="AH67" s="150">
        <f t="shared" si="66"/>
        <v>7.6007017626444897</v>
      </c>
      <c r="AI67" s="148">
        <f t="shared" si="67"/>
        <v>3774.7189049999993</v>
      </c>
      <c r="AJ67" s="150">
        <f t="shared" si="68"/>
        <v>59.771109561081111</v>
      </c>
      <c r="AK67" s="204"/>
      <c r="AL67" s="204"/>
      <c r="AM67" s="204"/>
      <c r="AN67" s="349">
        <f>Y67</f>
        <v>0</v>
      </c>
      <c r="AO67" s="155">
        <f t="shared" si="69"/>
        <v>0.38500000000000001</v>
      </c>
      <c r="AP67" s="155">
        <f t="shared" si="70"/>
        <v>9.625</v>
      </c>
      <c r="AQ67" s="150">
        <f t="shared" si="71"/>
        <v>2</v>
      </c>
      <c r="AR67" s="150">
        <f t="shared" si="72"/>
        <v>11911.9</v>
      </c>
      <c r="AS67" s="53" t="str">
        <f t="shared" si="73"/>
        <v>OK</v>
      </c>
      <c r="AT67" s="155" t="str">
        <f t="shared" si="74"/>
        <v>NO</v>
      </c>
      <c r="AU67" s="144">
        <v>10.125</v>
      </c>
      <c r="AV67" s="143" t="s">
        <v>730</v>
      </c>
      <c r="AW67" s="163">
        <f t="shared" si="75"/>
        <v>0.50624999999999998</v>
      </c>
      <c r="AX67" s="144">
        <v>0.55000000000000004</v>
      </c>
      <c r="AY67" s="144">
        <v>0.3</v>
      </c>
      <c r="AZ67" s="349">
        <f>AN67</f>
        <v>0</v>
      </c>
      <c r="BA67" s="153">
        <f t="shared" si="76"/>
        <v>519.02703776676822</v>
      </c>
      <c r="BB67" s="153">
        <f t="shared" si="77"/>
        <v>510.32284376283832</v>
      </c>
      <c r="BC67" s="150">
        <f t="shared" si="78"/>
        <v>1.8E-3</v>
      </c>
      <c r="BD67" s="148">
        <f t="shared" si="79"/>
        <v>38.744999999999997</v>
      </c>
      <c r="BE67" s="144">
        <v>5</v>
      </c>
      <c r="BF67" s="144">
        <v>17</v>
      </c>
      <c r="BG67" s="155">
        <f t="shared" si="80"/>
        <v>33.83</v>
      </c>
      <c r="BH67" s="53" t="str">
        <f t="shared" si="81"/>
        <v>N/C</v>
      </c>
      <c r="BI67" s="148">
        <f t="shared" si="82"/>
        <v>0.23</v>
      </c>
      <c r="BJ67" s="155" t="str">
        <f t="shared" si="83"/>
        <v>17#5@20</v>
      </c>
      <c r="BK67" s="197">
        <f t="shared" si="84"/>
        <v>1.1452852497783033</v>
      </c>
      <c r="BL67" s="349">
        <f>AZ67</f>
        <v>0</v>
      </c>
      <c r="BM67" s="153">
        <f t="shared" si="85"/>
        <v>1</v>
      </c>
      <c r="BN67" s="157">
        <v>0.85</v>
      </c>
      <c r="BO67" s="153">
        <f t="shared" si="86"/>
        <v>1.2686567164179103</v>
      </c>
      <c r="BP67" s="153">
        <f t="shared" si="87"/>
        <v>12445.5223880597</v>
      </c>
      <c r="BQ67" s="155" t="s">
        <v>699</v>
      </c>
      <c r="BR67" s="155">
        <f t="shared" si="88"/>
        <v>0.75</v>
      </c>
      <c r="BS67" s="153">
        <f t="shared" si="89"/>
        <v>0</v>
      </c>
      <c r="BT67" s="153">
        <f t="shared" si="90"/>
        <v>9.2317499999999999</v>
      </c>
      <c r="BU67" s="144">
        <v>6</v>
      </c>
      <c r="BV67" s="155" t="s">
        <v>191</v>
      </c>
      <c r="BW67" s="144">
        <v>6</v>
      </c>
      <c r="BX67" s="121"/>
      <c r="CI67" s="122"/>
      <c r="CJ67" s="349">
        <f>CJ29</f>
        <v>0</v>
      </c>
      <c r="CK67" s="153">
        <f t="shared" si="91"/>
        <v>28.4</v>
      </c>
      <c r="CL67" s="153">
        <f t="shared" si="92"/>
        <v>1073.5199999999998</v>
      </c>
      <c r="CM67" s="53" t="str">
        <f t="shared" si="93"/>
        <v>OK</v>
      </c>
      <c r="CU67" s="117"/>
    </row>
    <row r="68" spans="1:99" ht="15" customHeight="1" x14ac:dyDescent="0.25">
      <c r="A68" s="123"/>
      <c r="B68" s="124"/>
      <c r="C68" s="188"/>
      <c r="D68" s="124"/>
      <c r="E68" s="124"/>
      <c r="F68" s="124"/>
      <c r="G68" s="124"/>
      <c r="H68" s="125"/>
      <c r="I68" s="124"/>
      <c r="J68" s="124"/>
      <c r="K68" s="124"/>
      <c r="L68" s="126"/>
      <c r="M68" s="350"/>
      <c r="N68" s="147">
        <f t="shared" si="60"/>
        <v>1001.8503999999998</v>
      </c>
      <c r="O68" s="147">
        <f t="shared" si="94"/>
        <v>-60.128500000000003</v>
      </c>
      <c r="P68" s="147">
        <f t="shared" si="61"/>
        <v>-108.75640000000001</v>
      </c>
      <c r="Q68" s="143">
        <f t="shared" si="62"/>
        <v>40</v>
      </c>
      <c r="R68" s="163">
        <f t="shared" si="63"/>
        <v>3.1428571428571432</v>
      </c>
      <c r="S68" s="163">
        <f>MAX(AA30,AC30)/MIN(AA30,AC30)</f>
        <v>1</v>
      </c>
      <c r="T68" s="155">
        <f t="shared" si="102"/>
        <v>5</v>
      </c>
      <c r="U68" s="164">
        <v>2</v>
      </c>
      <c r="V68" s="165">
        <f t="shared" si="64"/>
        <v>3.9302083333333324E-3</v>
      </c>
      <c r="W68" s="144">
        <v>1.1000000000000001</v>
      </c>
      <c r="X68" s="144">
        <v>0.35</v>
      </c>
      <c r="Y68" s="350"/>
      <c r="Z68" s="150">
        <f>N68/(AA30*AC30)*(1+6*AD30/AC30+6*AE30/AA30)</f>
        <v>44.896000348224774</v>
      </c>
      <c r="AA68" s="150">
        <f>N68/(AA30*AC30)*(1+6*AD30/AC30-6*AE30/AA30)</f>
        <v>55.365117163128794</v>
      </c>
      <c r="AB68" s="151">
        <f>N68/(AA30*AC30)*(1-6*AD30/AC30+6*AE30/AA30)</f>
        <v>63.831837030803378</v>
      </c>
      <c r="AC68" s="150">
        <f>N68/(AA30*AC30)*(1-6*AD30/AC30-6*AE30/AA30)</f>
        <v>74.300953845707397</v>
      </c>
      <c r="AD68" s="152">
        <f t="shared" si="100"/>
        <v>0.53673307288393657</v>
      </c>
      <c r="AE68" s="361" t="str">
        <f>IF(AND(AD30&lt;AC30/6,AE30&lt;AA30/6),"Zapata a compresión","Hay tensiones en la zapata")</f>
        <v>Zapata a compresión</v>
      </c>
      <c r="AF68" s="361"/>
      <c r="AG68" s="148">
        <f t="shared" si="65"/>
        <v>2053.7933199999993</v>
      </c>
      <c r="AH68" s="150">
        <f t="shared" si="66"/>
        <v>-18.884344461567309</v>
      </c>
      <c r="AI68" s="148">
        <f t="shared" si="67"/>
        <v>3556.5689199999993</v>
      </c>
      <c r="AJ68" s="150">
        <f t="shared" si="68"/>
        <v>-59.149470217949876</v>
      </c>
      <c r="AK68" s="205"/>
      <c r="AL68" s="205"/>
      <c r="AM68" s="205"/>
      <c r="AN68" s="350"/>
      <c r="AO68" s="155">
        <f t="shared" si="69"/>
        <v>0.38500000000000001</v>
      </c>
      <c r="AP68" s="155">
        <f t="shared" si="70"/>
        <v>9.625</v>
      </c>
      <c r="AQ68" s="150">
        <f t="shared" si="71"/>
        <v>2</v>
      </c>
      <c r="AR68" s="150">
        <f t="shared" si="72"/>
        <v>11911.9</v>
      </c>
      <c r="AS68" s="53" t="str">
        <f t="shared" si="73"/>
        <v>OK</v>
      </c>
      <c r="AT68" s="155" t="str">
        <f t="shared" si="74"/>
        <v>NO</v>
      </c>
      <c r="AU68" s="144">
        <v>10.125</v>
      </c>
      <c r="AV68" s="143" t="s">
        <v>730</v>
      </c>
      <c r="AW68" s="163">
        <f t="shared" si="75"/>
        <v>0.50624999999999998</v>
      </c>
      <c r="AX68" s="144">
        <v>0.55000000000000004</v>
      </c>
      <c r="AY68" s="144">
        <v>0.3</v>
      </c>
      <c r="AZ68" s="350"/>
      <c r="BA68" s="153">
        <f t="shared" si="76"/>
        <v>369.39958689024377</v>
      </c>
      <c r="BB68" s="153">
        <f t="shared" si="77"/>
        <v>363.2046771161809</v>
      </c>
      <c r="BC68" s="150">
        <f t="shared" si="78"/>
        <v>1.8E-3</v>
      </c>
      <c r="BD68" s="148">
        <f t="shared" si="79"/>
        <v>38.744999999999997</v>
      </c>
      <c r="BE68" s="144">
        <v>5</v>
      </c>
      <c r="BF68" s="144">
        <v>17</v>
      </c>
      <c r="BG68" s="155">
        <f t="shared" si="80"/>
        <v>33.83</v>
      </c>
      <c r="BH68" s="53" t="str">
        <f t="shared" si="81"/>
        <v>N/C</v>
      </c>
      <c r="BI68" s="148">
        <f t="shared" si="82"/>
        <v>0.23</v>
      </c>
      <c r="BJ68" s="155" t="str">
        <f t="shared" si="83"/>
        <v>17#5@20</v>
      </c>
      <c r="BK68" s="197">
        <f t="shared" si="84"/>
        <v>1.1452852497783033</v>
      </c>
      <c r="BL68" s="350"/>
      <c r="BM68" s="153">
        <f t="shared" si="85"/>
        <v>1</v>
      </c>
      <c r="BN68" s="157">
        <v>0.85</v>
      </c>
      <c r="BO68" s="153">
        <f t="shared" si="86"/>
        <v>1.2686567164179103</v>
      </c>
      <c r="BP68" s="153">
        <f t="shared" si="87"/>
        <v>12445.5223880597</v>
      </c>
      <c r="BQ68" s="155" t="s">
        <v>699</v>
      </c>
      <c r="BR68" s="155">
        <f t="shared" si="88"/>
        <v>0.75</v>
      </c>
      <c r="BS68" s="153">
        <f t="shared" si="89"/>
        <v>0</v>
      </c>
      <c r="BT68" s="153">
        <f t="shared" si="90"/>
        <v>9.2317499999999999</v>
      </c>
      <c r="BU68" s="144">
        <v>6</v>
      </c>
      <c r="BV68" s="155" t="s">
        <v>191</v>
      </c>
      <c r="BW68" s="144">
        <v>6</v>
      </c>
      <c r="BX68" s="121"/>
      <c r="CI68" s="122"/>
      <c r="CJ68" s="350"/>
      <c r="CK68" s="153">
        <f t="shared" si="91"/>
        <v>28.4</v>
      </c>
      <c r="CL68" s="153">
        <f t="shared" si="92"/>
        <v>1073.5199999999998</v>
      </c>
      <c r="CM68" s="53" t="str">
        <f t="shared" si="93"/>
        <v>OK</v>
      </c>
      <c r="CU68" s="117"/>
    </row>
    <row r="69" spans="1:99" ht="15" customHeight="1" x14ac:dyDescent="0.25">
      <c r="A69" s="123"/>
      <c r="B69" s="124"/>
      <c r="C69" s="188"/>
      <c r="D69" s="124"/>
      <c r="E69" s="124"/>
      <c r="F69" s="124"/>
      <c r="G69" s="124"/>
      <c r="H69" s="125"/>
      <c r="I69" s="124"/>
      <c r="J69" s="124"/>
      <c r="K69" s="124"/>
      <c r="L69" s="126"/>
      <c r="M69" s="349">
        <f>M31</f>
        <v>0</v>
      </c>
      <c r="N69" s="147">
        <f t="shared" si="60"/>
        <v>1168.7512999999999</v>
      </c>
      <c r="O69" s="147">
        <f t="shared" si="94"/>
        <v>2.1578000000000008</v>
      </c>
      <c r="P69" s="147">
        <f t="shared" si="61"/>
        <v>134.304</v>
      </c>
      <c r="Q69" s="143">
        <f t="shared" si="62"/>
        <v>40</v>
      </c>
      <c r="R69" s="163">
        <f t="shared" si="63"/>
        <v>3.1428571428571432</v>
      </c>
      <c r="S69" s="163">
        <f t="shared" si="95"/>
        <v>1</v>
      </c>
      <c r="T69" s="155">
        <f t="shared" si="102"/>
        <v>5</v>
      </c>
      <c r="U69" s="164">
        <v>2</v>
      </c>
      <c r="V69" s="165">
        <f t="shared" si="64"/>
        <v>3.9302083333333324E-3</v>
      </c>
      <c r="W69" s="144">
        <v>1.1000000000000001</v>
      </c>
      <c r="X69" s="144">
        <v>0.35</v>
      </c>
      <c r="Y69" s="349">
        <f>M69</f>
        <v>0</v>
      </c>
      <c r="Z69" s="150">
        <f t="shared" si="96"/>
        <v>81.406989596784726</v>
      </c>
      <c r="AA69" s="150">
        <f t="shared" si="97"/>
        <v>81.031289882619234</v>
      </c>
      <c r="AB69" s="151">
        <f t="shared" si="98"/>
        <v>58.02299923100361</v>
      </c>
      <c r="AC69" s="150">
        <f t="shared" si="99"/>
        <v>57.647299516838125</v>
      </c>
      <c r="AD69" s="152">
        <f t="shared" si="100"/>
        <v>0.58806544760175039</v>
      </c>
      <c r="AE69" s="361" t="str">
        <f t="shared" si="101"/>
        <v>Zapata a compresión</v>
      </c>
      <c r="AF69" s="361"/>
      <c r="AG69" s="148">
        <f t="shared" si="65"/>
        <v>2395.9401649999995</v>
      </c>
      <c r="AH69" s="150">
        <f t="shared" si="66"/>
        <v>17.839678378901592</v>
      </c>
      <c r="AI69" s="148">
        <f t="shared" si="67"/>
        <v>2395.9401649999995</v>
      </c>
      <c r="AJ69" s="150">
        <f t="shared" si="68"/>
        <v>1110.3624826211876</v>
      </c>
      <c r="AK69" s="204"/>
      <c r="AL69" s="204"/>
      <c r="AM69" s="204"/>
      <c r="AN69" s="349">
        <f>Y69</f>
        <v>0</v>
      </c>
      <c r="AO69" s="155">
        <f t="shared" si="69"/>
        <v>0.38500000000000001</v>
      </c>
      <c r="AP69" s="155">
        <f t="shared" si="70"/>
        <v>9.625</v>
      </c>
      <c r="AQ69" s="150">
        <f t="shared" si="71"/>
        <v>2</v>
      </c>
      <c r="AR69" s="150">
        <f t="shared" si="72"/>
        <v>11911.9</v>
      </c>
      <c r="AS69" s="53" t="str">
        <f t="shared" si="73"/>
        <v>OK</v>
      </c>
      <c r="AT69" s="155" t="str">
        <f t="shared" si="74"/>
        <v>NO</v>
      </c>
      <c r="AU69" s="144">
        <v>10.125</v>
      </c>
      <c r="AV69" s="143" t="s">
        <v>730</v>
      </c>
      <c r="AW69" s="163">
        <f t="shared" si="75"/>
        <v>0.50624999999999998</v>
      </c>
      <c r="AX69" s="144">
        <v>0.55000000000000004</v>
      </c>
      <c r="AY69" s="144">
        <v>0.3</v>
      </c>
      <c r="AZ69" s="349">
        <f>AN69</f>
        <v>0</v>
      </c>
      <c r="BA69" s="153">
        <f t="shared" si="76"/>
        <v>503.24210354420717</v>
      </c>
      <c r="BB69" s="153">
        <f t="shared" si="77"/>
        <v>494.80262625022675</v>
      </c>
      <c r="BC69" s="150">
        <f t="shared" si="78"/>
        <v>1.8E-3</v>
      </c>
      <c r="BD69" s="148">
        <f t="shared" si="79"/>
        <v>38.744999999999997</v>
      </c>
      <c r="BE69" s="144">
        <v>5</v>
      </c>
      <c r="BF69" s="144">
        <v>27</v>
      </c>
      <c r="BG69" s="155">
        <f t="shared" si="80"/>
        <v>53.73</v>
      </c>
      <c r="BH69" s="53" t="str">
        <f t="shared" si="81"/>
        <v>OK</v>
      </c>
      <c r="BI69" s="148">
        <f t="shared" si="82"/>
        <v>0.15</v>
      </c>
      <c r="BJ69" s="155" t="str">
        <f t="shared" si="83"/>
        <v>27#5@15</v>
      </c>
      <c r="BK69" s="197">
        <f t="shared" si="84"/>
        <v>0.72110552763819091</v>
      </c>
      <c r="BL69" s="349">
        <f>AZ69</f>
        <v>0</v>
      </c>
      <c r="BM69" s="153">
        <f t="shared" si="85"/>
        <v>1</v>
      </c>
      <c r="BN69" s="157">
        <v>0.85</v>
      </c>
      <c r="BO69" s="153">
        <f t="shared" si="86"/>
        <v>1.2686567164179103</v>
      </c>
      <c r="BP69" s="153">
        <f t="shared" si="87"/>
        <v>12445.5223880597</v>
      </c>
      <c r="BQ69" s="155" t="s">
        <v>699</v>
      </c>
      <c r="BR69" s="155">
        <f t="shared" si="88"/>
        <v>0.75</v>
      </c>
      <c r="BS69" s="153">
        <f t="shared" si="89"/>
        <v>0</v>
      </c>
      <c r="BT69" s="153">
        <f t="shared" si="90"/>
        <v>9.2317499999999999</v>
      </c>
      <c r="BU69" s="144">
        <v>6</v>
      </c>
      <c r="BV69" s="155" t="s">
        <v>191</v>
      </c>
      <c r="BW69" s="144">
        <v>6</v>
      </c>
      <c r="BX69" s="121"/>
      <c r="CI69" s="122"/>
      <c r="CJ69" s="349">
        <f>CJ31</f>
        <v>0</v>
      </c>
      <c r="CK69" s="153">
        <f t="shared" si="91"/>
        <v>28.4</v>
      </c>
      <c r="CL69" s="153">
        <f t="shared" si="92"/>
        <v>1073.5199999999998</v>
      </c>
      <c r="CM69" s="53" t="str">
        <f t="shared" si="93"/>
        <v>OK</v>
      </c>
      <c r="CU69" s="117"/>
    </row>
    <row r="70" spans="1:99" ht="15" customHeight="1" x14ac:dyDescent="0.25">
      <c r="A70" s="123"/>
      <c r="B70" s="362" t="s">
        <v>733</v>
      </c>
      <c r="C70" s="362"/>
      <c r="D70" s="362"/>
      <c r="E70" s="362"/>
      <c r="F70" s="362"/>
      <c r="G70" s="362"/>
      <c r="H70" s="362"/>
      <c r="I70" s="362"/>
      <c r="J70" s="362"/>
      <c r="K70" s="362"/>
      <c r="L70" s="126"/>
      <c r="M70" s="350"/>
      <c r="N70" s="147">
        <f t="shared" si="60"/>
        <v>1163.7924999999998</v>
      </c>
      <c r="O70" s="147">
        <f t="shared" si="94"/>
        <v>2.1527000000000003</v>
      </c>
      <c r="P70" s="147">
        <f t="shared" si="61"/>
        <v>134.4186</v>
      </c>
      <c r="Q70" s="143">
        <f t="shared" si="62"/>
        <v>40</v>
      </c>
      <c r="R70" s="163">
        <f t="shared" si="63"/>
        <v>3.1428571428571432</v>
      </c>
      <c r="S70" s="163">
        <f t="shared" si="95"/>
        <v>1</v>
      </c>
      <c r="T70" s="155">
        <f t="shared" si="102"/>
        <v>5</v>
      </c>
      <c r="U70" s="164">
        <v>2</v>
      </c>
      <c r="V70" s="165">
        <f t="shared" si="64"/>
        <v>3.9302083333333324E-3</v>
      </c>
      <c r="W70" s="144">
        <v>1.1000000000000001</v>
      </c>
      <c r="X70" s="144">
        <v>0.35</v>
      </c>
      <c r="Y70" s="350"/>
      <c r="Z70" s="150">
        <f t="shared" si="96"/>
        <v>81.121531173372389</v>
      </c>
      <c r="AA70" s="150">
        <f t="shared" si="97"/>
        <v>80.746719432393604</v>
      </c>
      <c r="AB70" s="151">
        <f t="shared" si="98"/>
        <v>57.717587527749153</v>
      </c>
      <c r="AC70" s="150">
        <f t="shared" si="99"/>
        <v>57.342775786770346</v>
      </c>
      <c r="AD70" s="152">
        <f t="shared" si="100"/>
        <v>0.58600336133167541</v>
      </c>
      <c r="AE70" s="361" t="str">
        <f t="shared" si="101"/>
        <v>Zapata a compresión</v>
      </c>
      <c r="AF70" s="361"/>
      <c r="AG70" s="148">
        <f t="shared" si="65"/>
        <v>2385.7746249999996</v>
      </c>
      <c r="AH70" s="150">
        <f t="shared" si="66"/>
        <v>17.748842980063767</v>
      </c>
      <c r="AI70" s="148">
        <f t="shared" si="67"/>
        <v>2385.7746249999996</v>
      </c>
      <c r="AJ70" s="150">
        <f t="shared" si="68"/>
        <v>1108.27083430111</v>
      </c>
      <c r="AK70" s="205"/>
      <c r="AL70" s="205"/>
      <c r="AM70" s="205"/>
      <c r="AN70" s="350"/>
      <c r="AO70" s="155">
        <f t="shared" si="69"/>
        <v>0.38500000000000001</v>
      </c>
      <c r="AP70" s="155">
        <f t="shared" si="70"/>
        <v>9.625</v>
      </c>
      <c r="AQ70" s="150">
        <f t="shared" si="71"/>
        <v>2</v>
      </c>
      <c r="AR70" s="150">
        <f t="shared" si="72"/>
        <v>11911.9</v>
      </c>
      <c r="AS70" s="53" t="str">
        <f t="shared" si="73"/>
        <v>OK</v>
      </c>
      <c r="AT70" s="155" t="str">
        <f t="shared" si="74"/>
        <v>NO</v>
      </c>
      <c r="AU70" s="144">
        <v>10.125</v>
      </c>
      <c r="AV70" s="143" t="s">
        <v>730</v>
      </c>
      <c r="AW70" s="163">
        <f t="shared" si="75"/>
        <v>0.50624999999999998</v>
      </c>
      <c r="AX70" s="144">
        <v>0.55000000000000004</v>
      </c>
      <c r="AY70" s="144">
        <v>0.3</v>
      </c>
      <c r="AZ70" s="350"/>
      <c r="BA70" s="153">
        <f t="shared" si="76"/>
        <v>501.11099363567052</v>
      </c>
      <c r="BB70" s="153">
        <f t="shared" si="77"/>
        <v>492.70725550889688</v>
      </c>
      <c r="BC70" s="150">
        <f t="shared" si="78"/>
        <v>1.8E-3</v>
      </c>
      <c r="BD70" s="148">
        <f t="shared" si="79"/>
        <v>38.744999999999997</v>
      </c>
      <c r="BE70" s="144">
        <v>5</v>
      </c>
      <c r="BF70" s="144">
        <v>27</v>
      </c>
      <c r="BG70" s="155">
        <f t="shared" si="80"/>
        <v>53.73</v>
      </c>
      <c r="BH70" s="53" t="str">
        <f t="shared" si="81"/>
        <v>OK</v>
      </c>
      <c r="BI70" s="148">
        <f t="shared" si="82"/>
        <v>0.15</v>
      </c>
      <c r="BJ70" s="155" t="str">
        <f t="shared" si="83"/>
        <v>27#5@15</v>
      </c>
      <c r="BK70" s="197">
        <f t="shared" si="84"/>
        <v>0.72110552763819091</v>
      </c>
      <c r="BL70" s="350"/>
      <c r="BM70" s="153">
        <f t="shared" si="85"/>
        <v>1</v>
      </c>
      <c r="BN70" s="157">
        <v>0.85</v>
      </c>
      <c r="BO70" s="153">
        <f t="shared" si="86"/>
        <v>1.2686567164179103</v>
      </c>
      <c r="BP70" s="153">
        <f t="shared" si="87"/>
        <v>12445.5223880597</v>
      </c>
      <c r="BQ70" s="155" t="s">
        <v>699</v>
      </c>
      <c r="BR70" s="155">
        <f t="shared" si="88"/>
        <v>0.75</v>
      </c>
      <c r="BS70" s="153">
        <f t="shared" si="89"/>
        <v>0</v>
      </c>
      <c r="BT70" s="153">
        <f t="shared" si="90"/>
        <v>9.2317499999999999</v>
      </c>
      <c r="BU70" s="144">
        <v>6</v>
      </c>
      <c r="BV70" s="155" t="s">
        <v>191</v>
      </c>
      <c r="BW70" s="144">
        <v>6</v>
      </c>
      <c r="BX70" s="121"/>
      <c r="CI70" s="122"/>
      <c r="CJ70" s="350"/>
      <c r="CK70" s="153">
        <f t="shared" si="91"/>
        <v>28.4</v>
      </c>
      <c r="CL70" s="153">
        <f t="shared" si="92"/>
        <v>1073.5199999999998</v>
      </c>
      <c r="CM70" s="53" t="str">
        <f t="shared" si="93"/>
        <v>OK</v>
      </c>
      <c r="CU70" s="117"/>
    </row>
    <row r="71" spans="1:99" ht="15" customHeight="1" x14ac:dyDescent="0.25">
      <c r="A71" s="123"/>
      <c r="B71" s="362"/>
      <c r="C71" s="362"/>
      <c r="D71" s="362"/>
      <c r="E71" s="362"/>
      <c r="F71" s="362"/>
      <c r="G71" s="362"/>
      <c r="H71" s="362"/>
      <c r="I71" s="362"/>
      <c r="J71" s="362"/>
      <c r="K71" s="362"/>
      <c r="L71" s="126"/>
      <c r="M71" s="349">
        <f>M33</f>
        <v>0</v>
      </c>
      <c r="N71" s="147">
        <f t="shared" si="60"/>
        <v>1163.7924999999998</v>
      </c>
      <c r="O71" s="147">
        <f t="shared" si="94"/>
        <v>2.1527000000000003</v>
      </c>
      <c r="P71" s="147">
        <f t="shared" si="61"/>
        <v>134.4186</v>
      </c>
      <c r="Q71" s="143">
        <f t="shared" si="62"/>
        <v>40</v>
      </c>
      <c r="R71" s="163">
        <f t="shared" si="63"/>
        <v>3.1428571428571432</v>
      </c>
      <c r="S71" s="163">
        <f t="shared" si="95"/>
        <v>1</v>
      </c>
      <c r="T71" s="155">
        <f t="shared" si="102"/>
        <v>5</v>
      </c>
      <c r="U71" s="164">
        <v>2</v>
      </c>
      <c r="V71" s="165">
        <f t="shared" si="64"/>
        <v>3.9302083333333324E-3</v>
      </c>
      <c r="W71" s="144">
        <v>1.1000000000000001</v>
      </c>
      <c r="X71" s="144">
        <v>0.35</v>
      </c>
      <c r="Y71" s="349">
        <f>M71</f>
        <v>0</v>
      </c>
      <c r="Z71" s="150">
        <f t="shared" si="96"/>
        <v>81.121531173372389</v>
      </c>
      <c r="AA71" s="150">
        <f t="shared" si="97"/>
        <v>80.746719432393604</v>
      </c>
      <c r="AB71" s="151">
        <f t="shared" si="98"/>
        <v>57.717587527749153</v>
      </c>
      <c r="AC71" s="150">
        <f t="shared" si="99"/>
        <v>57.342775786770346</v>
      </c>
      <c r="AD71" s="152">
        <f t="shared" si="100"/>
        <v>0.58600336133167541</v>
      </c>
      <c r="AE71" s="361" t="str">
        <f t="shared" si="101"/>
        <v>Zapata a compresión</v>
      </c>
      <c r="AF71" s="361"/>
      <c r="AG71" s="148">
        <f t="shared" si="65"/>
        <v>4567.8855624999987</v>
      </c>
      <c r="AH71" s="150">
        <f t="shared" si="66"/>
        <v>33.982540827683067</v>
      </c>
      <c r="AI71" s="148">
        <f t="shared" si="67"/>
        <v>2385.7746249999996</v>
      </c>
      <c r="AJ71" s="150">
        <f t="shared" si="68"/>
        <v>1108.27083430111</v>
      </c>
      <c r="AK71" s="204"/>
      <c r="AL71" s="204"/>
      <c r="AM71" s="204"/>
      <c r="AN71" s="349">
        <f>Y71</f>
        <v>0</v>
      </c>
      <c r="AO71" s="155">
        <f>W71*X71</f>
        <v>0.38500000000000001</v>
      </c>
      <c r="AP71" s="155">
        <f>(4*U33+W71)*(4*U33+X71)</f>
        <v>9.625</v>
      </c>
      <c r="AQ71" s="150">
        <f t="shared" si="71"/>
        <v>2</v>
      </c>
      <c r="AR71" s="150">
        <f t="shared" si="72"/>
        <v>11911.9</v>
      </c>
      <c r="AS71" s="53" t="str">
        <f>IF(AR71&gt;=N71,"OK","N/C")</f>
        <v>OK</v>
      </c>
      <c r="AT71" s="155" t="str">
        <f>IF(O33&lt;&gt;"Central","SÍ","NO")</f>
        <v>NO</v>
      </c>
      <c r="AU71" s="144">
        <v>10.125</v>
      </c>
      <c r="AV71" s="143" t="s">
        <v>730</v>
      </c>
      <c r="AW71" s="163">
        <f t="shared" si="75"/>
        <v>0.50624999999999998</v>
      </c>
      <c r="AX71" s="144">
        <v>0.55000000000000004</v>
      </c>
      <c r="AY71" s="144">
        <v>0.3</v>
      </c>
      <c r="AZ71" s="349">
        <f>AN71</f>
        <v>0</v>
      </c>
      <c r="BA71" s="153">
        <f>SUM(N71/(2*AC33)*(AC33/2-X71/2)^2,O71)</f>
        <v>501.11099363567052</v>
      </c>
      <c r="BB71" s="153">
        <f>BA71/(0.9*AC33*V33^2)</f>
        <v>492.70725550889688</v>
      </c>
      <c r="BC71" s="150">
        <f t="shared" si="78"/>
        <v>1.8E-3</v>
      </c>
      <c r="BD71" s="148">
        <f>+BC71*AC33*V33*100^2</f>
        <v>38.744999999999997</v>
      </c>
      <c r="BE71" s="144">
        <v>5</v>
      </c>
      <c r="BF71" s="144">
        <v>27</v>
      </c>
      <c r="BG71" s="155">
        <f t="shared" si="80"/>
        <v>53.73</v>
      </c>
      <c r="BH71" s="53" t="str">
        <f t="shared" si="81"/>
        <v>OK</v>
      </c>
      <c r="BI71" s="148">
        <f>ROUND((AC33-2*0.075)/BF71,2)</f>
        <v>0.15</v>
      </c>
      <c r="BJ71" s="155" t="str">
        <f t="shared" si="83"/>
        <v>27#5@15</v>
      </c>
      <c r="BK71" s="197">
        <f t="shared" si="84"/>
        <v>0.72110552763819091</v>
      </c>
      <c r="BL71" s="349">
        <f>AZ71</f>
        <v>0</v>
      </c>
      <c r="BM71" s="153">
        <f>(1+0.5*AA33/AC33)/1.5</f>
        <v>1</v>
      </c>
      <c r="BN71" s="157">
        <v>0.85</v>
      </c>
      <c r="BO71" s="153">
        <f t="shared" si="86"/>
        <v>1.2686567164179103</v>
      </c>
      <c r="BP71" s="153">
        <f t="shared" si="87"/>
        <v>12445.5223880597</v>
      </c>
      <c r="BQ71" s="155" t="s">
        <v>699</v>
      </c>
      <c r="BR71" s="155">
        <f t="shared" si="88"/>
        <v>0.75</v>
      </c>
      <c r="BS71" s="153">
        <f>IF(AT71="SÍ",(N71*(AA33-W71)/2-P71)/(BM33+U33+BP71*BR71^2*BM33^2*AA33^3*AC33/(36*10^3*$O$8*V71)),0)</f>
        <v>0</v>
      </c>
      <c r="BT71" s="153">
        <f t="shared" si="90"/>
        <v>9.2317499999999999</v>
      </c>
      <c r="BU71" s="144">
        <v>6</v>
      </c>
      <c r="BV71" s="155" t="s">
        <v>191</v>
      </c>
      <c r="BW71" s="144">
        <v>6</v>
      </c>
      <c r="BX71" s="121"/>
      <c r="CI71" s="122"/>
      <c r="CJ71" s="349"/>
      <c r="CK71" s="153">
        <f t="shared" si="91"/>
        <v>28.4</v>
      </c>
      <c r="CL71" s="153">
        <f t="shared" si="92"/>
        <v>1073.5199999999998</v>
      </c>
      <c r="CM71" s="53" t="str">
        <f t="shared" si="93"/>
        <v>OK</v>
      </c>
      <c r="CU71" s="117"/>
    </row>
    <row r="72" spans="1:99" ht="15" customHeight="1" x14ac:dyDescent="0.25">
      <c r="A72" s="123"/>
      <c r="B72" s="124"/>
      <c r="C72" s="188"/>
      <c r="D72" s="124"/>
      <c r="E72" s="124"/>
      <c r="F72" s="124"/>
      <c r="G72" s="124"/>
      <c r="H72" s="125"/>
      <c r="I72" s="124"/>
      <c r="J72" s="124"/>
      <c r="K72" s="124"/>
      <c r="L72" s="126"/>
      <c r="M72" s="350"/>
      <c r="N72" s="147">
        <f t="shared" si="60"/>
        <v>1163.7924999999998</v>
      </c>
      <c r="O72" s="147">
        <f t="shared" si="94"/>
        <v>2.1527000000000003</v>
      </c>
      <c r="P72" s="147">
        <f t="shared" si="61"/>
        <v>134.4186</v>
      </c>
      <c r="Q72" s="143">
        <f t="shared" si="62"/>
        <v>40</v>
      </c>
      <c r="R72" s="163">
        <f t="shared" si="63"/>
        <v>3.1428571428571432</v>
      </c>
      <c r="S72" s="163">
        <f t="shared" si="95"/>
        <v>1</v>
      </c>
      <c r="T72" s="155">
        <f t="shared" si="102"/>
        <v>5</v>
      </c>
      <c r="U72" s="164">
        <v>2</v>
      </c>
      <c r="V72" s="165">
        <f t="shared" si="64"/>
        <v>3.9302083333333324E-3</v>
      </c>
      <c r="W72" s="144">
        <v>1.1000000000000001</v>
      </c>
      <c r="X72" s="144">
        <v>0.35</v>
      </c>
      <c r="Y72" s="350"/>
      <c r="Z72" s="150">
        <f t="shared" si="96"/>
        <v>81.121531173372389</v>
      </c>
      <c r="AA72" s="150">
        <f t="shared" si="97"/>
        <v>80.746719432393604</v>
      </c>
      <c r="AB72" s="151">
        <f t="shared" si="98"/>
        <v>57.717587527749153</v>
      </c>
      <c r="AC72" s="150">
        <f t="shared" si="99"/>
        <v>57.342775786770346</v>
      </c>
      <c r="AD72" s="152">
        <f t="shared" si="100"/>
        <v>0.58600336133167541</v>
      </c>
      <c r="AE72" s="361" t="str">
        <f t="shared" si="101"/>
        <v>Zapata a compresión</v>
      </c>
      <c r="AF72" s="361"/>
      <c r="AG72" s="148">
        <f t="shared" si="65"/>
        <v>4567.8855624999987</v>
      </c>
      <c r="AH72" s="150">
        <f t="shared" si="66"/>
        <v>33.982540827683067</v>
      </c>
      <c r="AI72" s="148">
        <f t="shared" si="67"/>
        <v>2385.7746249999996</v>
      </c>
      <c r="AJ72" s="150">
        <f t="shared" si="68"/>
        <v>1108.27083430111</v>
      </c>
      <c r="AK72" s="205"/>
      <c r="AL72" s="205"/>
      <c r="AM72" s="205"/>
      <c r="AN72" s="350"/>
      <c r="AO72" s="155">
        <f>W72*X72</f>
        <v>0.38500000000000001</v>
      </c>
      <c r="AP72" s="155">
        <f>(4*U34+W72)*(4*U34+X72)</f>
        <v>9.625</v>
      </c>
      <c r="AQ72" s="150">
        <f t="shared" si="71"/>
        <v>2</v>
      </c>
      <c r="AR72" s="150">
        <f t="shared" si="72"/>
        <v>11911.9</v>
      </c>
      <c r="AS72" s="53" t="str">
        <f>IF(AR72&gt;=N72,"OK","N/C")</f>
        <v>OK</v>
      </c>
      <c r="AT72" s="155" t="str">
        <f>IF(O34&lt;&gt;"Central","SÍ","NO")</f>
        <v>NO</v>
      </c>
      <c r="AU72" s="144">
        <v>10.125</v>
      </c>
      <c r="AV72" s="143" t="s">
        <v>730</v>
      </c>
      <c r="AW72" s="163">
        <f t="shared" si="75"/>
        <v>0.50624999999999998</v>
      </c>
      <c r="AX72" s="144">
        <v>0.55000000000000004</v>
      </c>
      <c r="AY72" s="144">
        <v>0.3</v>
      </c>
      <c r="AZ72" s="350"/>
      <c r="BA72" s="153">
        <f>SUM(N72/(2*AC34)*(AC34/2-X72/2)^2,O72)</f>
        <v>501.11099363567052</v>
      </c>
      <c r="BB72" s="153">
        <f>BA72/(0.9*AC34*V34^2)</f>
        <v>492.70725550889688</v>
      </c>
      <c r="BC72" s="150">
        <f t="shared" si="78"/>
        <v>1.8E-3</v>
      </c>
      <c r="BD72" s="148">
        <f>+BC72*AC34*V34*100^2</f>
        <v>38.744999999999997</v>
      </c>
      <c r="BE72" s="144">
        <v>5</v>
      </c>
      <c r="BF72" s="144">
        <v>27</v>
      </c>
      <c r="BG72" s="155">
        <f t="shared" si="80"/>
        <v>53.73</v>
      </c>
      <c r="BH72" s="53" t="str">
        <f t="shared" si="81"/>
        <v>OK</v>
      </c>
      <c r="BI72" s="148">
        <f>ROUND((AC34-2*0.075)/BF72,2)</f>
        <v>0.15</v>
      </c>
      <c r="BJ72" s="155" t="str">
        <f t="shared" si="83"/>
        <v>27#5@15</v>
      </c>
      <c r="BK72" s="197">
        <f t="shared" si="84"/>
        <v>0.72110552763819091</v>
      </c>
      <c r="BL72" s="350"/>
      <c r="BM72" s="153">
        <f>(1+0.5*AA34/AC34)/1.5</f>
        <v>1</v>
      </c>
      <c r="BN72" s="157">
        <v>0.85</v>
      </c>
      <c r="BO72" s="153">
        <f t="shared" si="86"/>
        <v>1.2686567164179103</v>
      </c>
      <c r="BP72" s="153">
        <f t="shared" si="87"/>
        <v>12445.5223880597</v>
      </c>
      <c r="BQ72" s="155" t="s">
        <v>699</v>
      </c>
      <c r="BR72" s="155">
        <f t="shared" si="88"/>
        <v>0.75</v>
      </c>
      <c r="BS72" s="153">
        <f>IF(AT72="SÍ",(N72*(AA34-W72)/2-P72)/(BM34+U34+BP72*BR72^2*BM34^2*AA34^3*AC34/(36*10^3*$O$8*V72)),0)</f>
        <v>0</v>
      </c>
      <c r="BT72" s="153">
        <f t="shared" si="90"/>
        <v>9.2317499999999999</v>
      </c>
      <c r="BU72" s="144">
        <v>6</v>
      </c>
      <c r="BV72" s="155" t="s">
        <v>191</v>
      </c>
      <c r="BW72" s="144">
        <v>6</v>
      </c>
      <c r="BX72" s="121"/>
      <c r="CI72" s="122"/>
      <c r="CJ72" s="350"/>
      <c r="CK72" s="153">
        <f t="shared" si="91"/>
        <v>28.4</v>
      </c>
      <c r="CL72" s="153">
        <f t="shared" si="92"/>
        <v>1073.5199999999998</v>
      </c>
      <c r="CM72" s="53" t="str">
        <f t="shared" si="93"/>
        <v>OK</v>
      </c>
      <c r="CU72" s="117"/>
    </row>
    <row r="73" spans="1:99" ht="15" customHeight="1" x14ac:dyDescent="0.25">
      <c r="A73" s="123"/>
      <c r="B73" s="124"/>
      <c r="C73" s="188"/>
      <c r="D73" s="124"/>
      <c r="E73" s="124"/>
      <c r="F73" s="124"/>
      <c r="G73" s="124"/>
      <c r="H73" s="125"/>
      <c r="I73" s="124"/>
      <c r="J73" s="124"/>
      <c r="K73" s="124"/>
      <c r="L73" s="126"/>
      <c r="M73" s="349">
        <f>M35</f>
        <v>0</v>
      </c>
      <c r="N73" s="147">
        <f t="shared" si="60"/>
        <v>1164.4122999999997</v>
      </c>
      <c r="O73" s="147">
        <f t="shared" si="94"/>
        <v>2.1532999999999998</v>
      </c>
      <c r="P73" s="147">
        <f t="shared" si="61"/>
        <v>134.4042</v>
      </c>
      <c r="Q73" s="143">
        <f t="shared" si="62"/>
        <v>40</v>
      </c>
      <c r="R73" s="163">
        <f t="shared" si="63"/>
        <v>3.1428571428571432</v>
      </c>
      <c r="S73" s="163">
        <f t="shared" si="95"/>
        <v>1</v>
      </c>
      <c r="T73" s="155">
        <f t="shared" si="102"/>
        <v>5</v>
      </c>
      <c r="U73" s="164">
        <v>2</v>
      </c>
      <c r="V73" s="165">
        <f t="shared" si="64"/>
        <v>3.9302083333333324E-3</v>
      </c>
      <c r="W73" s="144">
        <v>1.1000000000000001</v>
      </c>
      <c r="X73" s="144">
        <v>0.35</v>
      </c>
      <c r="Y73" s="349">
        <f>M73</f>
        <v>0</v>
      </c>
      <c r="Z73" s="150">
        <f t="shared" si="96"/>
        <v>81.157200708057033</v>
      </c>
      <c r="AA73" s="150">
        <f t="shared" si="97"/>
        <v>80.782284499644504</v>
      </c>
      <c r="AB73" s="151">
        <f t="shared" si="98"/>
        <v>57.755764280843273</v>
      </c>
      <c r="AC73" s="150">
        <f t="shared" si="99"/>
        <v>57.380848072430737</v>
      </c>
      <c r="AD73" s="152">
        <f t="shared" si="100"/>
        <v>0.58626102988057971</v>
      </c>
      <c r="AE73" s="361" t="str">
        <f t="shared" si="101"/>
        <v>Zapata a compresión</v>
      </c>
      <c r="AF73" s="361"/>
      <c r="AG73" s="148">
        <f t="shared" si="65"/>
        <v>2387.0452149999992</v>
      </c>
      <c r="AH73" s="150">
        <f t="shared" si="66"/>
        <v>17.760198081607562</v>
      </c>
      <c r="AI73" s="148">
        <f t="shared" si="67"/>
        <v>2387.0452149999992</v>
      </c>
      <c r="AJ73" s="150">
        <f t="shared" si="68"/>
        <v>1108.5520898156315</v>
      </c>
      <c r="AK73" s="204"/>
      <c r="AL73" s="204"/>
      <c r="AM73" s="204"/>
      <c r="AN73" s="349">
        <f>Y73</f>
        <v>0</v>
      </c>
      <c r="AO73" s="155">
        <f>W73*X73</f>
        <v>0.38500000000000001</v>
      </c>
      <c r="AP73" s="155">
        <f>(4*U35+W73)*(4*U35+X73)</f>
        <v>9.625</v>
      </c>
      <c r="AQ73" s="150">
        <f t="shared" si="71"/>
        <v>2</v>
      </c>
      <c r="AR73" s="150">
        <f t="shared" si="72"/>
        <v>11911.9</v>
      </c>
      <c r="AS73" s="53" t="str">
        <f>IF(AR73&gt;=N73,"OK","N/C")</f>
        <v>OK</v>
      </c>
      <c r="AT73" s="155" t="str">
        <f>IF(O35&lt;&gt;"Central","SÍ","NO")</f>
        <v>NO</v>
      </c>
      <c r="AU73" s="144">
        <v>10.125</v>
      </c>
      <c r="AV73" s="143" t="s">
        <v>730</v>
      </c>
      <c r="AW73" s="163">
        <f t="shared" si="75"/>
        <v>0.50624999999999998</v>
      </c>
      <c r="AX73" s="144">
        <v>0.55000000000000004</v>
      </c>
      <c r="AY73" s="144">
        <v>0.3</v>
      </c>
      <c r="AZ73" s="349">
        <f>AN73</f>
        <v>0</v>
      </c>
      <c r="BA73" s="153">
        <f>SUM(N73/(2*AC35)*(AC35/2-X73/2)^2,O73)</f>
        <v>501.37732343749985</v>
      </c>
      <c r="BB73" s="153">
        <f>BA73/(0.9*AC35*V35^2)</f>
        <v>492.969118903207</v>
      </c>
      <c r="BC73" s="150">
        <f t="shared" si="78"/>
        <v>1.8E-3</v>
      </c>
      <c r="BD73" s="148">
        <f>+BC73*AC35*V35*100^2</f>
        <v>38.744999999999997</v>
      </c>
      <c r="BE73" s="144">
        <v>5</v>
      </c>
      <c r="BF73" s="144">
        <v>27</v>
      </c>
      <c r="BG73" s="155">
        <f t="shared" si="80"/>
        <v>53.73</v>
      </c>
      <c r="BH73" s="53" t="str">
        <f t="shared" si="81"/>
        <v>OK</v>
      </c>
      <c r="BI73" s="148">
        <f>ROUND((AC35-2*0.075)/BF73,2)</f>
        <v>0.15</v>
      </c>
      <c r="BJ73" s="155" t="str">
        <f t="shared" si="83"/>
        <v>27#5@15</v>
      </c>
      <c r="BK73" s="197">
        <f t="shared" si="84"/>
        <v>0.72110552763819091</v>
      </c>
      <c r="BL73" s="349">
        <f>AZ73</f>
        <v>0</v>
      </c>
      <c r="BM73" s="153">
        <f>(1+0.5*AA35/AC35)/1.5</f>
        <v>1</v>
      </c>
      <c r="BN73" s="157">
        <v>0.85</v>
      </c>
      <c r="BO73" s="153">
        <f t="shared" si="86"/>
        <v>1.2686567164179103</v>
      </c>
      <c r="BP73" s="153">
        <f t="shared" si="87"/>
        <v>12445.5223880597</v>
      </c>
      <c r="BQ73" s="155" t="s">
        <v>699</v>
      </c>
      <c r="BR73" s="155">
        <f t="shared" si="88"/>
        <v>0.75</v>
      </c>
      <c r="BS73" s="153">
        <f>IF(AT73="SÍ",(N73*(AA35-W73)/2-P73)/(BM35+U35+BP73*BR73^2*BM35^2*AA35^3*AC35/(36*10^3*$O$8*V73)),0)</f>
        <v>0</v>
      </c>
      <c r="BT73" s="153">
        <f t="shared" si="90"/>
        <v>9.2317499999999999</v>
      </c>
      <c r="BU73" s="144">
        <v>6</v>
      </c>
      <c r="BV73" s="155" t="s">
        <v>191</v>
      </c>
      <c r="BW73" s="144">
        <v>6</v>
      </c>
      <c r="BX73" s="121"/>
      <c r="CI73" s="122"/>
      <c r="CJ73" s="349"/>
      <c r="CK73" s="153">
        <f t="shared" si="91"/>
        <v>28.4</v>
      </c>
      <c r="CL73" s="153">
        <f t="shared" si="92"/>
        <v>1073.5199999999998</v>
      </c>
      <c r="CM73" s="53" t="str">
        <f t="shared" si="93"/>
        <v>OK</v>
      </c>
      <c r="CU73" s="117"/>
    </row>
    <row r="74" spans="1:99" ht="15" customHeight="1" x14ac:dyDescent="0.25">
      <c r="A74" s="123"/>
      <c r="B74" s="124"/>
      <c r="C74" s="188"/>
      <c r="D74" s="124"/>
      <c r="E74" s="124"/>
      <c r="F74" s="124"/>
      <c r="G74" s="124"/>
      <c r="H74" s="125"/>
      <c r="I74" s="124"/>
      <c r="J74" s="124"/>
      <c r="K74" s="124"/>
      <c r="L74" s="126"/>
      <c r="M74" s="350"/>
      <c r="N74" s="147">
        <f t="shared" si="60"/>
        <v>1159.4535999999998</v>
      </c>
      <c r="O74" s="147">
        <f t="shared" si="94"/>
        <v>2.1482000000000001</v>
      </c>
      <c r="P74" s="147">
        <f t="shared" si="61"/>
        <v>134.5188</v>
      </c>
      <c r="Q74" s="143">
        <f t="shared" si="62"/>
        <v>40</v>
      </c>
      <c r="R74" s="163">
        <f t="shared" si="63"/>
        <v>3.1428571428571432</v>
      </c>
      <c r="S74" s="163">
        <f t="shared" si="95"/>
        <v>1</v>
      </c>
      <c r="T74" s="155">
        <f t="shared" si="102"/>
        <v>5</v>
      </c>
      <c r="U74" s="164">
        <v>2</v>
      </c>
      <c r="V74" s="165">
        <f t="shared" si="64"/>
        <v>3.9302083333333324E-3</v>
      </c>
      <c r="W74" s="144">
        <v>1.1000000000000001</v>
      </c>
      <c r="X74" s="144">
        <v>0.35</v>
      </c>
      <c r="Y74" s="350"/>
      <c r="Z74" s="150">
        <f t="shared" si="96"/>
        <v>80.871748233484709</v>
      </c>
      <c r="AA74" s="150">
        <f t="shared" si="97"/>
        <v>80.497719998258859</v>
      </c>
      <c r="AB74" s="151">
        <f t="shared" si="98"/>
        <v>57.450358526428801</v>
      </c>
      <c r="AC74" s="150">
        <f t="shared" si="99"/>
        <v>57.076330291202964</v>
      </c>
      <c r="AD74" s="152">
        <f t="shared" si="100"/>
        <v>0.58419898658356251</v>
      </c>
      <c r="AE74" s="361" t="str">
        <f t="shared" si="101"/>
        <v>Zapata a compresión</v>
      </c>
      <c r="AF74" s="361"/>
      <c r="AG74" s="148">
        <f t="shared" si="65"/>
        <v>2376.8798799999995</v>
      </c>
      <c r="AH74" s="150">
        <f t="shared" si="66"/>
        <v>17.669499579240966</v>
      </c>
      <c r="AI74" s="148">
        <f t="shared" si="67"/>
        <v>2376.8798799999995</v>
      </c>
      <c r="AJ74" s="150">
        <f t="shared" si="68"/>
        <v>1106.4518573689597</v>
      </c>
      <c r="AK74" s="205"/>
      <c r="AL74" s="205"/>
      <c r="AM74" s="205"/>
      <c r="AN74" s="350"/>
      <c r="AO74" s="155">
        <f>W74*X74</f>
        <v>0.38500000000000001</v>
      </c>
      <c r="AP74" s="155">
        <f>(4*U36+W74)*(4*U36+X74)</f>
        <v>9.625</v>
      </c>
      <c r="AQ74" s="150">
        <f t="shared" si="71"/>
        <v>2</v>
      </c>
      <c r="AR74" s="150">
        <f t="shared" si="72"/>
        <v>11911.9</v>
      </c>
      <c r="AS74" s="53" t="str">
        <f>IF(AR74&gt;=N74,"OK","N/C")</f>
        <v>OK</v>
      </c>
      <c r="AT74" s="155" t="str">
        <f>IF(O36&lt;&gt;"Central","SÍ","NO")</f>
        <v>NO</v>
      </c>
      <c r="AU74" s="144">
        <v>10.125</v>
      </c>
      <c r="AV74" s="143" t="s">
        <v>730</v>
      </c>
      <c r="AW74" s="163">
        <f t="shared" si="75"/>
        <v>0.50624999999999998</v>
      </c>
      <c r="AX74" s="144">
        <v>0.55000000000000004</v>
      </c>
      <c r="AY74" s="144">
        <v>0.3</v>
      </c>
      <c r="AZ74" s="350"/>
      <c r="BA74" s="153">
        <f>SUM(N74/(2*AC36)*(AC36/2-X74/2)^2,O74)</f>
        <v>499.24625640243886</v>
      </c>
      <c r="BB74" s="153">
        <f>BA74/(0.9*AC36*V36^2)</f>
        <v>490.8737903163555</v>
      </c>
      <c r="BC74" s="150">
        <f t="shared" si="78"/>
        <v>1.8E-3</v>
      </c>
      <c r="BD74" s="148">
        <f>+BC74*AC36*V36*100^2</f>
        <v>38.744999999999997</v>
      </c>
      <c r="BE74" s="144">
        <v>5</v>
      </c>
      <c r="BF74" s="144">
        <v>27</v>
      </c>
      <c r="BG74" s="155">
        <f t="shared" si="80"/>
        <v>53.73</v>
      </c>
      <c r="BH74" s="53" t="str">
        <f t="shared" si="81"/>
        <v>OK</v>
      </c>
      <c r="BI74" s="148">
        <f>ROUND((AC36-2*0.075)/BF74,2)</f>
        <v>0.15</v>
      </c>
      <c r="BJ74" s="155" t="str">
        <f t="shared" si="83"/>
        <v>27#5@15</v>
      </c>
      <c r="BK74" s="197">
        <f t="shared" si="84"/>
        <v>0.72110552763819091</v>
      </c>
      <c r="BL74" s="350"/>
      <c r="BM74" s="153">
        <f>(1+0.5*AA36/AC36)/1.5</f>
        <v>1</v>
      </c>
      <c r="BN74" s="157">
        <v>0.85</v>
      </c>
      <c r="BO74" s="153">
        <f t="shared" si="86"/>
        <v>1.2686567164179103</v>
      </c>
      <c r="BP74" s="153">
        <f t="shared" si="87"/>
        <v>12445.5223880597</v>
      </c>
      <c r="BQ74" s="155" t="s">
        <v>699</v>
      </c>
      <c r="BR74" s="155">
        <f t="shared" si="88"/>
        <v>0.75</v>
      </c>
      <c r="BS74" s="153">
        <f>IF(AT74="SÍ",(N74*(AA36-W74)/2-P74)/(BM36+U36+BP74*BR74^2*BM36^2*AA36^3*AC36/(36*10^3*$O$8*V74)),0)</f>
        <v>0</v>
      </c>
      <c r="BT74" s="153">
        <f t="shared" si="90"/>
        <v>9.2317499999999999</v>
      </c>
      <c r="BU74" s="144">
        <v>6</v>
      </c>
      <c r="BV74" s="155" t="s">
        <v>191</v>
      </c>
      <c r="BW74" s="144">
        <v>6</v>
      </c>
      <c r="BX74" s="121"/>
      <c r="CI74" s="122"/>
      <c r="CJ74" s="350"/>
      <c r="CK74" s="153">
        <f t="shared" si="91"/>
        <v>28.4</v>
      </c>
      <c r="CL74" s="153">
        <f t="shared" si="92"/>
        <v>1073.5199999999998</v>
      </c>
      <c r="CM74" s="53" t="str">
        <f t="shared" si="93"/>
        <v>OK</v>
      </c>
      <c r="CU74" s="117"/>
    </row>
    <row r="75" spans="1:99" ht="15" customHeight="1" x14ac:dyDescent="0.25">
      <c r="A75" s="123"/>
      <c r="B75" s="124"/>
      <c r="C75" s="188"/>
      <c r="D75" s="124"/>
      <c r="E75" s="124"/>
      <c r="F75" s="124"/>
      <c r="G75" s="124"/>
      <c r="H75" s="125"/>
      <c r="I75" s="124"/>
      <c r="J75" s="124"/>
      <c r="K75" s="124"/>
      <c r="L75" s="126"/>
      <c r="M75" s="349">
        <f>M37</f>
        <v>0</v>
      </c>
      <c r="N75" s="147">
        <f t="shared" si="60"/>
        <v>1159.4535999999998</v>
      </c>
      <c r="O75" s="147">
        <f t="shared" si="94"/>
        <v>2.1482000000000001</v>
      </c>
      <c r="P75" s="147">
        <f t="shared" si="61"/>
        <v>134.5188</v>
      </c>
      <c r="Q75" s="143">
        <f t="shared" si="62"/>
        <v>40</v>
      </c>
      <c r="R75" s="163">
        <f t="shared" si="63"/>
        <v>3.1428571428571432</v>
      </c>
      <c r="S75" s="163">
        <f t="shared" si="95"/>
        <v>1</v>
      </c>
      <c r="T75" s="155">
        <f t="shared" si="102"/>
        <v>5</v>
      </c>
      <c r="U75" s="164">
        <v>2</v>
      </c>
      <c r="V75" s="165">
        <f t="shared" si="64"/>
        <v>3.9302083333333324E-3</v>
      </c>
      <c r="W75" s="144">
        <v>1.1000000000000001</v>
      </c>
      <c r="X75" s="144">
        <v>0.35</v>
      </c>
      <c r="Y75" s="349"/>
      <c r="Z75" s="150">
        <f t="shared" si="96"/>
        <v>80.871748233484709</v>
      </c>
      <c r="AA75" s="150">
        <f t="shared" si="97"/>
        <v>80.497719998258859</v>
      </c>
      <c r="AB75" s="151">
        <f t="shared" si="98"/>
        <v>57.450358526428801</v>
      </c>
      <c r="AC75" s="150">
        <f t="shared" si="99"/>
        <v>57.076330291202964</v>
      </c>
      <c r="AD75" s="152">
        <f t="shared" si="100"/>
        <v>0.58419898658356251</v>
      </c>
      <c r="AE75" s="361" t="str">
        <f t="shared" si="101"/>
        <v>Zapata a compresión</v>
      </c>
      <c r="AF75" s="361"/>
      <c r="AG75" s="148">
        <f t="shared" si="65"/>
        <v>2376.8798799999995</v>
      </c>
      <c r="AH75" s="150">
        <f t="shared" si="66"/>
        <v>17.669499579240966</v>
      </c>
      <c r="AI75" s="148">
        <f t="shared" si="67"/>
        <v>2376.8798799999995</v>
      </c>
      <c r="AJ75" s="150">
        <f t="shared" si="68"/>
        <v>1106.4518573689597</v>
      </c>
      <c r="AK75" s="204"/>
      <c r="AL75" s="204"/>
      <c r="AM75" s="204"/>
      <c r="AN75" s="349"/>
      <c r="AO75" s="155"/>
      <c r="AP75" s="155"/>
      <c r="AQ75" s="150"/>
      <c r="AR75" s="150"/>
      <c r="AS75" s="53"/>
      <c r="AT75" s="155"/>
      <c r="AU75" s="144"/>
      <c r="AV75" s="143"/>
      <c r="AW75" s="163"/>
      <c r="AX75" s="144"/>
      <c r="AY75" s="144"/>
      <c r="AZ75" s="349"/>
      <c r="BA75" s="153"/>
      <c r="BB75" s="153"/>
      <c r="BC75" s="150"/>
      <c r="BD75" s="148"/>
      <c r="BE75" s="144"/>
      <c r="BF75" s="144"/>
      <c r="BG75" s="155"/>
      <c r="BH75" s="53"/>
      <c r="BI75" s="148"/>
      <c r="BJ75" s="155"/>
      <c r="BK75" s="197"/>
      <c r="BL75" s="349"/>
      <c r="BM75" s="153"/>
      <c r="BN75" s="157"/>
      <c r="BO75" s="153"/>
      <c r="BP75" s="153"/>
      <c r="BQ75" s="155"/>
      <c r="BR75" s="155"/>
      <c r="BS75" s="153"/>
      <c r="BT75" s="153"/>
      <c r="BU75" s="144"/>
      <c r="BV75" s="155"/>
      <c r="BW75" s="144"/>
      <c r="BX75" s="121"/>
      <c r="CI75" s="122"/>
      <c r="CJ75" s="349"/>
      <c r="CK75" s="153"/>
      <c r="CL75" s="153"/>
      <c r="CM75" s="53"/>
      <c r="CU75" s="117"/>
    </row>
    <row r="76" spans="1:99" ht="15" customHeight="1" x14ac:dyDescent="0.25">
      <c r="A76" s="123"/>
      <c r="B76" s="124"/>
      <c r="C76" s="188"/>
      <c r="D76" s="124"/>
      <c r="E76" s="124"/>
      <c r="F76" s="124"/>
      <c r="G76" s="124"/>
      <c r="H76" s="125"/>
      <c r="I76" s="124"/>
      <c r="J76" s="124"/>
      <c r="K76" s="124"/>
      <c r="L76" s="126"/>
      <c r="M76" s="350"/>
      <c r="N76" s="147">
        <f t="shared" si="60"/>
        <v>1159.4535999999998</v>
      </c>
      <c r="O76" s="147">
        <f t="shared" si="94"/>
        <v>2.1482000000000001</v>
      </c>
      <c r="P76" s="147">
        <f t="shared" si="61"/>
        <v>134.5188</v>
      </c>
      <c r="Q76" s="143">
        <f t="shared" si="62"/>
        <v>40</v>
      </c>
      <c r="R76" s="163">
        <f t="shared" si="63"/>
        <v>3.1428571428571432</v>
      </c>
      <c r="S76" s="163">
        <f t="shared" si="95"/>
        <v>1</v>
      </c>
      <c r="T76" s="155">
        <f t="shared" si="102"/>
        <v>5</v>
      </c>
      <c r="U76" s="164">
        <v>2</v>
      </c>
      <c r="V76" s="165">
        <f t="shared" si="64"/>
        <v>3.9302083333333324E-3</v>
      </c>
      <c r="W76" s="144">
        <v>1.1000000000000001</v>
      </c>
      <c r="X76" s="144">
        <v>0.35</v>
      </c>
      <c r="Y76" s="350"/>
      <c r="Z76" s="150">
        <f t="shared" si="96"/>
        <v>80.871748233484709</v>
      </c>
      <c r="AA76" s="150">
        <f t="shared" si="97"/>
        <v>80.497719998258859</v>
      </c>
      <c r="AB76" s="151">
        <f t="shared" si="98"/>
        <v>57.450358526428801</v>
      </c>
      <c r="AC76" s="150">
        <f t="shared" si="99"/>
        <v>57.076330291202964</v>
      </c>
      <c r="AD76" s="152">
        <f t="shared" si="100"/>
        <v>0.58419898658356251</v>
      </c>
      <c r="AE76" s="361" t="str">
        <f t="shared" si="101"/>
        <v>Zapata a compresión</v>
      </c>
      <c r="AF76" s="361"/>
      <c r="AG76" s="148">
        <f t="shared" si="65"/>
        <v>2376.8798799999995</v>
      </c>
      <c r="AH76" s="150">
        <f t="shared" si="66"/>
        <v>17.669499579240966</v>
      </c>
      <c r="AI76" s="148">
        <f t="shared" si="67"/>
        <v>2376.8798799999995</v>
      </c>
      <c r="AJ76" s="150">
        <f t="shared" si="68"/>
        <v>1106.4518573689597</v>
      </c>
      <c r="AK76" s="205"/>
      <c r="AL76" s="205"/>
      <c r="AM76" s="205"/>
      <c r="AN76" s="350"/>
      <c r="AO76" s="155"/>
      <c r="AP76" s="155"/>
      <c r="AQ76" s="150"/>
      <c r="AR76" s="150"/>
      <c r="AS76" s="53"/>
      <c r="AT76" s="155"/>
      <c r="AU76" s="144"/>
      <c r="AV76" s="143"/>
      <c r="AW76" s="163"/>
      <c r="AX76" s="144"/>
      <c r="AY76" s="144"/>
      <c r="AZ76" s="350"/>
      <c r="BA76" s="153"/>
      <c r="BB76" s="153"/>
      <c r="BC76" s="150"/>
      <c r="BD76" s="148"/>
      <c r="BE76" s="144"/>
      <c r="BF76" s="144"/>
      <c r="BG76" s="155"/>
      <c r="BH76" s="53"/>
      <c r="BI76" s="148"/>
      <c r="BJ76" s="155"/>
      <c r="BK76" s="197"/>
      <c r="BL76" s="350"/>
      <c r="BM76" s="153"/>
      <c r="BN76" s="157"/>
      <c r="BO76" s="153"/>
      <c r="BP76" s="153"/>
      <c r="BQ76" s="155"/>
      <c r="BR76" s="155"/>
      <c r="BS76" s="153"/>
      <c r="BT76" s="153"/>
      <c r="BU76" s="144"/>
      <c r="BV76" s="155"/>
      <c r="BW76" s="144"/>
      <c r="BX76" s="121"/>
      <c r="CI76" s="122"/>
      <c r="CJ76" s="350"/>
      <c r="CK76" s="153"/>
      <c r="CL76" s="153"/>
      <c r="CM76" s="53"/>
      <c r="CU76" s="117"/>
    </row>
    <row r="77" spans="1:99" x14ac:dyDescent="0.25">
      <c r="A77" s="123"/>
      <c r="B77" s="124"/>
      <c r="C77" s="188"/>
      <c r="D77" s="124"/>
      <c r="E77" s="124"/>
      <c r="F77" s="124"/>
      <c r="G77" s="124"/>
      <c r="H77" s="125"/>
      <c r="I77" s="124"/>
      <c r="J77" s="124"/>
      <c r="K77" s="124"/>
      <c r="L77" s="126"/>
      <c r="M77" s="349">
        <f>M39</f>
        <v>0</v>
      </c>
      <c r="N77" s="147">
        <f t="shared" si="60"/>
        <v>1190.2291999999998</v>
      </c>
      <c r="O77" s="147">
        <f t="shared" si="94"/>
        <v>17.001100000000001</v>
      </c>
      <c r="P77" s="147">
        <f t="shared" si="61"/>
        <v>622.25440000000003</v>
      </c>
      <c r="Q77" s="143">
        <f t="shared" si="62"/>
        <v>40</v>
      </c>
      <c r="R77" s="163">
        <f t="shared" si="63"/>
        <v>3.1428571428571432</v>
      </c>
      <c r="S77" s="163">
        <f t="shared" si="95"/>
        <v>1</v>
      </c>
      <c r="T77" s="155">
        <f t="shared" si="102"/>
        <v>5</v>
      </c>
      <c r="U77" s="164">
        <v>2</v>
      </c>
      <c r="V77" s="165">
        <f t="shared" si="64"/>
        <v>3.9302083333333324E-3</v>
      </c>
      <c r="W77" s="144">
        <v>1.1000000000000001</v>
      </c>
      <c r="X77" s="144">
        <v>0.35</v>
      </c>
      <c r="Y77" s="349">
        <f>M77</f>
        <v>0</v>
      </c>
      <c r="Z77" s="150">
        <f t="shared" si="96"/>
        <v>126.45598177623657</v>
      </c>
      <c r="AA77" s="150">
        <f t="shared" si="97"/>
        <v>123.49587963030135</v>
      </c>
      <c r="AB77" s="151">
        <f t="shared" si="98"/>
        <v>18.113781285819972</v>
      </c>
      <c r="AC77" s="150">
        <f t="shared" si="99"/>
        <v>15.153679139884771</v>
      </c>
      <c r="AD77" s="152">
        <f t="shared" si="100"/>
        <v>0.91348904920196761</v>
      </c>
      <c r="AE77" s="361" t="str">
        <f t="shared" si="101"/>
        <v>Zapata a compresión</v>
      </c>
      <c r="AF77" s="361"/>
      <c r="AG77" s="148">
        <f t="shared" si="65"/>
        <v>2439.9698599999992</v>
      </c>
      <c r="AH77" s="150">
        <f t="shared" si="66"/>
        <v>3.9211773512569765</v>
      </c>
      <c r="AI77" s="148">
        <f t="shared" si="67"/>
        <v>2439.9698599999992</v>
      </c>
      <c r="AJ77" s="150">
        <f t="shared" si="68"/>
        <v>143.51835234190725</v>
      </c>
      <c r="AK77" s="204"/>
      <c r="AL77" s="204"/>
      <c r="AM77" s="204"/>
      <c r="AN77" s="349"/>
      <c r="AO77" s="155"/>
      <c r="AP77" s="155"/>
      <c r="AQ77" s="150"/>
      <c r="AR77" s="150"/>
      <c r="AS77" s="53"/>
      <c r="AT77" s="155"/>
      <c r="AU77" s="144"/>
      <c r="AV77" s="143"/>
      <c r="AW77" s="163"/>
      <c r="AX77" s="144"/>
      <c r="AY77" s="144"/>
      <c r="AZ77" s="349"/>
      <c r="BA77" s="153"/>
      <c r="BB77" s="153"/>
      <c r="BC77" s="150"/>
      <c r="BD77" s="148"/>
      <c r="BE77" s="144"/>
      <c r="BF77" s="144"/>
      <c r="BG77" s="155"/>
      <c r="BH77" s="53"/>
      <c r="BI77" s="148"/>
      <c r="BJ77" s="155"/>
      <c r="BK77" s="197"/>
      <c r="BL77" s="349"/>
      <c r="BM77" s="153"/>
      <c r="BN77" s="157"/>
      <c r="BO77" s="153"/>
      <c r="BP77" s="153"/>
      <c r="BQ77" s="155"/>
      <c r="BR77" s="155"/>
      <c r="BS77" s="153"/>
      <c r="BT77" s="153"/>
      <c r="BU77" s="144"/>
      <c r="BV77" s="155"/>
      <c r="BW77" s="144"/>
      <c r="BX77" s="121"/>
      <c r="CI77" s="122"/>
      <c r="CJ77" s="349"/>
      <c r="CK77" s="153"/>
      <c r="CL77" s="153"/>
      <c r="CM77" s="53"/>
      <c r="CU77" s="117"/>
    </row>
    <row r="78" spans="1:99" x14ac:dyDescent="0.25">
      <c r="A78" s="123"/>
      <c r="B78" s="124"/>
      <c r="C78" s="188"/>
      <c r="D78" s="124"/>
      <c r="E78" s="124"/>
      <c r="F78" s="124"/>
      <c r="G78" s="124"/>
      <c r="H78" s="125"/>
      <c r="I78" s="124"/>
      <c r="J78" s="124"/>
      <c r="K78" s="124"/>
      <c r="L78" s="126"/>
      <c r="M78" s="350"/>
      <c r="N78" s="147">
        <f t="shared" si="60"/>
        <v>1137.3557999999998</v>
      </c>
      <c r="O78" s="147">
        <f t="shared" si="94"/>
        <v>-12.695800000000002</v>
      </c>
      <c r="P78" s="147">
        <f t="shared" si="61"/>
        <v>-353.4171</v>
      </c>
      <c r="Q78" s="143">
        <f>IF(O40="Central",40,IF(O40="Medianera",30,IF(O40="Esquinera",20,"Def. Posición")))</f>
        <v>40</v>
      </c>
      <c r="R78" s="163">
        <f t="shared" si="63"/>
        <v>3.1428571428571432</v>
      </c>
      <c r="S78" s="163">
        <f t="shared" si="95"/>
        <v>1</v>
      </c>
      <c r="T78" s="155">
        <f t="shared" si="102"/>
        <v>5</v>
      </c>
      <c r="U78" s="164">
        <v>2</v>
      </c>
      <c r="V78" s="165">
        <f t="shared" si="64"/>
        <v>3.9302083333333324E-3</v>
      </c>
      <c r="W78" s="144">
        <v>1.1000000000000001</v>
      </c>
      <c r="X78" s="144">
        <v>0.35</v>
      </c>
      <c r="Y78" s="350"/>
      <c r="Z78" s="150">
        <f t="shared" si="96"/>
        <v>35.787080570508252</v>
      </c>
      <c r="AA78" s="150">
        <f t="shared" si="97"/>
        <v>37.997576645724799</v>
      </c>
      <c r="AB78" s="151">
        <f t="shared" si="98"/>
        <v>97.321376358439366</v>
      </c>
      <c r="AC78" s="150">
        <f t="shared" si="99"/>
        <v>99.53187243365592</v>
      </c>
      <c r="AD78" s="152">
        <f t="shared" si="100"/>
        <v>0.71899544993922682</v>
      </c>
      <c r="AE78" s="361" t="str">
        <f t="shared" si="101"/>
        <v>Zapata a compresión</v>
      </c>
      <c r="AF78" s="361"/>
      <c r="AG78" s="148">
        <f t="shared" si="65"/>
        <v>2331.5793899999994</v>
      </c>
      <c r="AH78" s="150">
        <f t="shared" si="66"/>
        <v>-6.5972455492391271</v>
      </c>
      <c r="AI78" s="148">
        <f t="shared" si="67"/>
        <v>2331.5793899999994</v>
      </c>
      <c r="AJ78" s="150">
        <f t="shared" si="68"/>
        <v>-183.64966288063761</v>
      </c>
      <c r="AK78" s="205"/>
      <c r="AL78" s="205"/>
      <c r="AM78" s="205"/>
      <c r="AN78" s="350"/>
      <c r="AO78" s="155"/>
      <c r="AP78" s="155"/>
      <c r="AQ78" s="150"/>
      <c r="AR78" s="150"/>
      <c r="AS78" s="53"/>
      <c r="AT78" s="155"/>
      <c r="AU78" s="144"/>
      <c r="AV78" s="143"/>
      <c r="AW78" s="163"/>
      <c r="AX78" s="144"/>
      <c r="AY78" s="144"/>
      <c r="AZ78" s="350"/>
      <c r="BA78" s="153"/>
      <c r="BB78" s="153"/>
      <c r="BC78" s="150"/>
      <c r="BD78" s="148"/>
      <c r="BE78" s="144"/>
      <c r="BF78" s="144"/>
      <c r="BG78" s="155"/>
      <c r="BH78" s="53"/>
      <c r="BI78" s="148"/>
      <c r="BJ78" s="155"/>
      <c r="BK78" s="197"/>
      <c r="BL78" s="350"/>
      <c r="BM78" s="153"/>
      <c r="BN78" s="157"/>
      <c r="BO78" s="153"/>
      <c r="BP78" s="153"/>
      <c r="BQ78" s="155"/>
      <c r="BR78" s="155"/>
      <c r="BS78" s="153"/>
      <c r="BT78" s="153"/>
      <c r="BU78" s="144"/>
      <c r="BV78" s="155"/>
      <c r="BW78" s="144"/>
      <c r="BX78" s="121"/>
      <c r="CI78" s="122"/>
      <c r="CJ78" s="350"/>
      <c r="CK78" s="153"/>
      <c r="CL78" s="153"/>
      <c r="CM78" s="53"/>
      <c r="CU78" s="117"/>
    </row>
    <row r="79" spans="1:99" ht="15" customHeight="1" x14ac:dyDescent="0.25">
      <c r="A79" s="123"/>
      <c r="B79" s="124"/>
      <c r="C79" s="188"/>
      <c r="D79" s="124"/>
      <c r="E79" s="124"/>
      <c r="F79" s="124"/>
      <c r="G79" s="124"/>
      <c r="H79" s="125"/>
      <c r="I79" s="124"/>
      <c r="J79" s="124"/>
      <c r="K79" s="124"/>
      <c r="L79" s="126"/>
      <c r="M79" s="349">
        <f>M41</f>
        <v>0</v>
      </c>
      <c r="N79" s="147">
        <f t="shared" si="60"/>
        <v>1190.2291999999998</v>
      </c>
      <c r="O79" s="147">
        <f t="shared" si="94"/>
        <v>17.001100000000001</v>
      </c>
      <c r="P79" s="147">
        <f t="shared" si="61"/>
        <v>622.25440000000003</v>
      </c>
      <c r="Q79" s="143">
        <f t="shared" ref="Q79:Q82" si="103">IF(O41="Central",40,IF(O41="Medianera",30,IF(O41="Esquinera",20,"Def. Posición")))</f>
        <v>40</v>
      </c>
      <c r="R79" s="163">
        <f t="shared" si="63"/>
        <v>3.1428571428571432</v>
      </c>
      <c r="S79" s="163">
        <f t="shared" si="95"/>
        <v>1</v>
      </c>
      <c r="T79" s="155">
        <f t="shared" si="102"/>
        <v>5</v>
      </c>
      <c r="U79" s="164">
        <v>2</v>
      </c>
      <c r="V79" s="165">
        <f t="shared" si="64"/>
        <v>3.9302083333333324E-3</v>
      </c>
      <c r="W79" s="144">
        <v>1.1000000000000001</v>
      </c>
      <c r="X79" s="144">
        <v>0.35</v>
      </c>
      <c r="Y79" s="349">
        <f>M79</f>
        <v>0</v>
      </c>
      <c r="Z79" s="150">
        <f t="shared" si="96"/>
        <v>126.45598177623657</v>
      </c>
      <c r="AA79" s="150">
        <f t="shared" si="97"/>
        <v>123.49587963030135</v>
      </c>
      <c r="AB79" s="151">
        <f t="shared" si="98"/>
        <v>18.113781285819972</v>
      </c>
      <c r="AC79" s="150">
        <f t="shared" si="99"/>
        <v>15.153679139884771</v>
      </c>
      <c r="AD79" s="152">
        <f t="shared" si="100"/>
        <v>0.91348904920196761</v>
      </c>
      <c r="AE79" s="361" t="str">
        <f t="shared" si="101"/>
        <v>Zapata a compresión</v>
      </c>
      <c r="AF79" s="361"/>
      <c r="AG79" s="148">
        <f t="shared" si="65"/>
        <v>2439.9698599999992</v>
      </c>
      <c r="AH79" s="150">
        <f t="shared" si="66"/>
        <v>3.9211773512569765</v>
      </c>
      <c r="AI79" s="148">
        <f t="shared" si="67"/>
        <v>2439.9698599999992</v>
      </c>
      <c r="AJ79" s="150">
        <f t="shared" si="68"/>
        <v>143.51835234190725</v>
      </c>
      <c r="AK79" s="204"/>
      <c r="AL79" s="204"/>
      <c r="AM79" s="204"/>
      <c r="AN79" s="349"/>
      <c r="AO79" s="155"/>
      <c r="AP79" s="155"/>
      <c r="AQ79" s="150"/>
      <c r="AR79" s="150"/>
      <c r="AS79" s="53"/>
      <c r="AT79" s="155"/>
      <c r="AU79" s="144"/>
      <c r="AV79" s="143"/>
      <c r="AW79" s="163"/>
      <c r="AX79" s="144"/>
      <c r="AY79" s="144"/>
      <c r="AZ79" s="349"/>
      <c r="BA79" s="153"/>
      <c r="BB79" s="153"/>
      <c r="BC79" s="150"/>
      <c r="BD79" s="148"/>
      <c r="BE79" s="144"/>
      <c r="BF79" s="144"/>
      <c r="BG79" s="155"/>
      <c r="BH79" s="53"/>
      <c r="BI79" s="148"/>
      <c r="BJ79" s="155"/>
      <c r="BK79" s="197"/>
      <c r="BL79" s="349"/>
      <c r="BM79" s="153"/>
      <c r="BN79" s="157"/>
      <c r="BO79" s="153"/>
      <c r="BP79" s="153"/>
      <c r="BQ79" s="155"/>
      <c r="BR79" s="155"/>
      <c r="BS79" s="153"/>
      <c r="BT79" s="153"/>
      <c r="BU79" s="144"/>
      <c r="BV79" s="155"/>
      <c r="BW79" s="144"/>
      <c r="BX79" s="121"/>
      <c r="CI79" s="122"/>
      <c r="CJ79" s="349"/>
      <c r="CK79" s="153"/>
      <c r="CL79" s="153"/>
      <c r="CM79" s="53"/>
      <c r="CU79" s="117"/>
    </row>
    <row r="80" spans="1:99" x14ac:dyDescent="0.25">
      <c r="A80" s="123"/>
      <c r="B80" s="124"/>
      <c r="C80" s="188"/>
      <c r="D80" s="124"/>
      <c r="E80" s="124"/>
      <c r="F80" s="124"/>
      <c r="G80" s="124"/>
      <c r="H80" s="125"/>
      <c r="I80" s="124"/>
      <c r="J80" s="124"/>
      <c r="K80" s="124"/>
      <c r="L80" s="126"/>
      <c r="M80" s="350"/>
      <c r="N80" s="147">
        <f t="shared" si="60"/>
        <v>1137.3557999999998</v>
      </c>
      <c r="O80" s="147">
        <f t="shared" si="94"/>
        <v>-12.695800000000002</v>
      </c>
      <c r="P80" s="147">
        <f t="shared" si="61"/>
        <v>-353.4171</v>
      </c>
      <c r="Q80" s="143">
        <f t="shared" si="103"/>
        <v>40</v>
      </c>
      <c r="R80" s="163">
        <f t="shared" si="63"/>
        <v>3.1428571428571432</v>
      </c>
      <c r="S80" s="163">
        <f t="shared" si="95"/>
        <v>1</v>
      </c>
      <c r="T80" s="155">
        <f t="shared" si="102"/>
        <v>5</v>
      </c>
      <c r="U80" s="164">
        <v>2</v>
      </c>
      <c r="V80" s="165">
        <f t="shared" si="64"/>
        <v>3.9302083333333324E-3</v>
      </c>
      <c r="W80" s="144">
        <v>1.1000000000000001</v>
      </c>
      <c r="X80" s="144">
        <v>0.35</v>
      </c>
      <c r="Y80" s="350"/>
      <c r="Z80" s="150">
        <f t="shared" si="96"/>
        <v>35.787080570508252</v>
      </c>
      <c r="AA80" s="150">
        <f t="shared" si="97"/>
        <v>37.997576645724799</v>
      </c>
      <c r="AB80" s="151">
        <f t="shared" si="98"/>
        <v>97.321376358439366</v>
      </c>
      <c r="AC80" s="150">
        <f t="shared" si="99"/>
        <v>99.53187243365592</v>
      </c>
      <c r="AD80" s="152">
        <f t="shared" si="100"/>
        <v>0.71899544993922682</v>
      </c>
      <c r="AE80" s="361" t="str">
        <f t="shared" si="101"/>
        <v>Zapata a compresión</v>
      </c>
      <c r="AF80" s="361"/>
      <c r="AG80" s="148">
        <f t="shared" si="65"/>
        <v>2331.5793899999994</v>
      </c>
      <c r="AH80" s="150">
        <f t="shared" si="66"/>
        <v>-6.5972455492391271</v>
      </c>
      <c r="AI80" s="148">
        <f t="shared" si="67"/>
        <v>2331.5793899999994</v>
      </c>
      <c r="AJ80" s="150">
        <f t="shared" si="68"/>
        <v>-183.64966288063761</v>
      </c>
      <c r="AK80" s="205"/>
      <c r="AL80" s="205"/>
      <c r="AM80" s="205"/>
      <c r="AN80" s="350"/>
      <c r="AO80" s="155"/>
      <c r="AP80" s="155"/>
      <c r="AQ80" s="150"/>
      <c r="AR80" s="150"/>
      <c r="AS80" s="53"/>
      <c r="AT80" s="155"/>
      <c r="AU80" s="144"/>
      <c r="AV80" s="143"/>
      <c r="AW80" s="163"/>
      <c r="AX80" s="144"/>
      <c r="AY80" s="144"/>
      <c r="AZ80" s="350"/>
      <c r="BA80" s="153"/>
      <c r="BB80" s="153"/>
      <c r="BC80" s="150"/>
      <c r="BD80" s="148"/>
      <c r="BE80" s="144"/>
      <c r="BF80" s="144"/>
      <c r="BG80" s="155"/>
      <c r="BH80" s="53"/>
      <c r="BI80" s="148"/>
      <c r="BJ80" s="155"/>
      <c r="BK80" s="197"/>
      <c r="BL80" s="350"/>
      <c r="BM80" s="153"/>
      <c r="BN80" s="157"/>
      <c r="BO80" s="153"/>
      <c r="BP80" s="153"/>
      <c r="BQ80" s="155"/>
      <c r="BR80" s="155"/>
      <c r="BS80" s="153"/>
      <c r="BT80" s="153"/>
      <c r="BU80" s="144"/>
      <c r="BV80" s="155"/>
      <c r="BW80" s="144"/>
      <c r="BX80" s="121"/>
      <c r="CI80" s="122"/>
      <c r="CJ80" s="350"/>
      <c r="CK80" s="153"/>
      <c r="CL80" s="153"/>
      <c r="CM80" s="53"/>
      <c r="CU80" s="117"/>
    </row>
    <row r="81" spans="1:99" x14ac:dyDescent="0.25">
      <c r="A81" s="123"/>
      <c r="L81" s="126"/>
      <c r="M81" s="349">
        <f>M43</f>
        <v>0</v>
      </c>
      <c r="N81" s="147">
        <f t="shared" si="60"/>
        <v>1185.8902999999998</v>
      </c>
      <c r="O81" s="147">
        <f t="shared" si="94"/>
        <v>16.996700000000001</v>
      </c>
      <c r="P81" s="147">
        <f t="shared" si="61"/>
        <v>622.35450000000003</v>
      </c>
      <c r="Q81" s="143">
        <f t="shared" si="103"/>
        <v>40</v>
      </c>
      <c r="R81" s="163">
        <f t="shared" si="63"/>
        <v>3.1428571428571432</v>
      </c>
      <c r="S81" s="163">
        <f t="shared" si="95"/>
        <v>1</v>
      </c>
      <c r="T81" s="155">
        <f t="shared" si="102"/>
        <v>5</v>
      </c>
      <c r="U81" s="164">
        <v>2</v>
      </c>
      <c r="V81" s="165">
        <f t="shared" si="64"/>
        <v>3.9302083333333324E-3</v>
      </c>
      <c r="W81" s="144">
        <v>1.1000000000000001</v>
      </c>
      <c r="X81" s="144">
        <v>0.35</v>
      </c>
      <c r="Y81" s="349">
        <f>M81</f>
        <v>0</v>
      </c>
      <c r="Z81" s="150">
        <f t="shared" si="96"/>
        <v>126.20619883634886</v>
      </c>
      <c r="AA81" s="150">
        <f t="shared" si="97"/>
        <v>123.24686278492767</v>
      </c>
      <c r="AB81" s="151">
        <f t="shared" si="98"/>
        <v>17.846569695738573</v>
      </c>
      <c r="AC81" s="150">
        <f t="shared" si="99"/>
        <v>14.88723364431738</v>
      </c>
      <c r="AD81" s="152">
        <f t="shared" si="100"/>
        <v>0.91168467445385448</v>
      </c>
      <c r="AE81" s="361" t="str">
        <f t="shared" si="101"/>
        <v>Zapata a compresión</v>
      </c>
      <c r="AF81" s="361"/>
      <c r="AG81" s="148">
        <f t="shared" si="65"/>
        <v>2431.0751149999992</v>
      </c>
      <c r="AH81" s="150">
        <f t="shared" si="66"/>
        <v>3.9062545783793627</v>
      </c>
      <c r="AI81" s="148">
        <f t="shared" si="67"/>
        <v>2431.0751149999992</v>
      </c>
      <c r="AJ81" s="150">
        <f t="shared" si="68"/>
        <v>143.03218360034589</v>
      </c>
      <c r="AK81" s="204"/>
      <c r="AL81" s="204"/>
      <c r="AM81" s="204"/>
      <c r="AN81" s="349"/>
      <c r="AO81" s="155"/>
      <c r="AP81" s="155"/>
      <c r="AQ81" s="150"/>
      <c r="AR81" s="150"/>
      <c r="AS81" s="53"/>
      <c r="AT81" s="155"/>
      <c r="AU81" s="144"/>
      <c r="AV81" s="143"/>
      <c r="AW81" s="163"/>
      <c r="AX81" s="144"/>
      <c r="AY81" s="144"/>
      <c r="AZ81" s="349"/>
      <c r="BA81" s="153"/>
      <c r="BB81" s="153"/>
      <c r="BC81" s="150"/>
      <c r="BD81" s="148"/>
      <c r="BE81" s="144"/>
      <c r="BF81" s="144"/>
      <c r="BG81" s="155"/>
      <c r="BH81" s="53"/>
      <c r="BI81" s="148"/>
      <c r="BJ81" s="155"/>
      <c r="BK81" s="197"/>
      <c r="BL81" s="349"/>
      <c r="BM81" s="153"/>
      <c r="BN81" s="157"/>
      <c r="BO81" s="153"/>
      <c r="BP81" s="153"/>
      <c r="BQ81" s="155"/>
      <c r="BR81" s="155"/>
      <c r="BS81" s="153"/>
      <c r="BT81" s="153"/>
      <c r="BU81" s="144"/>
      <c r="BV81" s="155"/>
      <c r="BW81" s="144"/>
      <c r="BX81" s="121"/>
      <c r="CI81" s="122"/>
      <c r="CJ81" s="349"/>
      <c r="CK81" s="153"/>
      <c r="CL81" s="153"/>
      <c r="CM81" s="53"/>
      <c r="CU81" s="117"/>
    </row>
    <row r="82" spans="1:99" ht="15" customHeight="1" x14ac:dyDescent="0.25">
      <c r="A82" s="123"/>
      <c r="L82" s="126"/>
      <c r="M82" s="350"/>
      <c r="N82" s="147">
        <f t="shared" si="60"/>
        <v>1133.0167999999999</v>
      </c>
      <c r="O82" s="147">
        <f t="shared" si="94"/>
        <v>-12.700200000000002</v>
      </c>
      <c r="P82" s="147">
        <f t="shared" si="61"/>
        <v>-353.31690000000003</v>
      </c>
      <c r="Q82" s="143">
        <f t="shared" si="103"/>
        <v>40</v>
      </c>
      <c r="R82" s="163">
        <f t="shared" si="63"/>
        <v>3.1428571428571432</v>
      </c>
      <c r="S82" s="163">
        <f t="shared" si="95"/>
        <v>1</v>
      </c>
      <c r="T82" s="155">
        <f t="shared" si="102"/>
        <v>5</v>
      </c>
      <c r="U82" s="164">
        <v>2</v>
      </c>
      <c r="V82" s="165">
        <f t="shared" si="64"/>
        <v>3.9302083333333324E-3</v>
      </c>
      <c r="W82" s="144">
        <v>1.1000000000000001</v>
      </c>
      <c r="X82" s="144">
        <v>0.35</v>
      </c>
      <c r="Y82" s="350"/>
      <c r="Z82" s="150">
        <f t="shared" si="96"/>
        <v>35.537300387400066</v>
      </c>
      <c r="AA82" s="150">
        <f t="shared" si="97"/>
        <v>37.748562557130619</v>
      </c>
      <c r="AB82" s="151">
        <f t="shared" si="98"/>
        <v>97.054150113898515</v>
      </c>
      <c r="AC82" s="150">
        <f t="shared" si="99"/>
        <v>99.26541228362909</v>
      </c>
      <c r="AD82" s="152">
        <f t="shared" si="100"/>
        <v>0.71707060284477353</v>
      </c>
      <c r="AE82" s="361" t="str">
        <f t="shared" si="101"/>
        <v>Zapata a compresión</v>
      </c>
      <c r="AF82" s="361"/>
      <c r="AG82" s="148">
        <f t="shared" si="65"/>
        <v>2322.6844399999995</v>
      </c>
      <c r="AH82" s="150">
        <f t="shared" si="66"/>
        <v>-6.5739409578200174</v>
      </c>
      <c r="AI82" s="148">
        <f t="shared" si="67"/>
        <v>2322.6844399999995</v>
      </c>
      <c r="AJ82" s="150">
        <f t="shared" si="68"/>
        <v>-182.88565849356695</v>
      </c>
      <c r="AK82" s="205"/>
      <c r="AL82" s="205"/>
      <c r="AM82" s="205"/>
      <c r="AN82" s="350"/>
      <c r="AO82" s="155"/>
      <c r="AP82" s="155"/>
      <c r="AQ82" s="150"/>
      <c r="AR82" s="150"/>
      <c r="AS82" s="53"/>
      <c r="AT82" s="155"/>
      <c r="AU82" s="144"/>
      <c r="AV82" s="143"/>
      <c r="AW82" s="163"/>
      <c r="AX82" s="144"/>
      <c r="AY82" s="144"/>
      <c r="AZ82" s="350"/>
      <c r="BA82" s="153"/>
      <c r="BB82" s="153"/>
      <c r="BC82" s="150"/>
      <c r="BD82" s="148"/>
      <c r="BE82" s="144"/>
      <c r="BF82" s="144"/>
      <c r="BG82" s="155"/>
      <c r="BH82" s="53"/>
      <c r="BI82" s="148"/>
      <c r="BJ82" s="155"/>
      <c r="BK82" s="197"/>
      <c r="BL82" s="350"/>
      <c r="BM82" s="153"/>
      <c r="BN82" s="157"/>
      <c r="BO82" s="153"/>
      <c r="BP82" s="153"/>
      <c r="BQ82" s="155"/>
      <c r="BR82" s="155"/>
      <c r="BS82" s="153"/>
      <c r="BT82" s="153"/>
      <c r="BU82" s="144"/>
      <c r="BV82" s="155"/>
      <c r="BW82" s="144"/>
      <c r="BX82" s="121"/>
      <c r="CI82" s="122"/>
      <c r="CJ82" s="350"/>
      <c r="CK82" s="153"/>
      <c r="CL82" s="153"/>
      <c r="CM82" s="53"/>
      <c r="CU82" s="117"/>
    </row>
    <row r="83" spans="1:99" ht="15" customHeight="1" x14ac:dyDescent="0.25">
      <c r="A83" s="159"/>
      <c r="K83" s="160"/>
      <c r="L83" s="122"/>
      <c r="M83" s="159"/>
      <c r="W83" s="160"/>
      <c r="X83" s="122"/>
      <c r="Y83" s="116"/>
      <c r="Z83" s="114"/>
      <c r="AA83" s="114"/>
      <c r="AB83" s="114"/>
      <c r="AC83" s="114"/>
      <c r="AD83" s="114"/>
      <c r="AJ83" s="122"/>
      <c r="AN83" s="116"/>
      <c r="AO83" s="114"/>
      <c r="AP83" s="114"/>
      <c r="AQ83" s="114"/>
      <c r="AR83" s="114"/>
      <c r="AS83" s="114"/>
      <c r="AT83" s="114"/>
      <c r="AU83" s="114"/>
      <c r="AV83" s="114" t="s">
        <v>806</v>
      </c>
      <c r="AW83" s="114"/>
      <c r="AX83" s="114"/>
      <c r="AY83" s="117"/>
      <c r="AZ83" s="116"/>
      <c r="BC83" s="114"/>
      <c r="BD83" s="114"/>
      <c r="BE83" s="114"/>
      <c r="BF83" s="114"/>
      <c r="BG83" s="114"/>
      <c r="BH83" s="114"/>
      <c r="BI83" s="114"/>
      <c r="BJ83" s="114"/>
      <c r="BK83" s="117"/>
      <c r="BL83" s="121"/>
      <c r="BS83" s="112"/>
      <c r="BT83" s="112"/>
      <c r="BU83" s="112"/>
      <c r="BV83" s="112"/>
      <c r="BW83" s="122"/>
      <c r="BX83" s="121"/>
      <c r="CI83" s="122"/>
      <c r="CU83" s="117"/>
    </row>
    <row r="84" spans="1:99" x14ac:dyDescent="0.25">
      <c r="A84" s="167"/>
      <c r="B84" s="168"/>
      <c r="C84" s="169"/>
      <c r="D84" s="170"/>
      <c r="E84" s="170"/>
      <c r="F84" s="171"/>
      <c r="G84" s="170"/>
      <c r="H84" s="171"/>
      <c r="I84" s="170"/>
      <c r="J84" s="170"/>
      <c r="K84" s="172"/>
      <c r="L84" s="173"/>
      <c r="M84" s="167"/>
      <c r="N84" s="168"/>
      <c r="O84" s="169"/>
      <c r="P84" s="170"/>
      <c r="Q84" s="170"/>
      <c r="R84" s="171"/>
      <c r="S84" s="170"/>
      <c r="T84" s="171"/>
      <c r="U84" s="170"/>
      <c r="V84" s="170"/>
      <c r="W84" s="172"/>
      <c r="X84" s="173"/>
      <c r="Y84" s="174"/>
      <c r="Z84" s="168"/>
      <c r="AA84" s="168"/>
      <c r="AB84" s="175"/>
      <c r="AC84" s="175"/>
      <c r="AD84" s="175"/>
      <c r="AE84" s="175"/>
      <c r="AF84" s="175"/>
      <c r="AG84" s="175"/>
      <c r="AH84" s="175"/>
      <c r="AI84" s="175"/>
      <c r="AJ84" s="176"/>
      <c r="AK84" s="175"/>
      <c r="AL84" s="175"/>
      <c r="AM84" s="175"/>
      <c r="AN84" s="174"/>
      <c r="AO84" s="168"/>
      <c r="AP84" s="168"/>
      <c r="AQ84" s="175"/>
      <c r="AR84" s="175"/>
      <c r="AS84" s="175"/>
      <c r="AT84" s="175"/>
      <c r="AU84" s="175"/>
      <c r="AV84" s="175"/>
      <c r="AW84" s="175"/>
      <c r="AX84" s="175"/>
      <c r="AY84" s="176"/>
      <c r="AZ84" s="174"/>
      <c r="BA84" s="168"/>
      <c r="BB84" s="168"/>
      <c r="BC84" s="175"/>
      <c r="BD84" s="175"/>
      <c r="BE84" s="175"/>
      <c r="BF84" s="175"/>
      <c r="BG84" s="175"/>
      <c r="BH84" s="175"/>
      <c r="BI84" s="175"/>
      <c r="BJ84" s="175"/>
      <c r="BK84" s="176"/>
      <c r="BL84" s="195"/>
      <c r="BM84" s="175"/>
      <c r="BN84" s="175"/>
      <c r="BO84" s="175"/>
      <c r="BP84" s="175"/>
      <c r="BQ84" s="175"/>
      <c r="BR84" s="175"/>
      <c r="BS84" s="175"/>
      <c r="BT84" s="175"/>
      <c r="BU84" s="175"/>
      <c r="BV84" s="175"/>
      <c r="BW84" s="176"/>
      <c r="BX84" s="195"/>
      <c r="BY84" s="170"/>
      <c r="BZ84" s="170"/>
      <c r="CA84" s="170"/>
      <c r="CB84" s="170"/>
      <c r="CC84" s="170"/>
      <c r="CD84" s="170"/>
      <c r="CE84" s="175"/>
      <c r="CF84" s="175"/>
      <c r="CG84" s="175"/>
      <c r="CH84" s="175"/>
      <c r="CI84" s="176"/>
      <c r="CU84" s="117"/>
    </row>
    <row r="85" spans="1:99" ht="15.75" thickBot="1" x14ac:dyDescent="0.3">
      <c r="B85" s="114"/>
      <c r="C85" s="114"/>
      <c r="D85" s="114"/>
      <c r="E85" s="114"/>
      <c r="F85" s="114"/>
      <c r="G85" s="114"/>
      <c r="H85" s="114"/>
      <c r="I85" s="114"/>
      <c r="J85" s="114"/>
      <c r="K85" s="114"/>
      <c r="L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c r="AJ85" s="114"/>
      <c r="AK85" s="114"/>
      <c r="AL85" s="114"/>
      <c r="AM85" s="114"/>
      <c r="AN85" s="114"/>
      <c r="AO85" s="114"/>
      <c r="AP85" s="114"/>
      <c r="AQ85" s="114"/>
      <c r="AR85" s="114"/>
      <c r="AS85" s="114"/>
      <c r="AT85" s="114"/>
      <c r="AU85" s="114"/>
      <c r="AV85" s="114"/>
      <c r="AW85" s="114"/>
      <c r="AX85" s="114"/>
      <c r="AY85" s="114"/>
      <c r="AZ85" s="114"/>
      <c r="BA85" s="114"/>
      <c r="BB85" s="114"/>
      <c r="BC85" s="114"/>
      <c r="BD85" s="114"/>
      <c r="BE85" s="114"/>
      <c r="BF85" s="114"/>
      <c r="BG85" s="114"/>
      <c r="BH85" s="114"/>
      <c r="BI85" s="114"/>
      <c r="BJ85" s="114"/>
      <c r="BK85" s="114"/>
      <c r="BL85" s="114"/>
      <c r="BM85" s="114"/>
      <c r="BN85" s="114"/>
      <c r="BO85" s="114"/>
      <c r="BP85" s="114"/>
      <c r="BQ85" s="114"/>
      <c r="BR85" s="114"/>
      <c r="BS85" s="114"/>
      <c r="BT85" s="114"/>
      <c r="BU85" s="114"/>
    </row>
    <row r="86" spans="1:99" ht="16.5" customHeight="1" x14ac:dyDescent="0.25">
      <c r="N86" s="363" t="s">
        <v>736</v>
      </c>
      <c r="O86" s="364"/>
      <c r="P86" s="364"/>
      <c r="Q86" s="364"/>
      <c r="R86" s="364"/>
      <c r="S86" s="365"/>
      <c r="T86" s="363" t="s">
        <v>737</v>
      </c>
      <c r="U86" s="364"/>
      <c r="V86" s="366"/>
      <c r="W86" s="114"/>
      <c r="AO86" s="178"/>
      <c r="AP86" s="178"/>
      <c r="AQ86" s="114"/>
      <c r="AR86" s="114"/>
      <c r="AS86" s="114"/>
      <c r="AT86" s="114"/>
      <c r="AU86" s="114"/>
      <c r="AV86" s="114"/>
      <c r="AW86" s="114"/>
      <c r="AX86" s="114"/>
      <c r="AY86" s="114"/>
      <c r="AZ86" s="177"/>
      <c r="BA86" s="178"/>
      <c r="BB86" s="178"/>
      <c r="BC86" s="114"/>
      <c r="BD86" s="114"/>
      <c r="BE86" s="114"/>
      <c r="BF86" s="114"/>
      <c r="BG86" s="114"/>
      <c r="BH86" s="114"/>
      <c r="BI86" s="114"/>
      <c r="BJ86" s="114"/>
      <c r="BK86" s="114"/>
      <c r="BL86" s="114"/>
      <c r="BM86" s="114"/>
      <c r="BN86" s="114"/>
      <c r="BO86" s="114"/>
      <c r="BP86" s="114"/>
      <c r="BQ86" s="114"/>
      <c r="BR86" s="114"/>
      <c r="BS86" s="114"/>
      <c r="BT86" s="114"/>
      <c r="BU86" s="114"/>
    </row>
    <row r="87" spans="1:99" x14ac:dyDescent="0.25">
      <c r="N87" s="367" t="s">
        <v>738</v>
      </c>
      <c r="O87" s="361"/>
      <c r="P87" s="361"/>
      <c r="Q87" s="361"/>
      <c r="R87" s="361"/>
      <c r="S87" s="369"/>
      <c r="T87" s="367"/>
      <c r="U87" s="361"/>
      <c r="V87" s="368"/>
      <c r="W87" s="114"/>
      <c r="Y87" s="132" t="s">
        <v>672</v>
      </c>
      <c r="Z87" s="132" t="s">
        <v>673</v>
      </c>
      <c r="AO87" s="178"/>
      <c r="AP87" s="178"/>
      <c r="AQ87" s="114"/>
      <c r="AR87" s="114"/>
      <c r="AS87" s="114"/>
      <c r="AT87" s="114"/>
      <c r="AU87" s="114"/>
      <c r="AV87" s="114"/>
      <c r="AW87" s="114"/>
      <c r="AX87" s="114"/>
      <c r="AY87" s="114"/>
      <c r="AZ87" s="177"/>
      <c r="BA87" s="178"/>
      <c r="BB87" s="178"/>
      <c r="BC87" s="114"/>
      <c r="BD87" s="114"/>
      <c r="BE87" s="114"/>
      <c r="BF87" s="114"/>
      <c r="BG87" s="114"/>
      <c r="BH87" s="114"/>
      <c r="BI87" s="114"/>
      <c r="BJ87" s="114"/>
      <c r="BK87" s="114"/>
      <c r="BL87" s="114"/>
      <c r="BM87" s="114"/>
      <c r="BN87" s="114"/>
      <c r="BO87" s="114"/>
      <c r="BP87" s="114"/>
      <c r="BQ87" s="114"/>
      <c r="BR87" s="114"/>
      <c r="BS87" s="114"/>
      <c r="BT87" s="114"/>
      <c r="BU87" s="114"/>
    </row>
    <row r="88" spans="1:99" ht="13.9" customHeight="1" x14ac:dyDescent="0.25">
      <c r="N88" s="367" t="s">
        <v>306</v>
      </c>
      <c r="O88" s="370" t="s">
        <v>739</v>
      </c>
      <c r="P88" s="361" t="s">
        <v>740</v>
      </c>
      <c r="Q88" s="361"/>
      <c r="R88" s="361"/>
      <c r="S88" s="369"/>
      <c r="T88" s="367"/>
      <c r="U88" s="361"/>
      <c r="V88" s="368"/>
      <c r="W88" s="160"/>
      <c r="Y88" s="133" t="s">
        <v>634</v>
      </c>
      <c r="Z88" s="133" t="s">
        <v>634</v>
      </c>
      <c r="AO88" s="178"/>
      <c r="AP88" s="178"/>
      <c r="AQ88" s="114"/>
      <c r="AR88" s="114"/>
      <c r="AS88" s="114"/>
      <c r="AT88" s="114"/>
      <c r="AU88" s="114"/>
      <c r="AV88" s="114"/>
      <c r="AW88" s="114"/>
      <c r="AX88" s="114"/>
      <c r="AY88" s="114"/>
      <c r="AZ88" s="177"/>
      <c r="BA88" s="178"/>
      <c r="BB88" s="178"/>
      <c r="BC88" s="114"/>
      <c r="BD88" s="114"/>
      <c r="BE88" s="114"/>
      <c r="BF88" s="114"/>
      <c r="BG88" s="114"/>
      <c r="BH88" s="114"/>
      <c r="BI88" s="114"/>
      <c r="BJ88" s="114"/>
      <c r="BK88" s="114"/>
      <c r="BL88" s="114"/>
      <c r="BM88" s="114"/>
      <c r="BN88" s="114"/>
      <c r="BO88" s="114"/>
      <c r="BP88" s="114"/>
      <c r="BQ88" s="114"/>
      <c r="BR88" s="114"/>
      <c r="BS88" s="114"/>
      <c r="BT88" s="114"/>
      <c r="BU88" s="114"/>
    </row>
    <row r="89" spans="1:99" x14ac:dyDescent="0.25">
      <c r="N89" s="367"/>
      <c r="O89" s="370"/>
      <c r="P89" s="155" t="s">
        <v>741</v>
      </c>
      <c r="Q89" s="155" t="s">
        <v>308</v>
      </c>
      <c r="R89" s="155" t="s">
        <v>742</v>
      </c>
      <c r="S89" s="180" t="s">
        <v>192</v>
      </c>
      <c r="T89" s="179" t="s">
        <v>308</v>
      </c>
      <c r="U89" s="155" t="s">
        <v>741</v>
      </c>
      <c r="V89" s="181" t="s">
        <v>743</v>
      </c>
      <c r="W89" s="160"/>
      <c r="Y89" s="150">
        <f>2*N51/(3*AA13*(AC13/2-AD13))</f>
        <v>85.497003061167817</v>
      </c>
      <c r="Z89" s="150">
        <f>2*N51/(3*AA13*(AC13/2-AE13))</f>
        <v>81.960260629533977</v>
      </c>
      <c r="AE89" s="125"/>
      <c r="AF89" s="125"/>
      <c r="AO89" s="178"/>
      <c r="AP89" s="178"/>
      <c r="AQ89" s="114"/>
      <c r="AR89" s="114"/>
      <c r="AS89" s="114"/>
      <c r="AT89" s="114"/>
      <c r="AU89" s="114"/>
      <c r="AV89" s="114"/>
      <c r="AW89" s="114"/>
      <c r="AX89" s="114"/>
      <c r="AY89" s="114"/>
      <c r="AZ89" s="177"/>
      <c r="BA89" s="178"/>
      <c r="BB89" s="178"/>
      <c r="BC89" s="114"/>
      <c r="BD89" s="114"/>
      <c r="BE89" s="114"/>
      <c r="BF89" s="114"/>
      <c r="BG89" s="114"/>
      <c r="BH89" s="114"/>
      <c r="BI89" s="114"/>
      <c r="BJ89" s="114"/>
      <c r="BK89" s="114"/>
      <c r="BL89" s="114"/>
      <c r="BM89" s="114"/>
      <c r="BN89" s="114"/>
      <c r="BO89" s="114"/>
      <c r="BP89" s="114"/>
      <c r="BQ89" s="114"/>
      <c r="BR89" s="114"/>
      <c r="BS89" s="114"/>
      <c r="BT89" s="114"/>
      <c r="BU89" s="114"/>
    </row>
    <row r="90" spans="1:99" x14ac:dyDescent="0.25">
      <c r="N90" s="179" t="s">
        <v>307</v>
      </c>
      <c r="O90" s="155" t="s">
        <v>401</v>
      </c>
      <c r="P90" s="155" t="s">
        <v>374</v>
      </c>
      <c r="Q90" s="155" t="s">
        <v>383</v>
      </c>
      <c r="R90" s="155" t="s">
        <v>374</v>
      </c>
      <c r="S90" s="180" t="s">
        <v>744</v>
      </c>
      <c r="T90" s="179" t="s">
        <v>309</v>
      </c>
      <c r="U90" s="155" t="s">
        <v>150</v>
      </c>
      <c r="V90" s="181" t="s">
        <v>150</v>
      </c>
      <c r="Y90" s="150">
        <f t="shared" ref="Y90:Y120" si="104">2*N52/(3*AA14*(AC14/2-AD14))</f>
        <v>101.48624005321996</v>
      </c>
      <c r="Z90" s="150">
        <f t="shared" ref="Z90:Z120" si="105">2*N52/(3*AA14*(AC14/2-AE14))</f>
        <v>95.411355939647692</v>
      </c>
      <c r="AE90" s="125"/>
      <c r="AF90" s="125"/>
      <c r="AO90" s="178"/>
      <c r="AP90" s="178"/>
      <c r="AQ90" s="114"/>
      <c r="AR90" s="114"/>
      <c r="AS90" s="114"/>
      <c r="AT90" s="114"/>
      <c r="AU90" s="114"/>
      <c r="AV90" s="114"/>
      <c r="AW90" s="114"/>
      <c r="AX90" s="114"/>
      <c r="AY90" s="114"/>
      <c r="AZ90" s="177"/>
      <c r="BA90" s="178"/>
      <c r="BB90" s="178"/>
      <c r="BC90" s="114"/>
      <c r="BD90" s="114"/>
      <c r="BE90" s="114"/>
      <c r="BF90" s="114"/>
      <c r="BG90" s="114"/>
      <c r="BH90" s="114"/>
      <c r="BI90" s="114"/>
      <c r="BJ90" s="114"/>
      <c r="BK90" s="114"/>
      <c r="BL90" s="114"/>
      <c r="BM90" s="114"/>
      <c r="BN90" s="114"/>
      <c r="BO90" s="114"/>
      <c r="BP90" s="114"/>
      <c r="BQ90" s="114"/>
      <c r="BR90" s="114"/>
      <c r="BS90" s="114"/>
      <c r="BT90" s="114"/>
      <c r="BU90" s="114"/>
    </row>
    <row r="91" spans="1:99" x14ac:dyDescent="0.25">
      <c r="N91" s="179">
        <v>2</v>
      </c>
      <c r="O91" s="155" t="str">
        <f t="shared" ref="O91:O102" si="106">CONCATENATE(N91,"/8","""")</f>
        <v>2/8"</v>
      </c>
      <c r="P91" s="155">
        <v>6.4</v>
      </c>
      <c r="Q91" s="155">
        <v>32</v>
      </c>
      <c r="R91" s="155">
        <v>20</v>
      </c>
      <c r="S91" s="180">
        <v>0.25</v>
      </c>
      <c r="T91" s="179">
        <f t="shared" ref="T91:T102" si="107">Q91/100</f>
        <v>0.32</v>
      </c>
      <c r="U91" s="155">
        <f t="shared" ref="U91:U102" si="108">P91/10</f>
        <v>0.64</v>
      </c>
      <c r="V91" s="181">
        <v>25</v>
      </c>
      <c r="Y91" s="150">
        <f t="shared" si="104"/>
        <v>85.497003061167817</v>
      </c>
      <c r="Z91" s="150">
        <f t="shared" si="105"/>
        <v>81.960260629533977</v>
      </c>
      <c r="AX91" s="114"/>
      <c r="AY91" s="114"/>
      <c r="BJ91" s="114"/>
      <c r="BK91" s="114"/>
      <c r="BL91" s="114"/>
      <c r="BM91" s="114"/>
      <c r="BN91" s="114"/>
      <c r="BO91" s="114"/>
      <c r="BP91" s="114"/>
      <c r="BQ91" s="114"/>
      <c r="BR91" s="114"/>
      <c r="BS91" s="114"/>
      <c r="BT91" s="114"/>
      <c r="BU91" s="114"/>
    </row>
    <row r="92" spans="1:99" x14ac:dyDescent="0.25">
      <c r="N92" s="179">
        <v>3</v>
      </c>
      <c r="O92" s="155" t="str">
        <f t="shared" si="106"/>
        <v>3/8"</v>
      </c>
      <c r="P92" s="155">
        <v>9.5</v>
      </c>
      <c r="Q92" s="155">
        <v>71</v>
      </c>
      <c r="R92" s="155">
        <v>30</v>
      </c>
      <c r="S92" s="180">
        <v>0.56000000000000005</v>
      </c>
      <c r="T92" s="179">
        <f t="shared" si="107"/>
        <v>0.71</v>
      </c>
      <c r="U92" s="155">
        <f t="shared" si="108"/>
        <v>0.95</v>
      </c>
      <c r="V92" s="181">
        <v>30</v>
      </c>
      <c r="Y92" s="150">
        <f t="shared" si="104"/>
        <v>85.949363805651231</v>
      </c>
      <c r="Z92" s="150">
        <f t="shared" si="105"/>
        <v>82.419358722740384</v>
      </c>
      <c r="AX92" s="114"/>
      <c r="BJ92" s="114"/>
      <c r="BL92" s="114"/>
      <c r="BM92" s="114"/>
      <c r="BN92" s="114"/>
      <c r="BO92" s="114"/>
      <c r="BP92" s="114"/>
      <c r="BQ92" s="114"/>
      <c r="BR92" s="114"/>
      <c r="BS92" s="114"/>
      <c r="BT92" s="114"/>
      <c r="BU92" s="114"/>
    </row>
    <row r="93" spans="1:99" x14ac:dyDescent="0.25">
      <c r="M93" s="121"/>
      <c r="N93" s="179">
        <v>4</v>
      </c>
      <c r="O93" s="155" t="str">
        <f t="shared" si="106"/>
        <v>4/8"</v>
      </c>
      <c r="P93" s="155">
        <v>12.7</v>
      </c>
      <c r="Q93" s="155">
        <v>129</v>
      </c>
      <c r="R93" s="155">
        <v>40</v>
      </c>
      <c r="S93" s="180">
        <v>0.99399999999999999</v>
      </c>
      <c r="T93" s="179">
        <f t="shared" si="107"/>
        <v>1.29</v>
      </c>
      <c r="U93" s="155">
        <f t="shared" si="108"/>
        <v>1.27</v>
      </c>
      <c r="V93" s="181">
        <v>35</v>
      </c>
      <c r="Y93" s="150">
        <f t="shared" si="104"/>
        <v>97.820935870185025</v>
      </c>
      <c r="Z93" s="150">
        <f t="shared" si="105"/>
        <v>92.392904693759121</v>
      </c>
      <c r="BN93" s="114"/>
      <c r="BO93" s="114"/>
      <c r="BP93" s="114"/>
      <c r="BQ93" s="114"/>
      <c r="BR93" s="114"/>
      <c r="BS93" s="114"/>
    </row>
    <row r="94" spans="1:99" x14ac:dyDescent="0.25">
      <c r="M94" s="121"/>
      <c r="N94" s="179">
        <v>5</v>
      </c>
      <c r="O94" s="155" t="str">
        <f t="shared" si="106"/>
        <v>5/8"</v>
      </c>
      <c r="P94" s="155">
        <v>15.9</v>
      </c>
      <c r="Q94" s="155">
        <v>199</v>
      </c>
      <c r="R94" s="155">
        <v>50</v>
      </c>
      <c r="S94" s="180">
        <v>1.552</v>
      </c>
      <c r="T94" s="179">
        <f t="shared" si="107"/>
        <v>1.99</v>
      </c>
      <c r="U94" s="155">
        <f t="shared" si="108"/>
        <v>1.59</v>
      </c>
      <c r="V94" s="181">
        <v>40</v>
      </c>
      <c r="Y94" s="150">
        <f t="shared" si="104"/>
        <v>97.48237107587515</v>
      </c>
      <c r="Z94" s="150">
        <f t="shared" si="105"/>
        <v>92.048578257338178</v>
      </c>
      <c r="BN94" s="114"/>
      <c r="BO94" s="114"/>
      <c r="BP94" s="114"/>
      <c r="BQ94" s="114"/>
      <c r="BR94" s="114"/>
      <c r="BS94" s="114"/>
    </row>
    <row r="95" spans="1:99" x14ac:dyDescent="0.25">
      <c r="M95" s="121"/>
      <c r="N95" s="179">
        <v>6</v>
      </c>
      <c r="O95" s="155" t="str">
        <f t="shared" si="106"/>
        <v>6/8"</v>
      </c>
      <c r="P95" s="155">
        <v>19.100000000000001</v>
      </c>
      <c r="Q95" s="155">
        <v>284</v>
      </c>
      <c r="R95" s="155">
        <v>60</v>
      </c>
      <c r="S95" s="180">
        <v>2.2349999999999999</v>
      </c>
      <c r="T95" s="179">
        <f t="shared" si="107"/>
        <v>2.84</v>
      </c>
      <c r="U95" s="155">
        <f t="shared" si="108"/>
        <v>1.9100000000000001</v>
      </c>
      <c r="V95" s="181">
        <v>45</v>
      </c>
      <c r="Y95" s="150">
        <f t="shared" si="104"/>
        <v>86.013990900417511</v>
      </c>
      <c r="Z95" s="150">
        <f t="shared" si="105"/>
        <v>82.484945903401595</v>
      </c>
      <c r="BN95" s="114"/>
      <c r="BO95" s="114"/>
      <c r="BP95" s="114"/>
      <c r="BQ95" s="114"/>
      <c r="BR95" s="114"/>
      <c r="BS95" s="114"/>
    </row>
    <row r="96" spans="1:99" x14ac:dyDescent="0.25">
      <c r="M96" s="121"/>
      <c r="N96" s="179">
        <v>7</v>
      </c>
      <c r="O96" s="155" t="str">
        <f t="shared" si="106"/>
        <v>7/8"</v>
      </c>
      <c r="P96" s="155">
        <v>22.2</v>
      </c>
      <c r="Q96" s="155">
        <v>387</v>
      </c>
      <c r="R96" s="155">
        <v>70</v>
      </c>
      <c r="S96" s="180">
        <v>3.0419999999999998</v>
      </c>
      <c r="T96" s="179">
        <f t="shared" si="107"/>
        <v>3.87</v>
      </c>
      <c r="U96" s="155">
        <f t="shared" si="108"/>
        <v>2.2199999999999998</v>
      </c>
      <c r="V96" s="181">
        <v>50</v>
      </c>
      <c r="Y96" s="150">
        <f t="shared" si="104"/>
        <v>85.497003061167817</v>
      </c>
      <c r="Z96" s="150">
        <f t="shared" si="105"/>
        <v>81.960260629533977</v>
      </c>
      <c r="AE96" s="125"/>
      <c r="AF96" s="125"/>
      <c r="AX96" s="114"/>
      <c r="BJ96" s="114"/>
      <c r="BN96" s="114"/>
      <c r="BO96" s="114"/>
      <c r="BP96" s="114"/>
      <c r="BQ96" s="114"/>
      <c r="BR96" s="114"/>
      <c r="BS96" s="114"/>
    </row>
    <row r="97" spans="13:71" s="111" customFormat="1" x14ac:dyDescent="0.25">
      <c r="M97" s="121"/>
      <c r="N97" s="179">
        <v>8</v>
      </c>
      <c r="O97" s="155" t="str">
        <f t="shared" si="106"/>
        <v>8/8"</v>
      </c>
      <c r="P97" s="155">
        <v>25.4</v>
      </c>
      <c r="Q97" s="155">
        <v>510</v>
      </c>
      <c r="R97" s="155">
        <v>80</v>
      </c>
      <c r="S97" s="180">
        <v>3.9729999999999999</v>
      </c>
      <c r="T97" s="179">
        <f t="shared" si="107"/>
        <v>5.0999999999999996</v>
      </c>
      <c r="U97" s="155">
        <f t="shared" si="108"/>
        <v>2.54</v>
      </c>
      <c r="V97" s="181">
        <v>55</v>
      </c>
      <c r="Y97" s="150">
        <f t="shared" si="104"/>
        <v>85.497003061167817</v>
      </c>
      <c r="Z97" s="150">
        <f t="shared" si="105"/>
        <v>81.960260629533977</v>
      </c>
      <c r="AE97" s="125"/>
      <c r="AF97" s="125"/>
      <c r="AX97" s="114"/>
      <c r="BJ97" s="114"/>
    </row>
    <row r="98" spans="13:71" s="111" customFormat="1" x14ac:dyDescent="0.25">
      <c r="M98" s="121"/>
      <c r="N98" s="179">
        <v>9</v>
      </c>
      <c r="O98" s="155" t="str">
        <f t="shared" si="106"/>
        <v>9/8"</v>
      </c>
      <c r="P98" s="155">
        <v>28.7</v>
      </c>
      <c r="Q98" s="155">
        <v>645</v>
      </c>
      <c r="R98" s="155">
        <v>90</v>
      </c>
      <c r="S98" s="180">
        <v>5.0599999999999996</v>
      </c>
      <c r="T98" s="179">
        <f t="shared" si="107"/>
        <v>6.45</v>
      </c>
      <c r="U98" s="155">
        <f t="shared" si="108"/>
        <v>2.87</v>
      </c>
      <c r="V98" s="181">
        <v>60</v>
      </c>
      <c r="Y98" s="150">
        <f t="shared" si="104"/>
        <v>85.497003061167817</v>
      </c>
      <c r="Z98" s="150">
        <f t="shared" si="105"/>
        <v>81.960260629533977</v>
      </c>
      <c r="AX98" s="114"/>
      <c r="BJ98" s="114"/>
    </row>
    <row r="99" spans="13:71" s="111" customFormat="1" x14ac:dyDescent="0.25">
      <c r="M99" s="121"/>
      <c r="N99" s="179">
        <v>10</v>
      </c>
      <c r="O99" s="155" t="str">
        <f t="shared" si="106"/>
        <v>10/8"</v>
      </c>
      <c r="P99" s="155">
        <v>32.299999999999997</v>
      </c>
      <c r="Q99" s="155">
        <v>819</v>
      </c>
      <c r="R99" s="155">
        <v>101.3</v>
      </c>
      <c r="S99" s="180">
        <v>6.4039999999999999</v>
      </c>
      <c r="T99" s="179">
        <f t="shared" si="107"/>
        <v>8.19</v>
      </c>
      <c r="U99" s="155">
        <f t="shared" si="108"/>
        <v>3.2299999999999995</v>
      </c>
      <c r="V99" s="181" t="s">
        <v>271</v>
      </c>
      <c r="Y99" s="150">
        <f t="shared" si="104"/>
        <v>127.90366808671938</v>
      </c>
      <c r="Z99" s="150">
        <f t="shared" si="105"/>
        <v>85.530209104162225</v>
      </c>
      <c r="AX99" s="114"/>
      <c r="BJ99" s="114"/>
    </row>
    <row r="100" spans="13:71" s="111" customFormat="1" x14ac:dyDescent="0.25">
      <c r="M100" s="121"/>
      <c r="N100" s="179">
        <v>11</v>
      </c>
      <c r="O100" s="155" t="str">
        <f t="shared" si="106"/>
        <v>11/8"</v>
      </c>
      <c r="P100" s="155">
        <v>35.799999999999997</v>
      </c>
      <c r="Q100" s="155">
        <v>1006</v>
      </c>
      <c r="R100" s="155">
        <v>112.5</v>
      </c>
      <c r="S100" s="180">
        <v>7.907</v>
      </c>
      <c r="T100" s="179">
        <f t="shared" si="107"/>
        <v>10.06</v>
      </c>
      <c r="U100" s="155">
        <f t="shared" si="108"/>
        <v>3.5799999999999996</v>
      </c>
      <c r="V100" s="181">
        <v>70</v>
      </c>
      <c r="Y100" s="150">
        <f t="shared" si="104"/>
        <v>62.063068573655663</v>
      </c>
      <c r="Z100" s="150">
        <f t="shared" si="105"/>
        <v>78.404597921014201</v>
      </c>
      <c r="AX100" s="114"/>
      <c r="BJ100" s="114"/>
    </row>
    <row r="101" spans="13:71" s="111" customFormat="1" x14ac:dyDescent="0.25">
      <c r="M101" s="121"/>
      <c r="N101" s="179">
        <v>14</v>
      </c>
      <c r="O101" s="155" t="str">
        <f t="shared" si="106"/>
        <v>14/8"</v>
      </c>
      <c r="P101" s="155">
        <v>43</v>
      </c>
      <c r="Q101" s="155">
        <v>1452</v>
      </c>
      <c r="R101" s="155">
        <v>135.1</v>
      </c>
      <c r="S101" s="180">
        <v>11.38</v>
      </c>
      <c r="T101" s="179">
        <f t="shared" si="107"/>
        <v>14.52</v>
      </c>
      <c r="U101" s="155">
        <f t="shared" si="108"/>
        <v>4.3</v>
      </c>
      <c r="V101" s="181">
        <v>75</v>
      </c>
      <c r="Y101" s="150">
        <f t="shared" si="104"/>
        <v>127.90366808671938</v>
      </c>
      <c r="Z101" s="150">
        <f t="shared" si="105"/>
        <v>85.530209104162225</v>
      </c>
      <c r="AX101" s="114"/>
      <c r="BJ101" s="114"/>
    </row>
    <row r="102" spans="13:71" s="111" customFormat="1" ht="15.75" thickBot="1" x14ac:dyDescent="0.3">
      <c r="M102" s="121"/>
      <c r="N102" s="182">
        <v>18</v>
      </c>
      <c r="O102" s="183" t="str">
        <f t="shared" si="106"/>
        <v>18/8"</v>
      </c>
      <c r="P102" s="183">
        <v>57.3</v>
      </c>
      <c r="Q102" s="183">
        <v>2581</v>
      </c>
      <c r="R102" s="183">
        <v>180.1</v>
      </c>
      <c r="S102" s="184">
        <v>20.239999999999998</v>
      </c>
      <c r="T102" s="182">
        <f t="shared" si="107"/>
        <v>25.81</v>
      </c>
      <c r="U102" s="183">
        <f t="shared" si="108"/>
        <v>5.7299999999999995</v>
      </c>
      <c r="V102" s="185">
        <v>80</v>
      </c>
      <c r="Y102" s="150">
        <f t="shared" si="104"/>
        <v>62.063068573655663</v>
      </c>
      <c r="Z102" s="150">
        <f t="shared" si="105"/>
        <v>78.404597921014201</v>
      </c>
      <c r="AX102" s="114"/>
      <c r="BJ102" s="114"/>
    </row>
    <row r="103" spans="13:71" s="111" customFormat="1" x14ac:dyDescent="0.25">
      <c r="Y103" s="150">
        <f t="shared" si="104"/>
        <v>97.116018167250829</v>
      </c>
      <c r="Z103" s="150">
        <f t="shared" si="105"/>
        <v>86.855169734905928</v>
      </c>
      <c r="AF103" s="125"/>
      <c r="AG103" s="125"/>
      <c r="AX103" s="114"/>
      <c r="BJ103" s="114"/>
    </row>
    <row r="104" spans="13:71" s="111" customFormat="1" x14ac:dyDescent="0.25">
      <c r="N104" s="111" t="s">
        <v>53</v>
      </c>
      <c r="O104" s="156">
        <f>+MAX(AA13:AA18)</f>
        <v>4.0999999999999996</v>
      </c>
      <c r="P104" s="111" t="s">
        <v>101</v>
      </c>
      <c r="R104" s="111" t="s">
        <v>125</v>
      </c>
      <c r="S104" s="156">
        <f>(O106-O107)*O110</f>
        <v>0.74439320432607026</v>
      </c>
      <c r="T104" s="111" t="s">
        <v>101</v>
      </c>
      <c r="Y104" s="150">
        <f t="shared" si="104"/>
        <v>75.46829436992671</v>
      </c>
      <c r="Z104" s="150">
        <f t="shared" si="105"/>
        <v>77.204339968713981</v>
      </c>
      <c r="AF104" s="125"/>
      <c r="AG104" s="125"/>
      <c r="AX104" s="114"/>
      <c r="BJ104" s="114"/>
    </row>
    <row r="105" spans="13:71" s="111" customFormat="1" x14ac:dyDescent="0.25">
      <c r="N105" s="111" t="s">
        <v>147</v>
      </c>
      <c r="O105" s="156">
        <f>MAX(AC13:AC18)</f>
        <v>4.0999999999999996</v>
      </c>
      <c r="P105" s="111" t="s">
        <v>101</v>
      </c>
      <c r="R105" s="111" t="s">
        <v>312</v>
      </c>
      <c r="S105" s="156">
        <f>(O104+2*S104)*O111/2</f>
        <v>5.25548925395998</v>
      </c>
      <c r="T105" s="111" t="s">
        <v>101</v>
      </c>
      <c r="Y105" s="150">
        <f>2*N67/(3*AA29*(AC29/2-AD29))</f>
        <v>97.116018167250829</v>
      </c>
      <c r="Z105" s="150">
        <f>2*N67/(3*AA29*(AC29/2-AE29))</f>
        <v>86.855169734905928</v>
      </c>
      <c r="AX105" s="114"/>
      <c r="BJ105" s="114"/>
    </row>
    <row r="106" spans="13:71" x14ac:dyDescent="0.25">
      <c r="N106" s="111" t="s">
        <v>696</v>
      </c>
      <c r="O106" s="156">
        <f>MAX(U51:U56)</f>
        <v>2</v>
      </c>
      <c r="P106" s="111" t="s">
        <v>101</v>
      </c>
      <c r="S106" s="156"/>
      <c r="Y106" s="150">
        <f>2*N68/(3*AA30*(AC30/2-AD30))</f>
        <v>75.46829436992671</v>
      </c>
      <c r="Z106" s="150">
        <f>2*N68/(3*AA30*(AC30/2-AE30))</f>
        <v>77.204339968713981</v>
      </c>
      <c r="BN106" s="114"/>
      <c r="BO106" s="114"/>
      <c r="BP106" s="114"/>
      <c r="BQ106" s="114"/>
      <c r="BR106" s="114"/>
      <c r="BS106" s="114"/>
    </row>
    <row r="107" spans="13:71" x14ac:dyDescent="0.25">
      <c r="N107" s="111" t="s">
        <v>313</v>
      </c>
      <c r="O107" s="156">
        <f>U13</f>
        <v>0.6</v>
      </c>
      <c r="P107" s="111" t="s">
        <v>101</v>
      </c>
      <c r="R107" s="111" t="s">
        <v>745</v>
      </c>
      <c r="S107" s="156">
        <f>(O105+2*S104)*(O104+2*S104)^2*O111/6</f>
        <v>54.717585091626461</v>
      </c>
      <c r="T107" s="111" t="s">
        <v>746</v>
      </c>
      <c r="Y107" s="150">
        <f t="shared" si="104"/>
        <v>98.207884940046256</v>
      </c>
      <c r="Z107" s="150">
        <f t="shared" si="105"/>
        <v>92.78642349283389</v>
      </c>
      <c r="BN107" s="114"/>
      <c r="BO107" s="114"/>
      <c r="BP107" s="114"/>
      <c r="BQ107" s="114"/>
      <c r="BR107" s="114"/>
      <c r="BS107" s="114"/>
    </row>
    <row r="108" spans="13:71" x14ac:dyDescent="0.25">
      <c r="N108" s="111" t="s">
        <v>747</v>
      </c>
      <c r="O108" s="156">
        <v>28</v>
      </c>
      <c r="P108" s="111" t="s">
        <v>748</v>
      </c>
      <c r="R108" s="111" t="s">
        <v>749</v>
      </c>
      <c r="S108" s="156">
        <f>+O104*O105*((O104+2*S104)/2*O111-O106+O107)/3</f>
        <v>21.603591453022421</v>
      </c>
      <c r="T108" s="111" t="s">
        <v>746</v>
      </c>
      <c r="Y108" s="150">
        <f t="shared" si="104"/>
        <v>97.820935870185025</v>
      </c>
      <c r="Z108" s="150">
        <f t="shared" si="105"/>
        <v>92.392904693759121</v>
      </c>
      <c r="BN108" s="114"/>
      <c r="BO108" s="114"/>
      <c r="BP108" s="114"/>
      <c r="BQ108" s="114"/>
      <c r="BR108" s="114"/>
      <c r="BS108" s="114"/>
    </row>
    <row r="109" spans="13:71" x14ac:dyDescent="0.25">
      <c r="O109" s="156">
        <f>O108*PI()/180</f>
        <v>0.48869219055841229</v>
      </c>
      <c r="P109" s="111" t="s">
        <v>750</v>
      </c>
      <c r="S109" s="156"/>
      <c r="Y109" s="150">
        <f t="shared" si="104"/>
        <v>97.820935870185025</v>
      </c>
      <c r="Z109" s="150">
        <f t="shared" si="105"/>
        <v>92.392904693759121</v>
      </c>
      <c r="BN109" s="114"/>
      <c r="BO109" s="114"/>
      <c r="BP109" s="114"/>
      <c r="BQ109" s="114"/>
      <c r="BR109" s="114"/>
      <c r="BS109" s="114"/>
    </row>
    <row r="110" spans="13:71" x14ac:dyDescent="0.25">
      <c r="N110" s="111" t="s">
        <v>751</v>
      </c>
      <c r="O110" s="156">
        <f>TAN(O109)</f>
        <v>0.53170943166147877</v>
      </c>
      <c r="R110" s="111" t="s">
        <v>752</v>
      </c>
      <c r="S110" s="156">
        <f>S107-S108</f>
        <v>33.113993638604043</v>
      </c>
      <c r="T110" s="111" t="s">
        <v>746</v>
      </c>
      <c r="Y110" s="150">
        <f t="shared" si="104"/>
        <v>97.820935870185025</v>
      </c>
      <c r="Z110" s="150">
        <f t="shared" si="105"/>
        <v>92.392904693759121</v>
      </c>
      <c r="BN110" s="114"/>
      <c r="BO110" s="114"/>
      <c r="BP110" s="114"/>
      <c r="BQ110" s="114"/>
      <c r="BR110" s="114"/>
      <c r="BS110" s="114"/>
    </row>
    <row r="111" spans="13:71" x14ac:dyDescent="0.25">
      <c r="N111" s="111" t="s">
        <v>753</v>
      </c>
      <c r="O111" s="156">
        <f>TAN(PI()/2-O109)</f>
        <v>1.8807264653463318</v>
      </c>
      <c r="S111" s="156"/>
      <c r="Y111" s="150">
        <f t="shared" si="104"/>
        <v>97.86929630149406</v>
      </c>
      <c r="Z111" s="150">
        <f t="shared" si="105"/>
        <v>92.442089124166159</v>
      </c>
      <c r="BN111" s="114"/>
      <c r="BO111" s="114"/>
      <c r="BP111" s="114"/>
      <c r="BQ111" s="114"/>
      <c r="BR111" s="114"/>
      <c r="BS111" s="114"/>
    </row>
    <row r="112" spans="13:71" x14ac:dyDescent="0.25">
      <c r="O112" s="156"/>
      <c r="R112" s="111" t="s">
        <v>754</v>
      </c>
      <c r="S112" s="156">
        <f>O104*O105*(O106-O107)</f>
        <v>23.533999999999995</v>
      </c>
      <c r="T112" s="111" t="s">
        <v>746</v>
      </c>
      <c r="Y112" s="150">
        <f t="shared" si="104"/>
        <v>97.48237107587515</v>
      </c>
      <c r="Z112" s="150">
        <f t="shared" si="105"/>
        <v>92.048578257338178</v>
      </c>
      <c r="BN112" s="114"/>
      <c r="BO112" s="114"/>
      <c r="BP112" s="114"/>
      <c r="BQ112" s="114"/>
      <c r="BR112" s="114"/>
      <c r="BS112" s="114"/>
    </row>
    <row r="113" spans="15:71" x14ac:dyDescent="0.25">
      <c r="O113" s="156"/>
      <c r="S113" s="156"/>
      <c r="Y113" s="150">
        <f t="shared" si="104"/>
        <v>97.48237107587515</v>
      </c>
      <c r="Z113" s="150">
        <f t="shared" si="105"/>
        <v>92.048578257338178</v>
      </c>
      <c r="BN113" s="114"/>
      <c r="BO113" s="114"/>
      <c r="BP113" s="114"/>
      <c r="BQ113" s="114"/>
      <c r="BR113" s="114"/>
      <c r="BS113" s="114"/>
    </row>
    <row r="114" spans="15:71" x14ac:dyDescent="0.25">
      <c r="O114" s="156"/>
      <c r="S114" s="156">
        <f>S110/S112</f>
        <v>1.4070703509222422</v>
      </c>
      <c r="Y114" s="150">
        <f t="shared" si="104"/>
        <v>97.48237107587515</v>
      </c>
      <c r="Z114" s="150">
        <f t="shared" si="105"/>
        <v>92.048578257338178</v>
      </c>
      <c r="BN114" s="114"/>
      <c r="BO114" s="114"/>
      <c r="BP114" s="114"/>
      <c r="BQ114" s="114"/>
      <c r="BR114" s="114"/>
      <c r="BS114" s="114"/>
    </row>
    <row r="115" spans="15:71" x14ac:dyDescent="0.25">
      <c r="O115" s="156"/>
      <c r="S115" s="156"/>
      <c r="Y115" s="150">
        <f t="shared" si="104"/>
        <v>126.72438274805897</v>
      </c>
      <c r="Z115" s="150">
        <f t="shared" si="105"/>
        <v>95.068856636890388</v>
      </c>
      <c r="BN115" s="114"/>
      <c r="BO115" s="114"/>
      <c r="BP115" s="114"/>
      <c r="BQ115" s="114"/>
      <c r="BR115" s="114"/>
      <c r="BS115" s="114"/>
    </row>
    <row r="116" spans="15:71" x14ac:dyDescent="0.25">
      <c r="O116" s="156"/>
      <c r="S116" s="156"/>
      <c r="Y116" s="150">
        <f t="shared" si="104"/>
        <v>78.338248132033328</v>
      </c>
      <c r="Z116" s="150">
        <f t="shared" si="105"/>
        <v>89.724074274427878</v>
      </c>
      <c r="BN116" s="114"/>
      <c r="BO116" s="114"/>
      <c r="BP116" s="114"/>
      <c r="BQ116" s="114"/>
      <c r="BR116" s="114"/>
      <c r="BS116" s="114"/>
    </row>
    <row r="117" spans="15:71" x14ac:dyDescent="0.25">
      <c r="O117" s="156"/>
      <c r="S117" s="156"/>
      <c r="Y117" s="150">
        <f t="shared" si="104"/>
        <v>126.72438274805897</v>
      </c>
      <c r="Z117" s="150">
        <f t="shared" si="105"/>
        <v>95.068856636890388</v>
      </c>
      <c r="BN117" s="114"/>
      <c r="BO117" s="114"/>
      <c r="BP117" s="114"/>
      <c r="BQ117" s="114"/>
      <c r="BR117" s="114"/>
      <c r="BS117" s="114"/>
    </row>
    <row r="118" spans="15:71" x14ac:dyDescent="0.25">
      <c r="O118" s="156">
        <v>3.8</v>
      </c>
      <c r="P118" s="111" t="s">
        <v>101</v>
      </c>
      <c r="S118" s="156">
        <f>O104</f>
        <v>4.0999999999999996</v>
      </c>
      <c r="T118" s="111" t="s">
        <v>101</v>
      </c>
      <c r="Y118" s="150">
        <f t="shared" si="104"/>
        <v>78.338248132033328</v>
      </c>
      <c r="Z118" s="150">
        <f t="shared" si="105"/>
        <v>89.724074274427878</v>
      </c>
      <c r="BN118" s="114"/>
      <c r="BO118" s="114"/>
      <c r="BP118" s="114"/>
      <c r="BQ118" s="114"/>
      <c r="BR118" s="114"/>
      <c r="BS118" s="114"/>
    </row>
    <row r="119" spans="15:71" x14ac:dyDescent="0.25">
      <c r="O119" s="156">
        <v>4.5</v>
      </c>
      <c r="P119" s="111" t="s">
        <v>101</v>
      </c>
      <c r="S119" s="156">
        <f>O105</f>
        <v>4.0999999999999996</v>
      </c>
      <c r="T119" s="111" t="s">
        <v>101</v>
      </c>
      <c r="Y119" s="150">
        <f t="shared" si="104"/>
        <v>126.42775589517291</v>
      </c>
      <c r="Z119" s="150">
        <f t="shared" si="105"/>
        <v>94.724548703521293</v>
      </c>
      <c r="BN119" s="114"/>
      <c r="BO119" s="114"/>
      <c r="BP119" s="114"/>
      <c r="BQ119" s="114"/>
      <c r="BR119" s="114"/>
      <c r="BS119" s="114"/>
    </row>
    <row r="120" spans="15:71" x14ac:dyDescent="0.25">
      <c r="O120" s="156">
        <v>0.45</v>
      </c>
      <c r="P120" s="111" t="s">
        <v>101</v>
      </c>
      <c r="S120" s="156">
        <f>O107</f>
        <v>0.6</v>
      </c>
      <c r="T120" s="111" t="s">
        <v>101</v>
      </c>
      <c r="Y120" s="150">
        <f t="shared" si="104"/>
        <v>78.002991132231713</v>
      </c>
      <c r="Z120" s="150">
        <f t="shared" si="105"/>
        <v>89.379755787834668</v>
      </c>
      <c r="BN120" s="114"/>
      <c r="BO120" s="114"/>
      <c r="BP120" s="114"/>
      <c r="BQ120" s="114"/>
      <c r="BR120" s="114"/>
      <c r="BS120" s="114"/>
    </row>
    <row r="121" spans="15:71" x14ac:dyDescent="0.25">
      <c r="O121" s="156"/>
      <c r="S121" s="156"/>
      <c r="BN121" s="114"/>
      <c r="BO121" s="114"/>
      <c r="BP121" s="114"/>
      <c r="BQ121" s="114"/>
      <c r="BR121" s="114"/>
      <c r="BS121" s="114"/>
    </row>
    <row r="122" spans="15:71" x14ac:dyDescent="0.25">
      <c r="O122" s="156">
        <f>+O118*O119*O120</f>
        <v>7.6949999999999994</v>
      </c>
      <c r="P122" s="111" t="s">
        <v>746</v>
      </c>
      <c r="S122" s="156">
        <f>+S118*S119*S120</f>
        <v>10.085999999999999</v>
      </c>
      <c r="T122" s="111" t="s">
        <v>746</v>
      </c>
      <c r="BN122" s="114"/>
      <c r="BO122" s="114"/>
      <c r="BP122" s="114"/>
      <c r="BQ122" s="114"/>
      <c r="BR122" s="114"/>
      <c r="BS122" s="114"/>
    </row>
    <row r="123" spans="15:71" x14ac:dyDescent="0.25">
      <c r="O123" s="156"/>
      <c r="Q123" s="111" t="s">
        <v>755</v>
      </c>
      <c r="S123" s="156"/>
    </row>
    <row r="124" spans="15:71" x14ac:dyDescent="0.25">
      <c r="O124" s="156"/>
      <c r="Q124" s="156">
        <f>+O122-S122</f>
        <v>-2.3909999999999991</v>
      </c>
      <c r="S124" s="156"/>
    </row>
    <row r="125" spans="15:71" x14ac:dyDescent="0.25">
      <c r="O125" s="156"/>
      <c r="S125" s="156"/>
    </row>
    <row r="126" spans="15:71" x14ac:dyDescent="0.25">
      <c r="O126" s="156">
        <f>+O119/O118</f>
        <v>1.1842105263157896</v>
      </c>
      <c r="S126" s="156">
        <f>+S119/S118</f>
        <v>1</v>
      </c>
    </row>
  </sheetData>
  <autoFilter ref="M12:AJ44" xr:uid="{D1D56981-557D-4503-A1AE-01A2128356F2}">
    <sortState xmlns:xlrd2="http://schemas.microsoft.com/office/spreadsheetml/2017/richdata2" ref="M46:AJ46">
      <sortCondition ref="Y12:Y44"/>
    </sortState>
  </autoFilter>
  <mergeCells count="434">
    <mergeCell ref="CJ81:CJ82"/>
    <mergeCell ref="AE82:AF82"/>
    <mergeCell ref="N86:S86"/>
    <mergeCell ref="T86:V88"/>
    <mergeCell ref="N87:S87"/>
    <mergeCell ref="N88:N89"/>
    <mergeCell ref="O88:O89"/>
    <mergeCell ref="P88:S88"/>
    <mergeCell ref="M81:M82"/>
    <mergeCell ref="Y81:Y82"/>
    <mergeCell ref="AE81:AF81"/>
    <mergeCell ref="AN81:AN82"/>
    <mergeCell ref="AZ81:AZ82"/>
    <mergeCell ref="BL81:BL82"/>
    <mergeCell ref="CJ77:CJ78"/>
    <mergeCell ref="AE78:AF78"/>
    <mergeCell ref="M79:M80"/>
    <mergeCell ref="Y79:Y80"/>
    <mergeCell ref="AE79:AF79"/>
    <mergeCell ref="AN79:AN80"/>
    <mergeCell ref="AZ79:AZ80"/>
    <mergeCell ref="BL79:BL80"/>
    <mergeCell ref="CJ79:CJ80"/>
    <mergeCell ref="AE80:AF80"/>
    <mergeCell ref="M77:M78"/>
    <mergeCell ref="Y77:Y78"/>
    <mergeCell ref="AE77:AF77"/>
    <mergeCell ref="AN77:AN78"/>
    <mergeCell ref="AZ77:AZ78"/>
    <mergeCell ref="BL77:BL78"/>
    <mergeCell ref="M73:M74"/>
    <mergeCell ref="Y73:Y74"/>
    <mergeCell ref="AE73:AF73"/>
    <mergeCell ref="AN73:AN74"/>
    <mergeCell ref="AZ73:AZ74"/>
    <mergeCell ref="BL73:BL74"/>
    <mergeCell ref="CJ73:CJ74"/>
    <mergeCell ref="AE74:AF74"/>
    <mergeCell ref="M75:M76"/>
    <mergeCell ref="Y75:Y76"/>
    <mergeCell ref="AE75:AF75"/>
    <mergeCell ref="AN75:AN76"/>
    <mergeCell ref="AZ75:AZ76"/>
    <mergeCell ref="BL75:BL76"/>
    <mergeCell ref="CJ75:CJ76"/>
    <mergeCell ref="AE76:AF76"/>
    <mergeCell ref="B70:K71"/>
    <mergeCell ref="AE70:AF70"/>
    <mergeCell ref="M71:M72"/>
    <mergeCell ref="Y71:Y72"/>
    <mergeCell ref="AE71:AF71"/>
    <mergeCell ref="AN71:AN72"/>
    <mergeCell ref="BL67:BL68"/>
    <mergeCell ref="CJ67:CJ68"/>
    <mergeCell ref="AE68:AF68"/>
    <mergeCell ref="M69:M70"/>
    <mergeCell ref="Y69:Y70"/>
    <mergeCell ref="AE69:AF69"/>
    <mergeCell ref="AN69:AN70"/>
    <mergeCell ref="AZ69:AZ70"/>
    <mergeCell ref="BL69:BL70"/>
    <mergeCell ref="CJ69:CJ70"/>
    <mergeCell ref="AZ71:AZ72"/>
    <mergeCell ref="BL71:BL72"/>
    <mergeCell ref="CJ71:CJ72"/>
    <mergeCell ref="AE72:AF72"/>
    <mergeCell ref="AE66:AF66"/>
    <mergeCell ref="M67:M68"/>
    <mergeCell ref="Y67:Y68"/>
    <mergeCell ref="AE67:AF67"/>
    <mergeCell ref="AN67:AN68"/>
    <mergeCell ref="AZ67:AZ68"/>
    <mergeCell ref="BL63:BL64"/>
    <mergeCell ref="CJ63:CJ64"/>
    <mergeCell ref="AE64:AF64"/>
    <mergeCell ref="M65:M66"/>
    <mergeCell ref="Y65:Y66"/>
    <mergeCell ref="AE65:AF65"/>
    <mergeCell ref="AN65:AN66"/>
    <mergeCell ref="AZ65:AZ66"/>
    <mergeCell ref="BL65:BL66"/>
    <mergeCell ref="CJ65:CJ66"/>
    <mergeCell ref="AE62:AF62"/>
    <mergeCell ref="M63:M64"/>
    <mergeCell ref="Y63:Y64"/>
    <mergeCell ref="AE63:AF63"/>
    <mergeCell ref="AN63:AN64"/>
    <mergeCell ref="AZ63:AZ64"/>
    <mergeCell ref="BL59:BL60"/>
    <mergeCell ref="CJ59:CJ60"/>
    <mergeCell ref="AE60:AF60"/>
    <mergeCell ref="M61:M62"/>
    <mergeCell ref="Y61:Y62"/>
    <mergeCell ref="AE61:AF61"/>
    <mergeCell ref="AN61:AN62"/>
    <mergeCell ref="AZ61:AZ62"/>
    <mergeCell ref="BL61:BL62"/>
    <mergeCell ref="CJ61:CJ62"/>
    <mergeCell ref="AE58:AF58"/>
    <mergeCell ref="M59:M60"/>
    <mergeCell ref="Y59:Y60"/>
    <mergeCell ref="AE59:AF59"/>
    <mergeCell ref="AN59:AN60"/>
    <mergeCell ref="AZ59:AZ60"/>
    <mergeCell ref="BL55:BL56"/>
    <mergeCell ref="CJ55:CJ56"/>
    <mergeCell ref="AE56:AF56"/>
    <mergeCell ref="M57:M58"/>
    <mergeCell ref="Y57:Y58"/>
    <mergeCell ref="AE57:AF57"/>
    <mergeCell ref="AN57:AN58"/>
    <mergeCell ref="AZ57:AZ58"/>
    <mergeCell ref="BL57:BL58"/>
    <mergeCell ref="CJ57:CJ58"/>
    <mergeCell ref="AE54:AF54"/>
    <mergeCell ref="M55:M56"/>
    <mergeCell ref="Y55:Y56"/>
    <mergeCell ref="AE55:AF55"/>
    <mergeCell ref="AN55:AN56"/>
    <mergeCell ref="AZ55:AZ56"/>
    <mergeCell ref="BL51:BL52"/>
    <mergeCell ref="CJ51:CJ52"/>
    <mergeCell ref="AE52:AF52"/>
    <mergeCell ref="M53:M54"/>
    <mergeCell ref="Y53:Y54"/>
    <mergeCell ref="AE53:AF53"/>
    <mergeCell ref="AN53:AN54"/>
    <mergeCell ref="AZ53:AZ54"/>
    <mergeCell ref="BL53:BL54"/>
    <mergeCell ref="CJ53:CJ54"/>
    <mergeCell ref="M51:M52"/>
    <mergeCell ref="Y51:Y52"/>
    <mergeCell ref="AE51:AF51"/>
    <mergeCell ref="AN51:AN52"/>
    <mergeCell ref="AZ51:AZ52"/>
    <mergeCell ref="AJ49:AJ50"/>
    <mergeCell ref="AS49:AS50"/>
    <mergeCell ref="AT49:AT50"/>
    <mergeCell ref="AV49:AV50"/>
    <mergeCell ref="Q49:Q50"/>
    <mergeCell ref="R49:R50"/>
    <mergeCell ref="S49:S50"/>
    <mergeCell ref="AD49:AD50"/>
    <mergeCell ref="AE49:AF50"/>
    <mergeCell ref="AH49:AH50"/>
    <mergeCell ref="CK48:CM48"/>
    <mergeCell ref="AN47:AN50"/>
    <mergeCell ref="AZ47:AZ50"/>
    <mergeCell ref="BA47:BJ47"/>
    <mergeCell ref="BL47:BL50"/>
    <mergeCell ref="BM47:BW47"/>
    <mergeCell ref="CJ47:CJ50"/>
    <mergeCell ref="BF49:BF50"/>
    <mergeCell ref="BH49:BH50"/>
    <mergeCell ref="BJ49:BJ50"/>
    <mergeCell ref="BM49:BM50"/>
    <mergeCell ref="BQ49:BQ50"/>
    <mergeCell ref="BR49:BR50"/>
    <mergeCell ref="BU49:BU50"/>
    <mergeCell ref="BV49:BW50"/>
    <mergeCell ref="CM49:CM50"/>
    <mergeCell ref="BC49:BC50"/>
    <mergeCell ref="BE49:BE50"/>
    <mergeCell ref="CE43:CI44"/>
    <mergeCell ref="CJ43:CJ44"/>
    <mergeCell ref="CW43:CW44"/>
    <mergeCell ref="M47:M50"/>
    <mergeCell ref="N47:P48"/>
    <mergeCell ref="Q47:V48"/>
    <mergeCell ref="W47:X48"/>
    <mergeCell ref="Y47:Y50"/>
    <mergeCell ref="Z47:AF48"/>
    <mergeCell ref="AG47:AJ47"/>
    <mergeCell ref="M43:M44"/>
    <mergeCell ref="Y43:Y44"/>
    <mergeCell ref="AN43:AN44"/>
    <mergeCell ref="AZ43:AZ44"/>
    <mergeCell ref="BL43:BL44"/>
    <mergeCell ref="BX43:BX44"/>
    <mergeCell ref="CK47:CM47"/>
    <mergeCell ref="AG48:AH48"/>
    <mergeCell ref="AI48:AJ48"/>
    <mergeCell ref="AO48:AS48"/>
    <mergeCell ref="AT48:AX48"/>
    <mergeCell ref="BA48:BJ48"/>
    <mergeCell ref="BM48:BT48"/>
    <mergeCell ref="BU48:BW48"/>
    <mergeCell ref="CJ39:CJ40"/>
    <mergeCell ref="CW39:CW40"/>
    <mergeCell ref="M41:M42"/>
    <mergeCell ref="Y41:Y42"/>
    <mergeCell ref="AN41:AN42"/>
    <mergeCell ref="AZ41:AZ42"/>
    <mergeCell ref="BL41:BL42"/>
    <mergeCell ref="BX41:BX42"/>
    <mergeCell ref="CJ41:CJ42"/>
    <mergeCell ref="CW41:CW42"/>
    <mergeCell ref="M39:M40"/>
    <mergeCell ref="Y39:Y40"/>
    <mergeCell ref="AN39:AN40"/>
    <mergeCell ref="AZ39:AZ40"/>
    <mergeCell ref="BL39:BL40"/>
    <mergeCell ref="BX39:BX40"/>
    <mergeCell ref="CJ35:CJ36"/>
    <mergeCell ref="CW35:CW36"/>
    <mergeCell ref="M37:M38"/>
    <mergeCell ref="Y37:Y38"/>
    <mergeCell ref="AN37:AN38"/>
    <mergeCell ref="AZ37:AZ38"/>
    <mergeCell ref="BL37:BL38"/>
    <mergeCell ref="BX37:BX38"/>
    <mergeCell ref="CJ37:CJ38"/>
    <mergeCell ref="CW37:CW38"/>
    <mergeCell ref="M35:M36"/>
    <mergeCell ref="Y35:Y36"/>
    <mergeCell ref="AN35:AN36"/>
    <mergeCell ref="AZ35:AZ36"/>
    <mergeCell ref="BL35:BL36"/>
    <mergeCell ref="BX35:BX36"/>
    <mergeCell ref="CJ31:CJ32"/>
    <mergeCell ref="CW31:CW32"/>
    <mergeCell ref="M33:M34"/>
    <mergeCell ref="Y33:Y34"/>
    <mergeCell ref="AN33:AN34"/>
    <mergeCell ref="AZ33:AZ34"/>
    <mergeCell ref="BL33:BL34"/>
    <mergeCell ref="BX33:BX34"/>
    <mergeCell ref="CJ33:CJ34"/>
    <mergeCell ref="CW33:CW34"/>
    <mergeCell ref="M31:M32"/>
    <mergeCell ref="Y31:Y32"/>
    <mergeCell ref="AN31:AN32"/>
    <mergeCell ref="AZ31:AZ32"/>
    <mergeCell ref="BL31:BL32"/>
    <mergeCell ref="BX31:BX32"/>
    <mergeCell ref="M29:M30"/>
    <mergeCell ref="Y29:Y30"/>
    <mergeCell ref="AN29:AN30"/>
    <mergeCell ref="AZ29:AZ30"/>
    <mergeCell ref="BL29:BL30"/>
    <mergeCell ref="BX29:BX30"/>
    <mergeCell ref="CJ29:CJ30"/>
    <mergeCell ref="CW29:CW30"/>
    <mergeCell ref="M27:M28"/>
    <mergeCell ref="Y27:Y28"/>
    <mergeCell ref="AN27:AN28"/>
    <mergeCell ref="AZ27:AZ28"/>
    <mergeCell ref="BL27:BL28"/>
    <mergeCell ref="BX27:BX28"/>
    <mergeCell ref="M25:M26"/>
    <mergeCell ref="Y25:Y26"/>
    <mergeCell ref="AN25:AN26"/>
    <mergeCell ref="AZ25:AZ26"/>
    <mergeCell ref="BL25:BL26"/>
    <mergeCell ref="BX25:BX26"/>
    <mergeCell ref="CJ25:CJ26"/>
    <mergeCell ref="CW25:CW26"/>
    <mergeCell ref="CJ27:CJ28"/>
    <mergeCell ref="CW27:CW28"/>
    <mergeCell ref="CJ21:CJ22"/>
    <mergeCell ref="CW21:CW22"/>
    <mergeCell ref="M23:M24"/>
    <mergeCell ref="Y23:Y24"/>
    <mergeCell ref="AN23:AN24"/>
    <mergeCell ref="AZ23:AZ24"/>
    <mergeCell ref="BL23:BL24"/>
    <mergeCell ref="BX23:BX24"/>
    <mergeCell ref="CE23:CH24"/>
    <mergeCell ref="CJ23:CJ24"/>
    <mergeCell ref="M21:M22"/>
    <mergeCell ref="Y21:Y22"/>
    <mergeCell ref="AN21:AN22"/>
    <mergeCell ref="AZ21:AZ22"/>
    <mergeCell ref="BL21:BL22"/>
    <mergeCell ref="BX21:BX22"/>
    <mergeCell ref="CW23:CW24"/>
    <mergeCell ref="CJ17:CJ18"/>
    <mergeCell ref="CW17:CW18"/>
    <mergeCell ref="M19:M20"/>
    <mergeCell ref="Y19:Y20"/>
    <mergeCell ref="AN19:AN20"/>
    <mergeCell ref="AZ19:AZ20"/>
    <mergeCell ref="BL19:BL20"/>
    <mergeCell ref="BX19:BX20"/>
    <mergeCell ref="CJ19:CJ20"/>
    <mergeCell ref="CW19:CW20"/>
    <mergeCell ref="M17:M18"/>
    <mergeCell ref="Y17:Y18"/>
    <mergeCell ref="AN17:AN18"/>
    <mergeCell ref="AZ17:AZ18"/>
    <mergeCell ref="BL17:BL18"/>
    <mergeCell ref="BX17:BX18"/>
    <mergeCell ref="CJ13:CJ14"/>
    <mergeCell ref="CW13:CW14"/>
    <mergeCell ref="M15:M16"/>
    <mergeCell ref="Y15:Y16"/>
    <mergeCell ref="AN15:AN16"/>
    <mergeCell ref="AZ15:AZ16"/>
    <mergeCell ref="BL15:BL16"/>
    <mergeCell ref="BX15:BX16"/>
    <mergeCell ref="CJ15:CJ16"/>
    <mergeCell ref="CW15:CW16"/>
    <mergeCell ref="M13:M14"/>
    <mergeCell ref="Y13:Y14"/>
    <mergeCell ref="AN13:AN14"/>
    <mergeCell ref="AZ13:AZ14"/>
    <mergeCell ref="BL13:BL14"/>
    <mergeCell ref="BX13:BX14"/>
    <mergeCell ref="CW10:CW12"/>
    <mergeCell ref="CX10:CX12"/>
    <mergeCell ref="DA10:DA12"/>
    <mergeCell ref="DB10:DB12"/>
    <mergeCell ref="BA10:BJ10"/>
    <mergeCell ref="BM10:BP10"/>
    <mergeCell ref="BQ10:BV10"/>
    <mergeCell ref="BY10:CA10"/>
    <mergeCell ref="CB10:CB11"/>
    <mergeCell ref="CC10:CC12"/>
    <mergeCell ref="BE11:BE12"/>
    <mergeCell ref="BF11:BF12"/>
    <mergeCell ref="BH11:BH12"/>
    <mergeCell ref="BJ11:BJ12"/>
    <mergeCell ref="BQ11:BQ12"/>
    <mergeCell ref="BR11:BS12"/>
    <mergeCell ref="BV11:BV12"/>
    <mergeCell ref="CA11:CA12"/>
    <mergeCell ref="CQ11:CQ12"/>
    <mergeCell ref="CR11:CS12"/>
    <mergeCell ref="BC11:BC12"/>
    <mergeCell ref="CO10:CO12"/>
    <mergeCell ref="CP10:CS10"/>
    <mergeCell ref="M10:M12"/>
    <mergeCell ref="N10:N12"/>
    <mergeCell ref="O10:O12"/>
    <mergeCell ref="P10:T10"/>
    <mergeCell ref="U10:V10"/>
    <mergeCell ref="Y10:Y12"/>
    <mergeCell ref="BL9:BL12"/>
    <mergeCell ref="BM9:BV9"/>
    <mergeCell ref="BX9:BX12"/>
    <mergeCell ref="AF11:AF12"/>
    <mergeCell ref="AG11:AG12"/>
    <mergeCell ref="AS11:AS12"/>
    <mergeCell ref="AT11:AT12"/>
    <mergeCell ref="AY11:AY12"/>
    <mergeCell ref="BY9:CC9"/>
    <mergeCell ref="CJ9:CJ12"/>
    <mergeCell ref="CK9:CS9"/>
    <mergeCell ref="CK10:CK11"/>
    <mergeCell ref="CL10:CL11"/>
    <mergeCell ref="CM10:CM11"/>
    <mergeCell ref="CN10:CN11"/>
    <mergeCell ref="V6:X8"/>
    <mergeCell ref="AN9:AN12"/>
    <mergeCell ref="AO9:AT10"/>
    <mergeCell ref="AU9:AY10"/>
    <mergeCell ref="AZ9:AZ12"/>
    <mergeCell ref="BA9:BJ9"/>
    <mergeCell ref="Z10:AC10"/>
    <mergeCell ref="AD10:AG10"/>
    <mergeCell ref="AH10:AH12"/>
    <mergeCell ref="AI10:AJ11"/>
    <mergeCell ref="CN3:CQ4"/>
    <mergeCell ref="CS3:CU3"/>
    <mergeCell ref="J4:L4"/>
    <mergeCell ref="V4:X4"/>
    <mergeCell ref="AH4:AJ4"/>
    <mergeCell ref="AW4:AY4"/>
    <mergeCell ref="BI4:BK4"/>
    <mergeCell ref="BU4:BW4"/>
    <mergeCell ref="CG4:CI4"/>
    <mergeCell ref="CS4:CU4"/>
    <mergeCell ref="AH3:AJ3"/>
    <mergeCell ref="AQ3:AQ4"/>
    <mergeCell ref="AR3:AU4"/>
    <mergeCell ref="AW3:AY3"/>
    <mergeCell ref="BC3:BC4"/>
    <mergeCell ref="BD3:BG4"/>
    <mergeCell ref="CN1:CQ2"/>
    <mergeCell ref="CS1:CU1"/>
    <mergeCell ref="J2:L2"/>
    <mergeCell ref="V2:X2"/>
    <mergeCell ref="AH2:AJ2"/>
    <mergeCell ref="AW2:AY2"/>
    <mergeCell ref="BI2:BK2"/>
    <mergeCell ref="BU2:BW2"/>
    <mergeCell ref="CG2:CI2"/>
    <mergeCell ref="CS2:CU2"/>
    <mergeCell ref="BX1:BZ4"/>
    <mergeCell ref="CA1:CA2"/>
    <mergeCell ref="CB1:CE2"/>
    <mergeCell ref="CG1:CI1"/>
    <mergeCell ref="CJ1:CL4"/>
    <mergeCell ref="CM1:CM2"/>
    <mergeCell ref="CA3:CA4"/>
    <mergeCell ref="CB3:CE4"/>
    <mergeCell ref="CG3:CI3"/>
    <mergeCell ref="CM3:CM4"/>
    <mergeCell ref="BD1:BG2"/>
    <mergeCell ref="BI1:BK1"/>
    <mergeCell ref="BL1:BN4"/>
    <mergeCell ref="BO1:BO2"/>
    <mergeCell ref="BP1:BS2"/>
    <mergeCell ref="BU1:BW1"/>
    <mergeCell ref="BI3:BK3"/>
    <mergeCell ref="BO3:BO4"/>
    <mergeCell ref="BP3:BS4"/>
    <mergeCell ref="BU3:BW3"/>
    <mergeCell ref="AN1:AP4"/>
    <mergeCell ref="AQ1:AQ2"/>
    <mergeCell ref="AR1:AU2"/>
    <mergeCell ref="AW1:AY1"/>
    <mergeCell ref="AZ1:BB4"/>
    <mergeCell ref="BC1:BC2"/>
    <mergeCell ref="Q1:T2"/>
    <mergeCell ref="V1:X1"/>
    <mergeCell ref="Y1:AA4"/>
    <mergeCell ref="AB1:AB2"/>
    <mergeCell ref="AC1:AF2"/>
    <mergeCell ref="AH1:AJ1"/>
    <mergeCell ref="Q3:T4"/>
    <mergeCell ref="V3:X3"/>
    <mergeCell ref="AB3:AB4"/>
    <mergeCell ref="AC3:AF4"/>
    <mergeCell ref="A1:C4"/>
    <mergeCell ref="D1:D2"/>
    <mergeCell ref="E1:H2"/>
    <mergeCell ref="J1:L1"/>
    <mergeCell ref="M1:O4"/>
    <mergeCell ref="P1:P2"/>
    <mergeCell ref="D3:D4"/>
    <mergeCell ref="E3:H4"/>
    <mergeCell ref="J3:L3"/>
    <mergeCell ref="P3:P4"/>
  </mergeCells>
  <conditionalFormatting sqref="Y89:Z120">
    <cfRule type="cellIs" dxfId="114" priority="24" operator="lessThan">
      <formula>0</formula>
    </cfRule>
    <cfRule type="cellIs" dxfId="113" priority="26" operator="between">
      <formula>$T$6</formula>
      <formula>0</formula>
    </cfRule>
    <cfRule type="cellIs" dxfId="112" priority="25" operator="greaterThan">
      <formula>$T$6</formula>
    </cfRule>
  </conditionalFormatting>
  <conditionalFormatting sqref="Z51:AC82">
    <cfRule type="cellIs" dxfId="111" priority="1" operator="lessThan">
      <formula>0</formula>
    </cfRule>
    <cfRule type="cellIs" dxfId="110" priority="2" operator="greaterThan">
      <formula>$T$6</formula>
    </cfRule>
    <cfRule type="cellIs" dxfId="109" priority="3" operator="between">
      <formula>$T$6</formula>
      <formula>0</formula>
    </cfRule>
  </conditionalFormatting>
  <conditionalFormatting sqref="AD51:AD82">
    <cfRule type="cellIs" dxfId="108" priority="41" operator="lessThan">
      <formula>1</formula>
    </cfRule>
    <cfRule type="cellIs" dxfId="107" priority="42" operator="greaterThan">
      <formula>1</formula>
    </cfRule>
  </conditionalFormatting>
  <conditionalFormatting sqref="AF13:AG44">
    <cfRule type="cellIs" dxfId="106" priority="14" operator="equal">
      <formula>"N/C"</formula>
    </cfRule>
    <cfRule type="cellIs" dxfId="105" priority="15" operator="equal">
      <formula>"OK"</formula>
    </cfRule>
  </conditionalFormatting>
  <conditionalFormatting sqref="AJ51:AM74 AH51:AH82 AK75:AM76 AJ75:AJ82">
    <cfRule type="cellIs" dxfId="104" priority="39" operator="lessThan">
      <formula>2</formula>
    </cfRule>
    <cfRule type="cellIs" dxfId="103" priority="40" operator="greaterThan">
      <formula>2</formula>
    </cfRule>
  </conditionalFormatting>
  <conditionalFormatting sqref="AK13:AK44">
    <cfRule type="cellIs" dxfId="102" priority="6" operator="lessThan">
      <formula>1</formula>
    </cfRule>
    <cfRule type="cellIs" dxfId="101" priority="7" operator="greaterThan">
      <formula>1</formula>
    </cfRule>
  </conditionalFormatting>
  <conditionalFormatting sqref="AL13:AM44">
    <cfRule type="cellIs" dxfId="100" priority="4" operator="lessThan">
      <formula>2</formula>
    </cfRule>
    <cfRule type="cellIs" dxfId="99" priority="5" operator="greaterThan">
      <formula>2</formula>
    </cfRule>
  </conditionalFormatting>
  <conditionalFormatting sqref="AS13:AS36">
    <cfRule type="cellIs" dxfId="98" priority="35" operator="equal">
      <formula>"N/C"</formula>
    </cfRule>
    <cfRule type="cellIs" dxfId="97" priority="36" operator="equal">
      <formula>"OK"</formula>
    </cfRule>
  </conditionalFormatting>
  <conditionalFormatting sqref="AS51:AS76">
    <cfRule type="cellIs" dxfId="96" priority="33" operator="equal">
      <formula>"N/C"</formula>
    </cfRule>
    <cfRule type="cellIs" dxfId="95" priority="34" operator="equal">
      <formula>"OK"</formula>
    </cfRule>
  </conditionalFormatting>
  <conditionalFormatting sqref="AT13:AT36">
    <cfRule type="cellIs" dxfId="94" priority="37" operator="equal">
      <formula>$U13</formula>
    </cfRule>
    <cfRule type="cellIs" dxfId="93" priority="38" operator="greaterThan">
      <formula>$U13</formula>
    </cfRule>
  </conditionalFormatting>
  <conditionalFormatting sqref="AY13:AY36">
    <cfRule type="cellIs" dxfId="92" priority="31" operator="equal">
      <formula>"N/C"</formula>
    </cfRule>
    <cfRule type="cellIs" dxfId="91" priority="32" operator="equal">
      <formula>"OK"</formula>
    </cfRule>
  </conditionalFormatting>
  <conditionalFormatting sqref="BH13:BH36">
    <cfRule type="cellIs" dxfId="90" priority="29" operator="equal">
      <formula>"N/C"</formula>
    </cfRule>
    <cfRule type="cellIs" dxfId="89" priority="30" operator="equal">
      <formula>"OK"</formula>
    </cfRule>
  </conditionalFormatting>
  <conditionalFormatting sqref="BH51:BH76">
    <cfRule type="cellIs" dxfId="88" priority="27" operator="equal">
      <formula>"N/C"</formula>
    </cfRule>
    <cfRule type="cellIs" dxfId="87" priority="28" operator="equal">
      <formula>"OK"</formula>
    </cfRule>
  </conditionalFormatting>
  <conditionalFormatting sqref="BV13:BV36">
    <cfRule type="cellIs" dxfId="86" priority="22" operator="equal">
      <formula>"N/C"</formula>
    </cfRule>
    <cfRule type="cellIs" dxfId="85" priority="23" operator="equal">
      <formula>"OK"</formula>
    </cfRule>
  </conditionalFormatting>
  <conditionalFormatting sqref="CC13:CC36">
    <cfRule type="cellIs" dxfId="84" priority="21" operator="equal">
      <formula>"OK"</formula>
    </cfRule>
    <cfRule type="cellIs" dxfId="83" priority="20" operator="equal">
      <formula>"N/C"</formula>
    </cfRule>
  </conditionalFormatting>
  <conditionalFormatting sqref="CM51:CM74">
    <cfRule type="cellIs" dxfId="82" priority="16" operator="equal">
      <formula>"N/C"</formula>
    </cfRule>
    <cfRule type="cellIs" dxfId="81" priority="17" operator="equal">
      <formula>"OK"</formula>
    </cfRule>
  </conditionalFormatting>
  <conditionalFormatting sqref="CM13:CN36">
    <cfRule type="cellIs" dxfId="80" priority="8" operator="lessThan">
      <formula>0</formula>
    </cfRule>
    <cfRule type="cellIs" dxfId="79" priority="9" operator="greaterThan">
      <formula>$T$6</formula>
    </cfRule>
    <cfRule type="cellIs" dxfId="78" priority="10" operator="between">
      <formula>$T$6</formula>
      <formula>0</formula>
    </cfRule>
  </conditionalFormatting>
  <conditionalFormatting sqref="CO13:CO36">
    <cfRule type="cellIs" dxfId="77" priority="18" operator="equal">
      <formula>"N/C"</formula>
    </cfRule>
    <cfRule type="cellIs" dxfId="76" priority="19" operator="equal">
      <formula>"OK"</formula>
    </cfRule>
  </conditionalFormatting>
  <dataValidations count="5">
    <dataValidation type="list" allowBlank="1" showInputMessage="1" showErrorMessage="1" sqref="AU9:AU12 BE13:BE44 AU50 AU47:AU48 BW51:BW82 CS13:CS44 BS13:BS44 BE51:BE82" xr:uid="{8A755CBC-2FF3-4698-A116-89274E236ACD}">
      <formula1>$N$91:$N$102</formula1>
    </dataValidation>
    <dataValidation type="list" allowBlank="1" showInputMessage="1" showErrorMessage="1" sqref="BQ51:BQ82" xr:uid="{5AFC4EBB-8D92-4BF4-94DD-8D61D7172BBB}">
      <formula1>"Empotrado, Articulado"</formula1>
    </dataValidation>
    <dataValidation type="list" allowBlank="1" showInputMessage="1" showErrorMessage="1" sqref="C43:C44 C13:C40 O13:O44" xr:uid="{1E61CE96-0726-45F7-ADBE-D42E7DA126E3}">
      <formula1>"Central, Medianera, Esquinera"</formula1>
    </dataValidation>
    <dataValidation type="list" allowBlank="1" showInputMessage="1" showErrorMessage="1" sqref="AV51:AV82" xr:uid="{89F5F28A-B6FE-4CC5-B43E-9A2957F15A6F}">
      <formula1>"DES,DMO,DMI"</formula1>
    </dataValidation>
    <dataValidation type="list" allowBlank="1" showInputMessage="1" showErrorMessage="1" sqref="AH13:AH44" xr:uid="{938C340A-AFFE-4E86-91D3-F4A7CD2D296B}">
      <formula1>"Central,L,B,Esquinera"</formula1>
    </dataValidation>
  </dataValidations>
  <printOptions horizontalCentered="1" verticalCentered="1"/>
  <pageMargins left="0.39370078740157483" right="0.39370078740157483" top="0.47244094488188981" bottom="0.47244094488188981" header="0.31496062992125984" footer="0.31496062992125984"/>
  <pageSetup scale="59" fitToWidth="0" orientation="portrait" r:id="rId1"/>
  <colBreaks count="7" manualBreakCount="7">
    <brk id="12" max="83" man="1"/>
    <brk id="24" max="83" man="1"/>
    <brk id="39" max="83" man="1"/>
    <brk id="51" max="1048575" man="1"/>
    <brk id="63" max="83" man="1"/>
    <brk id="75" max="83" man="1"/>
    <brk id="87" max="83" man="1"/>
  </col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12345-8503-4114-834B-263E7FB69121}">
  <sheetPr>
    <pageSetUpPr fitToPage="1"/>
  </sheetPr>
  <dimension ref="A1:DB126"/>
  <sheetViews>
    <sheetView view="pageBreakPreview" topLeftCell="AB1" zoomScale="85" zoomScaleNormal="85" zoomScaleSheetLayoutView="85" workbookViewId="0">
      <selection activeCell="Y15" sqref="Y15:AC22"/>
    </sheetView>
  </sheetViews>
  <sheetFormatPr baseColWidth="10" defaultColWidth="11.140625" defaultRowHeight="15" x14ac:dyDescent="0.25"/>
  <cols>
    <col min="1" max="14" width="11.140625" style="111"/>
    <col min="15" max="87" width="11.140625" style="111" customWidth="1"/>
    <col min="88" max="104" width="11.140625" style="114"/>
    <col min="105" max="106" width="19.5703125" style="114" customWidth="1"/>
    <col min="107" max="16384" width="11.140625" style="114"/>
  </cols>
  <sheetData>
    <row r="1" spans="1:106" s="113" customFormat="1" ht="15" customHeight="1" x14ac:dyDescent="0.25">
      <c r="A1" s="320" t="s">
        <v>549</v>
      </c>
      <c r="B1" s="320"/>
      <c r="C1" s="320"/>
      <c r="D1" s="322" t="s">
        <v>0</v>
      </c>
      <c r="E1" s="322" t="str">
        <f>'9. REPORTE ETABS'!H1</f>
        <v>EDIFICACIÓN LOCALES COMERCIALES</v>
      </c>
      <c r="F1" s="322"/>
      <c r="G1" s="322"/>
      <c r="H1" s="322"/>
      <c r="I1" s="110" t="s">
        <v>2</v>
      </c>
      <c r="J1" s="323" t="str">
        <f>'9. REPORTE ETABS'!Q1</f>
        <v>Mayo de 2025</v>
      </c>
      <c r="K1" s="324"/>
      <c r="L1" s="324"/>
      <c r="M1" s="320" t="s">
        <v>549</v>
      </c>
      <c r="N1" s="320"/>
      <c r="O1" s="320"/>
      <c r="P1" s="322" t="s">
        <v>0</v>
      </c>
      <c r="Q1" s="322" t="str">
        <f>E1</f>
        <v>EDIFICACIÓN LOCALES COMERCIALES</v>
      </c>
      <c r="R1" s="322"/>
      <c r="S1" s="322"/>
      <c r="T1" s="322"/>
      <c r="U1" s="110" t="s">
        <v>2</v>
      </c>
      <c r="V1" s="323" t="str">
        <f>J1</f>
        <v>Mayo de 2025</v>
      </c>
      <c r="W1" s="324"/>
      <c r="X1" s="324"/>
      <c r="Y1" s="320" t="s">
        <v>549</v>
      </c>
      <c r="Z1" s="320"/>
      <c r="AA1" s="320"/>
      <c r="AB1" s="322" t="s">
        <v>0</v>
      </c>
      <c r="AC1" s="322" t="str">
        <f>Q1</f>
        <v>EDIFICACIÓN LOCALES COMERCIALES</v>
      </c>
      <c r="AD1" s="322"/>
      <c r="AE1" s="322"/>
      <c r="AF1" s="322"/>
      <c r="AG1" s="110" t="s">
        <v>2</v>
      </c>
      <c r="AH1" s="323" t="str">
        <f>V1</f>
        <v>Mayo de 2025</v>
      </c>
      <c r="AI1" s="324"/>
      <c r="AJ1" s="324"/>
      <c r="AK1" s="110"/>
      <c r="AL1" s="110"/>
      <c r="AM1" s="110"/>
      <c r="AN1" s="320" t="s">
        <v>549</v>
      </c>
      <c r="AO1" s="320"/>
      <c r="AP1" s="320"/>
      <c r="AQ1" s="322" t="s">
        <v>0</v>
      </c>
      <c r="AR1" s="322" t="str">
        <f>Q1</f>
        <v>EDIFICACIÓN LOCALES COMERCIALES</v>
      </c>
      <c r="AS1" s="322"/>
      <c r="AT1" s="322"/>
      <c r="AU1" s="322"/>
      <c r="AV1" s="110" t="s">
        <v>2</v>
      </c>
      <c r="AW1" s="323" t="str">
        <f>V1</f>
        <v>Mayo de 2025</v>
      </c>
      <c r="AX1" s="324"/>
      <c r="AY1" s="324"/>
      <c r="AZ1" s="320" t="s">
        <v>549</v>
      </c>
      <c r="BA1" s="320"/>
      <c r="BB1" s="320"/>
      <c r="BC1" s="322" t="s">
        <v>0</v>
      </c>
      <c r="BD1" s="322" t="str">
        <f>AC1</f>
        <v>EDIFICACIÓN LOCALES COMERCIALES</v>
      </c>
      <c r="BE1" s="322"/>
      <c r="BF1" s="322"/>
      <c r="BG1" s="322"/>
      <c r="BH1" s="110" t="s">
        <v>2</v>
      </c>
      <c r="BI1" s="323" t="str">
        <f>AH1</f>
        <v>Mayo de 2025</v>
      </c>
      <c r="BJ1" s="324"/>
      <c r="BK1" s="324"/>
      <c r="BL1" s="320" t="s">
        <v>632</v>
      </c>
      <c r="BM1" s="320"/>
      <c r="BN1" s="320"/>
      <c r="BO1" s="322" t="s">
        <v>0</v>
      </c>
      <c r="BP1" s="324" t="str">
        <f>BD1</f>
        <v>EDIFICACIÓN LOCALES COMERCIALES</v>
      </c>
      <c r="BQ1" s="324"/>
      <c r="BR1" s="324"/>
      <c r="BS1" s="324"/>
      <c r="BT1" s="110" t="s">
        <v>2</v>
      </c>
      <c r="BU1" s="323" t="str">
        <f>BI1</f>
        <v>Mayo de 2025</v>
      </c>
      <c r="BV1" s="324"/>
      <c r="BW1" s="324"/>
      <c r="BX1" s="320" t="s">
        <v>632</v>
      </c>
      <c r="BY1" s="320"/>
      <c r="BZ1" s="320"/>
      <c r="CA1" s="322" t="s">
        <v>0</v>
      </c>
      <c r="CB1" s="324" t="str">
        <f>BP1</f>
        <v>EDIFICACIÓN LOCALES COMERCIALES</v>
      </c>
      <c r="CC1" s="324"/>
      <c r="CD1" s="324"/>
      <c r="CE1" s="324"/>
      <c r="CF1" s="110" t="s">
        <v>2</v>
      </c>
      <c r="CG1" s="323" t="str">
        <f>BU1</f>
        <v>Mayo de 2025</v>
      </c>
      <c r="CH1" s="324"/>
      <c r="CI1" s="324"/>
      <c r="CJ1" s="327" t="s">
        <v>632</v>
      </c>
      <c r="CK1" s="320"/>
      <c r="CL1" s="320"/>
      <c r="CM1" s="322" t="s">
        <v>0</v>
      </c>
      <c r="CN1" s="324" t="str">
        <f>CB1</f>
        <v>EDIFICACIÓN LOCALES COMERCIALES</v>
      </c>
      <c r="CO1" s="324"/>
      <c r="CP1" s="324"/>
      <c r="CQ1" s="324"/>
      <c r="CR1" s="110" t="s">
        <v>2</v>
      </c>
      <c r="CS1" s="323" t="str">
        <f>CG1</f>
        <v>Mayo de 2025</v>
      </c>
      <c r="CT1" s="324"/>
      <c r="CU1" s="324"/>
    </row>
    <row r="2" spans="1:106" s="113" customFormat="1" ht="15" customHeight="1" x14ac:dyDescent="0.25">
      <c r="A2" s="320"/>
      <c r="B2" s="320"/>
      <c r="C2" s="320"/>
      <c r="D2" s="322"/>
      <c r="E2" s="322"/>
      <c r="F2" s="322"/>
      <c r="G2" s="322"/>
      <c r="H2" s="322"/>
      <c r="I2" s="109" t="s">
        <v>3</v>
      </c>
      <c r="J2" s="324" t="str">
        <f>'9. REPORTE ETABS'!Q2</f>
        <v xml:space="preserve"> </v>
      </c>
      <c r="K2" s="324"/>
      <c r="L2" s="324"/>
      <c r="M2" s="320"/>
      <c r="N2" s="320"/>
      <c r="O2" s="320"/>
      <c r="P2" s="322"/>
      <c r="Q2" s="322"/>
      <c r="R2" s="322"/>
      <c r="S2" s="322"/>
      <c r="T2" s="322"/>
      <c r="U2" s="109" t="s">
        <v>3</v>
      </c>
      <c r="V2" s="324" t="str">
        <f>J2</f>
        <v xml:space="preserve"> </v>
      </c>
      <c r="W2" s="324"/>
      <c r="X2" s="324"/>
      <c r="Y2" s="320"/>
      <c r="Z2" s="320"/>
      <c r="AA2" s="320"/>
      <c r="AB2" s="322"/>
      <c r="AC2" s="322"/>
      <c r="AD2" s="322"/>
      <c r="AE2" s="322"/>
      <c r="AF2" s="322"/>
      <c r="AG2" s="109" t="s">
        <v>3</v>
      </c>
      <c r="AH2" s="324" t="str">
        <f>V2</f>
        <v xml:space="preserve"> </v>
      </c>
      <c r="AI2" s="324"/>
      <c r="AJ2" s="324"/>
      <c r="AK2" s="110"/>
      <c r="AL2" s="110"/>
      <c r="AM2" s="110"/>
      <c r="AN2" s="320"/>
      <c r="AO2" s="320"/>
      <c r="AP2" s="320"/>
      <c r="AQ2" s="322"/>
      <c r="AR2" s="322"/>
      <c r="AS2" s="322"/>
      <c r="AT2" s="322"/>
      <c r="AU2" s="322"/>
      <c r="AV2" s="109" t="s">
        <v>3</v>
      </c>
      <c r="AW2" s="324" t="str">
        <f>V2</f>
        <v xml:space="preserve"> </v>
      </c>
      <c r="AX2" s="324"/>
      <c r="AY2" s="324"/>
      <c r="AZ2" s="320"/>
      <c r="BA2" s="320"/>
      <c r="BB2" s="320"/>
      <c r="BC2" s="322"/>
      <c r="BD2" s="322"/>
      <c r="BE2" s="322"/>
      <c r="BF2" s="322"/>
      <c r="BG2" s="322"/>
      <c r="BH2" s="109" t="s">
        <v>3</v>
      </c>
      <c r="BI2" s="324" t="str">
        <f>AH2</f>
        <v xml:space="preserve"> </v>
      </c>
      <c r="BJ2" s="324"/>
      <c r="BK2" s="324"/>
      <c r="BL2" s="320"/>
      <c r="BM2" s="320"/>
      <c r="BN2" s="320"/>
      <c r="BO2" s="322"/>
      <c r="BP2" s="324"/>
      <c r="BQ2" s="324"/>
      <c r="BR2" s="324"/>
      <c r="BS2" s="324"/>
      <c r="BT2" s="109" t="s">
        <v>3</v>
      </c>
      <c r="BU2" s="324" t="str">
        <f>BI2</f>
        <v xml:space="preserve"> </v>
      </c>
      <c r="BV2" s="324"/>
      <c r="BW2" s="324"/>
      <c r="BX2" s="320"/>
      <c r="BY2" s="320"/>
      <c r="BZ2" s="320"/>
      <c r="CA2" s="322"/>
      <c r="CB2" s="324"/>
      <c r="CC2" s="324"/>
      <c r="CD2" s="324"/>
      <c r="CE2" s="324"/>
      <c r="CF2" s="109" t="s">
        <v>3</v>
      </c>
      <c r="CG2" s="324" t="str">
        <f>BU2</f>
        <v xml:space="preserve"> </v>
      </c>
      <c r="CH2" s="324"/>
      <c r="CI2" s="324"/>
      <c r="CJ2" s="327"/>
      <c r="CK2" s="320"/>
      <c r="CL2" s="320"/>
      <c r="CM2" s="322"/>
      <c r="CN2" s="324"/>
      <c r="CO2" s="324"/>
      <c r="CP2" s="324"/>
      <c r="CQ2" s="324"/>
      <c r="CR2" s="109" t="s">
        <v>3</v>
      </c>
      <c r="CS2" s="324" t="str">
        <f>CG2</f>
        <v xml:space="preserve"> </v>
      </c>
      <c r="CT2" s="324"/>
      <c r="CU2" s="324"/>
    </row>
    <row r="3" spans="1:106" s="113" customFormat="1" ht="15" customHeight="1" x14ac:dyDescent="0.25">
      <c r="A3" s="321"/>
      <c r="B3" s="321"/>
      <c r="C3" s="321"/>
      <c r="D3" s="325" t="s">
        <v>1</v>
      </c>
      <c r="E3" s="326" t="str">
        <f>'9. REPORTE ETABS'!H3</f>
        <v>REPORTES DE DISEÑO</v>
      </c>
      <c r="F3" s="326"/>
      <c r="G3" s="326"/>
      <c r="H3" s="326"/>
      <c r="I3" s="115" t="s">
        <v>633</v>
      </c>
      <c r="J3" s="326">
        <v>1</v>
      </c>
      <c r="K3" s="326"/>
      <c r="L3" s="326"/>
      <c r="M3" s="321"/>
      <c r="N3" s="321"/>
      <c r="O3" s="321"/>
      <c r="P3" s="325" t="s">
        <v>1</v>
      </c>
      <c r="Q3" s="326" t="str">
        <f>E3</f>
        <v>REPORTES DE DISEÑO</v>
      </c>
      <c r="R3" s="326"/>
      <c r="S3" s="326"/>
      <c r="T3" s="326"/>
      <c r="U3" s="115" t="s">
        <v>633</v>
      </c>
      <c r="V3" s="326">
        <f>J3</f>
        <v>1</v>
      </c>
      <c r="W3" s="326"/>
      <c r="X3" s="326"/>
      <c r="Y3" s="321"/>
      <c r="Z3" s="321"/>
      <c r="AA3" s="321"/>
      <c r="AB3" s="325" t="s">
        <v>1</v>
      </c>
      <c r="AC3" s="326" t="str">
        <f>Q3</f>
        <v>REPORTES DE DISEÑO</v>
      </c>
      <c r="AD3" s="326"/>
      <c r="AE3" s="326"/>
      <c r="AF3" s="326"/>
      <c r="AG3" s="115" t="s">
        <v>633</v>
      </c>
      <c r="AH3" s="326">
        <f>V3</f>
        <v>1</v>
      </c>
      <c r="AI3" s="326"/>
      <c r="AJ3" s="326"/>
      <c r="AK3" s="115"/>
      <c r="AL3" s="115"/>
      <c r="AM3" s="115"/>
      <c r="AN3" s="321"/>
      <c r="AO3" s="321"/>
      <c r="AP3" s="321"/>
      <c r="AQ3" s="325" t="s">
        <v>1</v>
      </c>
      <c r="AR3" s="326" t="str">
        <f>Q3</f>
        <v>REPORTES DE DISEÑO</v>
      </c>
      <c r="AS3" s="326"/>
      <c r="AT3" s="326"/>
      <c r="AU3" s="326"/>
      <c r="AV3" s="115" t="s">
        <v>633</v>
      </c>
      <c r="AW3" s="326">
        <f>V3</f>
        <v>1</v>
      </c>
      <c r="AX3" s="326"/>
      <c r="AY3" s="326"/>
      <c r="AZ3" s="321"/>
      <c r="BA3" s="321"/>
      <c r="BB3" s="321"/>
      <c r="BC3" s="325" t="s">
        <v>1</v>
      </c>
      <c r="BD3" s="326" t="str">
        <f>AC3</f>
        <v>REPORTES DE DISEÑO</v>
      </c>
      <c r="BE3" s="326"/>
      <c r="BF3" s="326"/>
      <c r="BG3" s="326"/>
      <c r="BH3" s="115" t="s">
        <v>633</v>
      </c>
      <c r="BI3" s="326">
        <f>AH3</f>
        <v>1</v>
      </c>
      <c r="BJ3" s="326"/>
      <c r="BK3" s="326"/>
      <c r="BL3" s="321"/>
      <c r="BM3" s="321"/>
      <c r="BN3" s="321"/>
      <c r="BO3" s="325" t="s">
        <v>1</v>
      </c>
      <c r="BP3" s="326" t="str">
        <f>BD3</f>
        <v>REPORTES DE DISEÑO</v>
      </c>
      <c r="BQ3" s="326"/>
      <c r="BR3" s="326"/>
      <c r="BS3" s="326"/>
      <c r="BT3" s="115" t="s">
        <v>633</v>
      </c>
      <c r="BU3" s="326">
        <f>BI3</f>
        <v>1</v>
      </c>
      <c r="BV3" s="326"/>
      <c r="BW3" s="326"/>
      <c r="BX3" s="321"/>
      <c r="BY3" s="321"/>
      <c r="BZ3" s="321"/>
      <c r="CA3" s="325" t="s">
        <v>1</v>
      </c>
      <c r="CB3" s="326" t="str">
        <f>BP3</f>
        <v>REPORTES DE DISEÑO</v>
      </c>
      <c r="CC3" s="326"/>
      <c r="CD3" s="326"/>
      <c r="CE3" s="326"/>
      <c r="CF3" s="115" t="s">
        <v>633</v>
      </c>
      <c r="CG3" s="326">
        <f>BU3</f>
        <v>1</v>
      </c>
      <c r="CH3" s="326"/>
      <c r="CI3" s="326"/>
      <c r="CJ3" s="328"/>
      <c r="CK3" s="321"/>
      <c r="CL3" s="321"/>
      <c r="CM3" s="325" t="s">
        <v>1</v>
      </c>
      <c r="CN3" s="326" t="str">
        <f>CB3</f>
        <v>REPORTES DE DISEÑO</v>
      </c>
      <c r="CO3" s="326"/>
      <c r="CP3" s="326"/>
      <c r="CQ3" s="326"/>
      <c r="CR3" s="115" t="s">
        <v>633</v>
      </c>
      <c r="CS3" s="326">
        <f>CG3</f>
        <v>1</v>
      </c>
      <c r="CT3" s="326"/>
      <c r="CU3" s="326"/>
    </row>
    <row r="4" spans="1:106" s="113" customFormat="1" ht="15" customHeight="1" x14ac:dyDescent="0.25">
      <c r="A4" s="320"/>
      <c r="B4" s="320"/>
      <c r="C4" s="320"/>
      <c r="D4" s="322"/>
      <c r="E4" s="324"/>
      <c r="F4" s="324"/>
      <c r="G4" s="324"/>
      <c r="H4" s="324"/>
      <c r="I4" s="110" t="s">
        <v>4</v>
      </c>
      <c r="J4" s="324" t="str">
        <f>'9. REPORTE ETABS'!Q3</f>
        <v>R0</v>
      </c>
      <c r="K4" s="324"/>
      <c r="L4" s="324"/>
      <c r="M4" s="320"/>
      <c r="N4" s="320"/>
      <c r="O4" s="320"/>
      <c r="P4" s="322"/>
      <c r="Q4" s="324"/>
      <c r="R4" s="324"/>
      <c r="S4" s="324"/>
      <c r="T4" s="324"/>
      <c r="U4" s="110" t="s">
        <v>4</v>
      </c>
      <c r="V4" s="324" t="str">
        <f>J4</f>
        <v>R0</v>
      </c>
      <c r="W4" s="324"/>
      <c r="X4" s="324"/>
      <c r="Y4" s="320"/>
      <c r="Z4" s="320"/>
      <c r="AA4" s="320"/>
      <c r="AB4" s="322"/>
      <c r="AC4" s="324"/>
      <c r="AD4" s="324"/>
      <c r="AE4" s="324"/>
      <c r="AF4" s="324"/>
      <c r="AG4" s="110" t="s">
        <v>4</v>
      </c>
      <c r="AH4" s="324" t="str">
        <f>V4</f>
        <v>R0</v>
      </c>
      <c r="AI4" s="324"/>
      <c r="AJ4" s="324"/>
      <c r="AK4" s="110"/>
      <c r="AL4" s="110"/>
      <c r="AM4" s="110"/>
      <c r="AN4" s="320"/>
      <c r="AO4" s="320"/>
      <c r="AP4" s="320"/>
      <c r="AQ4" s="322"/>
      <c r="AR4" s="324"/>
      <c r="AS4" s="324"/>
      <c r="AT4" s="324"/>
      <c r="AU4" s="324"/>
      <c r="AV4" s="110" t="s">
        <v>4</v>
      </c>
      <c r="AW4" s="324" t="str">
        <f>V4</f>
        <v>R0</v>
      </c>
      <c r="AX4" s="324"/>
      <c r="AY4" s="324"/>
      <c r="AZ4" s="320"/>
      <c r="BA4" s="320"/>
      <c r="BB4" s="320"/>
      <c r="BC4" s="322"/>
      <c r="BD4" s="324"/>
      <c r="BE4" s="324"/>
      <c r="BF4" s="324"/>
      <c r="BG4" s="324"/>
      <c r="BH4" s="110" t="s">
        <v>4</v>
      </c>
      <c r="BI4" s="324" t="str">
        <f>AH4</f>
        <v>R0</v>
      </c>
      <c r="BJ4" s="324"/>
      <c r="BK4" s="324"/>
      <c r="BL4" s="320"/>
      <c r="BM4" s="320"/>
      <c r="BN4" s="320"/>
      <c r="BO4" s="322"/>
      <c r="BP4" s="324"/>
      <c r="BQ4" s="324"/>
      <c r="BR4" s="324"/>
      <c r="BS4" s="324"/>
      <c r="BT4" s="110" t="s">
        <v>4</v>
      </c>
      <c r="BU4" s="324" t="str">
        <f>BI4</f>
        <v>R0</v>
      </c>
      <c r="BV4" s="324"/>
      <c r="BW4" s="324"/>
      <c r="BX4" s="320"/>
      <c r="BY4" s="320"/>
      <c r="BZ4" s="320"/>
      <c r="CA4" s="322"/>
      <c r="CB4" s="324"/>
      <c r="CC4" s="324"/>
      <c r="CD4" s="324"/>
      <c r="CE4" s="324"/>
      <c r="CF4" s="110" t="s">
        <v>4</v>
      </c>
      <c r="CG4" s="324" t="str">
        <f>BU4</f>
        <v>R0</v>
      </c>
      <c r="CH4" s="324"/>
      <c r="CI4" s="324"/>
      <c r="CJ4" s="327"/>
      <c r="CK4" s="320"/>
      <c r="CL4" s="320"/>
      <c r="CM4" s="322"/>
      <c r="CN4" s="324"/>
      <c r="CO4" s="324"/>
      <c r="CP4" s="324"/>
      <c r="CQ4" s="324"/>
      <c r="CR4" s="110" t="s">
        <v>4</v>
      </c>
      <c r="CS4" s="324" t="str">
        <f>CG4</f>
        <v>R0</v>
      </c>
      <c r="CT4" s="324"/>
      <c r="CU4" s="324"/>
    </row>
    <row r="5" spans="1:106" ht="15" customHeight="1" x14ac:dyDescent="0.25">
      <c r="A5" s="116"/>
      <c r="B5" s="114"/>
      <c r="C5" s="114"/>
      <c r="D5" s="114"/>
      <c r="E5" s="114"/>
      <c r="F5" s="114"/>
      <c r="G5" s="114"/>
      <c r="H5" s="114"/>
      <c r="I5" s="114"/>
      <c r="J5" s="114"/>
      <c r="K5" s="114"/>
      <c r="L5" s="117"/>
      <c r="M5" s="118"/>
      <c r="N5" s="119"/>
      <c r="O5" s="119"/>
      <c r="P5" s="119"/>
      <c r="Q5" s="119"/>
      <c r="R5" s="119"/>
      <c r="S5" s="119"/>
      <c r="T5" s="119"/>
      <c r="U5" s="119"/>
      <c r="V5" s="119"/>
      <c r="W5" s="119"/>
      <c r="X5" s="120"/>
      <c r="Y5" s="121"/>
      <c r="AJ5" s="122"/>
      <c r="AN5" s="121"/>
      <c r="AY5" s="122"/>
      <c r="AZ5" s="121"/>
      <c r="BK5" s="122"/>
      <c r="BL5" s="121"/>
      <c r="BW5" s="122"/>
      <c r="BX5" s="116"/>
      <c r="BY5" s="114"/>
      <c r="BZ5" s="114"/>
      <c r="CA5" s="114"/>
      <c r="CB5" s="114"/>
      <c r="CC5" s="114"/>
      <c r="CD5" s="114"/>
      <c r="CE5" s="114"/>
      <c r="CF5" s="114"/>
      <c r="CG5" s="114"/>
      <c r="CH5" s="114"/>
      <c r="CI5" s="117"/>
      <c r="CU5" s="117"/>
    </row>
    <row r="6" spans="1:106" ht="15" customHeight="1" x14ac:dyDescent="0.25">
      <c r="A6" s="123"/>
      <c r="B6" s="124"/>
      <c r="C6" s="188"/>
      <c r="D6" s="124"/>
      <c r="E6" s="124"/>
      <c r="F6" s="124"/>
      <c r="G6" s="124"/>
      <c r="H6" s="125"/>
      <c r="I6" s="124"/>
      <c r="J6" s="124"/>
      <c r="K6" s="124"/>
      <c r="L6" s="126"/>
      <c r="M6" s="116"/>
      <c r="N6" s="114" t="s">
        <v>9</v>
      </c>
      <c r="O6" s="189">
        <v>28</v>
      </c>
      <c r="P6" s="114" t="s">
        <v>10</v>
      </c>
      <c r="Q6" s="114"/>
      <c r="R6" s="114"/>
      <c r="S6" s="190" t="s">
        <v>766</v>
      </c>
      <c r="T6" s="191">
        <f>10.61*9.81*1.33</f>
        <v>138.43185300000002</v>
      </c>
      <c r="U6" s="114" t="s">
        <v>634</v>
      </c>
      <c r="V6" s="329" t="s">
        <v>765</v>
      </c>
      <c r="W6" s="329"/>
      <c r="X6" s="330"/>
      <c r="Y6" s="121"/>
      <c r="AJ6" s="122"/>
      <c r="AK6" s="208">
        <f>MAX(AK13:AK44)</f>
        <v>0.91168467445385448</v>
      </c>
      <c r="AN6" s="121"/>
      <c r="AY6" s="122"/>
      <c r="AZ6" s="121"/>
      <c r="BK6" s="122"/>
      <c r="BL6" s="121"/>
      <c r="BW6" s="122"/>
      <c r="BX6" s="116"/>
      <c r="BY6" s="114"/>
      <c r="BZ6" s="114"/>
      <c r="CA6" s="114"/>
      <c r="CB6" s="114"/>
      <c r="CC6" s="114"/>
      <c r="CD6" s="114"/>
      <c r="CE6" s="114"/>
      <c r="CF6" s="114"/>
      <c r="CG6" s="114"/>
      <c r="CH6" s="114"/>
      <c r="CI6" s="117"/>
      <c r="CU6" s="117"/>
    </row>
    <row r="7" spans="1:106" ht="15" customHeight="1" x14ac:dyDescent="0.25">
      <c r="A7" s="123"/>
      <c r="B7" s="124"/>
      <c r="C7" s="188"/>
      <c r="D7" s="124"/>
      <c r="E7" s="124"/>
      <c r="F7" s="124"/>
      <c r="G7" s="124"/>
      <c r="H7" s="125"/>
      <c r="I7" s="124"/>
      <c r="J7" s="124"/>
      <c r="K7" s="124"/>
      <c r="L7" s="126"/>
      <c r="M7" s="116"/>
      <c r="N7" s="114" t="s">
        <v>26</v>
      </c>
      <c r="O7" s="189">
        <v>420</v>
      </c>
      <c r="P7" s="114" t="s">
        <v>10</v>
      </c>
      <c r="Q7" s="114"/>
      <c r="R7" s="114"/>
      <c r="S7" s="190" t="s">
        <v>635</v>
      </c>
      <c r="T7" s="191">
        <v>17.2</v>
      </c>
      <c r="U7" s="114" t="s">
        <v>636</v>
      </c>
      <c r="V7" s="329"/>
      <c r="W7" s="329"/>
      <c r="X7" s="330"/>
      <c r="Y7" s="121"/>
      <c r="AB7" s="194"/>
      <c r="AJ7" s="122"/>
      <c r="AN7" s="121"/>
      <c r="AY7" s="122"/>
      <c r="AZ7" s="121"/>
      <c r="BK7" s="122"/>
      <c r="BL7" s="121"/>
      <c r="BW7" s="122"/>
      <c r="BX7" s="116"/>
      <c r="BY7" s="114"/>
      <c r="BZ7" s="114"/>
      <c r="CA7" s="114"/>
      <c r="CB7" s="114"/>
      <c r="CC7" s="114"/>
      <c r="CD7" s="114"/>
      <c r="CE7" s="114"/>
      <c r="CF7" s="114"/>
      <c r="CG7" s="114"/>
      <c r="CH7" s="114"/>
      <c r="CI7" s="117"/>
      <c r="CU7" s="117"/>
    </row>
    <row r="8" spans="1:106" ht="15" customHeight="1" x14ac:dyDescent="0.25">
      <c r="A8" s="123"/>
      <c r="B8" s="124"/>
      <c r="C8" s="188"/>
      <c r="D8" s="124"/>
      <c r="E8" s="124"/>
      <c r="F8" s="124"/>
      <c r="G8" s="124"/>
      <c r="H8" s="125"/>
      <c r="I8" s="124"/>
      <c r="J8" s="124"/>
      <c r="K8" s="124"/>
      <c r="L8" s="126"/>
      <c r="M8" s="116"/>
      <c r="N8" s="114" t="s">
        <v>11</v>
      </c>
      <c r="O8" s="192">
        <f>4700*SQRT(O6)</f>
        <v>24870.062324007155</v>
      </c>
      <c r="P8" s="193" t="s">
        <v>180</v>
      </c>
      <c r="Q8" s="114"/>
      <c r="R8" s="114"/>
      <c r="S8" s="190" t="s">
        <v>637</v>
      </c>
      <c r="T8" s="191">
        <v>24</v>
      </c>
      <c r="U8" s="114" t="s">
        <v>636</v>
      </c>
      <c r="V8" s="329"/>
      <c r="W8" s="329"/>
      <c r="X8" s="330"/>
      <c r="Y8" s="121"/>
      <c r="AJ8" s="122"/>
      <c r="AN8" s="121"/>
      <c r="AY8" s="122"/>
      <c r="AZ8" s="121"/>
      <c r="BK8" s="122"/>
      <c r="BL8" s="121"/>
      <c r="BW8" s="122"/>
      <c r="BX8" s="116"/>
      <c r="BY8" s="114"/>
      <c r="BZ8" s="114"/>
      <c r="CA8" s="114"/>
      <c r="CB8" s="114"/>
      <c r="CC8" s="114"/>
      <c r="CD8" s="114"/>
      <c r="CE8" s="114"/>
      <c r="CF8" s="114"/>
      <c r="CG8" s="114"/>
      <c r="CH8" s="114"/>
      <c r="CI8" s="117"/>
      <c r="CU8" s="117"/>
    </row>
    <row r="9" spans="1:106" ht="15" customHeight="1" x14ac:dyDescent="0.25">
      <c r="A9" s="123"/>
      <c r="B9" s="124"/>
      <c r="C9" s="188"/>
      <c r="D9" s="124"/>
      <c r="E9" s="124"/>
      <c r="F9" s="124"/>
      <c r="G9" s="124"/>
      <c r="H9" s="125"/>
      <c r="I9" s="124"/>
      <c r="J9" s="124"/>
      <c r="K9" s="124"/>
      <c r="L9" s="126"/>
      <c r="M9" s="127"/>
      <c r="N9" s="128"/>
      <c r="O9" s="129"/>
      <c r="P9" s="128"/>
      <c r="Q9" s="128"/>
      <c r="R9" s="128"/>
      <c r="S9" s="128"/>
      <c r="T9" s="130"/>
      <c r="U9" s="128"/>
      <c r="V9" s="128"/>
      <c r="W9" s="128"/>
      <c r="X9" s="131"/>
      <c r="Y9" s="121"/>
      <c r="AF9" s="124"/>
      <c r="AG9" s="124"/>
      <c r="AH9" s="124"/>
      <c r="AI9" s="124"/>
      <c r="AJ9" s="126"/>
      <c r="AK9" s="126"/>
      <c r="AL9" s="126"/>
      <c r="AM9" s="126"/>
      <c r="AN9" s="331" t="s">
        <v>638</v>
      </c>
      <c r="AO9" s="332" t="s">
        <v>639</v>
      </c>
      <c r="AP9" s="333"/>
      <c r="AQ9" s="333"/>
      <c r="AR9" s="333"/>
      <c r="AS9" s="333"/>
      <c r="AT9" s="333"/>
      <c r="AU9" s="333" t="s">
        <v>640</v>
      </c>
      <c r="AV9" s="336"/>
      <c r="AW9" s="333"/>
      <c r="AX9" s="333"/>
      <c r="AY9" s="336"/>
      <c r="AZ9" s="331" t="s">
        <v>638</v>
      </c>
      <c r="BA9" s="338" t="s">
        <v>641</v>
      </c>
      <c r="BB9" s="338"/>
      <c r="BC9" s="338"/>
      <c r="BD9" s="338"/>
      <c r="BE9" s="338"/>
      <c r="BF9" s="338"/>
      <c r="BG9" s="338"/>
      <c r="BH9" s="338"/>
      <c r="BI9" s="338"/>
      <c r="BJ9" s="338"/>
      <c r="BK9" s="122"/>
      <c r="BL9" s="338" t="s">
        <v>642</v>
      </c>
      <c r="BM9" s="338" t="s">
        <v>643</v>
      </c>
      <c r="BN9" s="338"/>
      <c r="BO9" s="338"/>
      <c r="BP9" s="338"/>
      <c r="BQ9" s="338"/>
      <c r="BR9" s="338"/>
      <c r="BS9" s="338"/>
      <c r="BT9" s="338"/>
      <c r="BU9" s="338"/>
      <c r="BV9" s="338"/>
      <c r="BW9" s="126"/>
      <c r="BX9" s="339" t="s">
        <v>642</v>
      </c>
      <c r="BY9" s="343" t="s">
        <v>643</v>
      </c>
      <c r="BZ9" s="344"/>
      <c r="CA9" s="344"/>
      <c r="CB9" s="344"/>
      <c r="CC9" s="345"/>
      <c r="CD9" s="124"/>
      <c r="CE9" s="124"/>
      <c r="CF9" s="124"/>
      <c r="CG9" s="124"/>
      <c r="CH9" s="124"/>
      <c r="CI9" s="126"/>
      <c r="CJ9" s="346" t="s">
        <v>642</v>
      </c>
      <c r="CK9" s="347" t="s">
        <v>644</v>
      </c>
      <c r="CL9" s="347"/>
      <c r="CM9" s="347"/>
      <c r="CN9" s="347"/>
      <c r="CO9" s="347"/>
      <c r="CP9" s="347"/>
      <c r="CQ9" s="347"/>
      <c r="CR9" s="347"/>
      <c r="CS9" s="347"/>
      <c r="CU9" s="117"/>
      <c r="CV9" s="137"/>
      <c r="CW9" s="137"/>
      <c r="CX9" s="137"/>
      <c r="CY9" s="137"/>
      <c r="CZ9" s="137"/>
      <c r="DA9" s="137"/>
    </row>
    <row r="10" spans="1:106" s="112" customFormat="1" ht="15" customHeight="1" x14ac:dyDescent="0.2">
      <c r="A10" s="123"/>
      <c r="B10" s="124"/>
      <c r="C10" s="188"/>
      <c r="D10" s="124"/>
      <c r="E10" s="124"/>
      <c r="F10" s="124"/>
      <c r="G10" s="124"/>
      <c r="H10" s="125"/>
      <c r="I10" s="124"/>
      <c r="J10" s="124"/>
      <c r="K10" s="124"/>
      <c r="L10" s="126"/>
      <c r="M10" s="331" t="s">
        <v>638</v>
      </c>
      <c r="N10" s="331" t="s">
        <v>290</v>
      </c>
      <c r="O10" s="348" t="s">
        <v>645</v>
      </c>
      <c r="P10" s="338" t="s">
        <v>646</v>
      </c>
      <c r="Q10" s="338"/>
      <c r="R10" s="338"/>
      <c r="S10" s="338"/>
      <c r="T10" s="338"/>
      <c r="U10" s="338" t="s">
        <v>647</v>
      </c>
      <c r="V10" s="338"/>
      <c r="W10" s="138" t="s">
        <v>648</v>
      </c>
      <c r="X10" s="138" t="s">
        <v>649</v>
      </c>
      <c r="Y10" s="331" t="s">
        <v>638</v>
      </c>
      <c r="Z10" s="331" t="s">
        <v>650</v>
      </c>
      <c r="AA10" s="331"/>
      <c r="AB10" s="331"/>
      <c r="AC10" s="331"/>
      <c r="AD10" s="338" t="s">
        <v>767</v>
      </c>
      <c r="AE10" s="338"/>
      <c r="AF10" s="338"/>
      <c r="AG10" s="338"/>
      <c r="AH10" s="331" t="s">
        <v>808</v>
      </c>
      <c r="AI10" s="331" t="s">
        <v>807</v>
      </c>
      <c r="AJ10" s="331"/>
      <c r="AK10" s="202"/>
      <c r="AL10" s="202"/>
      <c r="AM10" s="202"/>
      <c r="AN10" s="331"/>
      <c r="AO10" s="334"/>
      <c r="AP10" s="335"/>
      <c r="AQ10" s="335"/>
      <c r="AR10" s="335"/>
      <c r="AS10" s="335"/>
      <c r="AT10" s="335"/>
      <c r="AU10" s="335"/>
      <c r="AV10" s="337"/>
      <c r="AW10" s="335"/>
      <c r="AX10" s="335"/>
      <c r="AY10" s="337"/>
      <c r="AZ10" s="331"/>
      <c r="BA10" s="338" t="s">
        <v>652</v>
      </c>
      <c r="BB10" s="338"/>
      <c r="BC10" s="338"/>
      <c r="BD10" s="338"/>
      <c r="BE10" s="338"/>
      <c r="BF10" s="338"/>
      <c r="BG10" s="338"/>
      <c r="BH10" s="338"/>
      <c r="BI10" s="338"/>
      <c r="BJ10" s="338"/>
      <c r="BK10" s="139"/>
      <c r="BL10" s="338"/>
      <c r="BM10" s="338" t="s">
        <v>708</v>
      </c>
      <c r="BN10" s="338"/>
      <c r="BO10" s="338"/>
      <c r="BP10" s="338"/>
      <c r="BQ10" s="338" t="s">
        <v>656</v>
      </c>
      <c r="BR10" s="338"/>
      <c r="BS10" s="338"/>
      <c r="BT10" s="338"/>
      <c r="BU10" s="338"/>
      <c r="BV10" s="338"/>
      <c r="BW10" s="139"/>
      <c r="BX10" s="340"/>
      <c r="BY10" s="338" t="s">
        <v>656</v>
      </c>
      <c r="BZ10" s="338"/>
      <c r="CA10" s="338"/>
      <c r="CB10" s="338" t="s">
        <v>658</v>
      </c>
      <c r="CC10" s="338" t="s">
        <v>660</v>
      </c>
      <c r="CD10" s="124"/>
      <c r="CE10" s="124"/>
      <c r="CF10" s="124"/>
      <c r="CG10" s="124"/>
      <c r="CH10" s="124"/>
      <c r="CI10" s="126"/>
      <c r="CJ10" s="346"/>
      <c r="CK10" s="331" t="s">
        <v>657</v>
      </c>
      <c r="CL10" s="331" t="s">
        <v>139</v>
      </c>
      <c r="CM10" s="331" t="s">
        <v>658</v>
      </c>
      <c r="CN10" s="331" t="s">
        <v>659</v>
      </c>
      <c r="CO10" s="338" t="s">
        <v>660</v>
      </c>
      <c r="CP10" s="338" t="s">
        <v>656</v>
      </c>
      <c r="CQ10" s="338"/>
      <c r="CR10" s="338"/>
      <c r="CS10" s="338"/>
      <c r="CU10" s="139"/>
      <c r="CV10" s="137"/>
      <c r="CW10" s="331" t="s">
        <v>638</v>
      </c>
      <c r="CX10" s="331" t="s">
        <v>290</v>
      </c>
      <c r="CY10" s="140"/>
      <c r="CZ10" s="140"/>
      <c r="DA10" s="331" t="s">
        <v>653</v>
      </c>
      <c r="DB10" s="331" t="s">
        <v>654</v>
      </c>
    </row>
    <row r="11" spans="1:106" ht="15" customHeight="1" x14ac:dyDescent="0.25">
      <c r="A11" s="123"/>
      <c r="B11" s="124"/>
      <c r="C11" s="188"/>
      <c r="D11" s="124"/>
      <c r="E11" s="124"/>
      <c r="F11" s="124"/>
      <c r="G11" s="124"/>
      <c r="H11" s="125"/>
      <c r="I11" s="124"/>
      <c r="J11" s="124"/>
      <c r="K11" s="124"/>
      <c r="L11" s="126"/>
      <c r="M11" s="331"/>
      <c r="N11" s="331"/>
      <c r="O11" s="348"/>
      <c r="P11" s="138" t="s">
        <v>255</v>
      </c>
      <c r="Q11" s="138" t="s">
        <v>256</v>
      </c>
      <c r="R11" s="138" t="s">
        <v>661</v>
      </c>
      <c r="S11" s="138" t="s">
        <v>662</v>
      </c>
      <c r="T11" s="141" t="s">
        <v>663</v>
      </c>
      <c r="U11" s="141" t="s">
        <v>313</v>
      </c>
      <c r="V11" s="132" t="s">
        <v>314</v>
      </c>
      <c r="W11" s="132" t="s">
        <v>664</v>
      </c>
      <c r="X11" s="132" t="s">
        <v>665</v>
      </c>
      <c r="Y11" s="331"/>
      <c r="Z11" s="132" t="s">
        <v>666</v>
      </c>
      <c r="AA11" s="132" t="s">
        <v>667</v>
      </c>
      <c r="AB11" s="132" t="s">
        <v>668</v>
      </c>
      <c r="AC11" s="132" t="s">
        <v>669</v>
      </c>
      <c r="AD11" s="132" t="s">
        <v>670</v>
      </c>
      <c r="AE11" s="132" t="s">
        <v>671</v>
      </c>
      <c r="AF11" s="332" t="s">
        <v>761</v>
      </c>
      <c r="AG11" s="336" t="s">
        <v>762</v>
      </c>
      <c r="AH11" s="331"/>
      <c r="AI11" s="331"/>
      <c r="AJ11" s="331"/>
      <c r="AK11" s="202"/>
      <c r="AL11" s="202"/>
      <c r="AM11" s="202"/>
      <c r="AN11" s="331"/>
      <c r="AO11" s="132" t="s">
        <v>677</v>
      </c>
      <c r="AP11" s="132" t="s">
        <v>678</v>
      </c>
      <c r="AQ11" s="132" t="s">
        <v>679</v>
      </c>
      <c r="AR11" s="132" t="s">
        <v>680</v>
      </c>
      <c r="AS11" s="338" t="s">
        <v>660</v>
      </c>
      <c r="AT11" s="338" t="s">
        <v>313</v>
      </c>
      <c r="AU11" s="132" t="s">
        <v>681</v>
      </c>
      <c r="AV11" s="132" t="s">
        <v>682</v>
      </c>
      <c r="AW11" s="135" t="s">
        <v>683</v>
      </c>
      <c r="AX11" s="132" t="s">
        <v>684</v>
      </c>
      <c r="AY11" s="338" t="s">
        <v>660</v>
      </c>
      <c r="AZ11" s="331"/>
      <c r="BA11" s="142" t="s">
        <v>685</v>
      </c>
      <c r="BB11" s="142" t="s">
        <v>413</v>
      </c>
      <c r="BC11" s="341" t="s">
        <v>414</v>
      </c>
      <c r="BD11" s="142" t="s">
        <v>415</v>
      </c>
      <c r="BE11" s="341" t="s">
        <v>394</v>
      </c>
      <c r="BF11" s="341" t="s">
        <v>416</v>
      </c>
      <c r="BG11" s="142" t="s">
        <v>686</v>
      </c>
      <c r="BH11" s="341" t="s">
        <v>660</v>
      </c>
      <c r="BI11" s="142" t="s">
        <v>687</v>
      </c>
      <c r="BJ11" s="342" t="s">
        <v>688</v>
      </c>
      <c r="BK11" s="122"/>
      <c r="BL11" s="338"/>
      <c r="BM11" s="132" t="s">
        <v>54</v>
      </c>
      <c r="BN11" s="132" t="s">
        <v>726</v>
      </c>
      <c r="BO11" s="132" t="s">
        <v>693</v>
      </c>
      <c r="BP11" s="132" t="s">
        <v>694</v>
      </c>
      <c r="BQ11" s="338" t="s">
        <v>416</v>
      </c>
      <c r="BR11" s="338" t="s">
        <v>695</v>
      </c>
      <c r="BS11" s="338"/>
      <c r="BT11" s="132" t="s">
        <v>727</v>
      </c>
      <c r="BU11" s="132" t="s">
        <v>139</v>
      </c>
      <c r="BV11" s="338" t="s">
        <v>660</v>
      </c>
      <c r="BW11" s="122"/>
      <c r="BX11" s="340"/>
      <c r="BY11" s="132" t="s">
        <v>727</v>
      </c>
      <c r="BZ11" s="132" t="s">
        <v>139</v>
      </c>
      <c r="CA11" s="338" t="s">
        <v>660</v>
      </c>
      <c r="CB11" s="338"/>
      <c r="CC11" s="338"/>
      <c r="CD11" s="124"/>
      <c r="CE11" s="124"/>
      <c r="CF11" s="124"/>
      <c r="CG11" s="124"/>
      <c r="CH11" s="124"/>
      <c r="CI11" s="126"/>
      <c r="CJ11" s="346"/>
      <c r="CK11" s="331"/>
      <c r="CL11" s="331"/>
      <c r="CM11" s="331"/>
      <c r="CN11" s="331"/>
      <c r="CO11" s="338"/>
      <c r="CP11" s="132" t="s">
        <v>694</v>
      </c>
      <c r="CQ11" s="338" t="s">
        <v>416</v>
      </c>
      <c r="CR11" s="338" t="s">
        <v>695</v>
      </c>
      <c r="CS11" s="338"/>
      <c r="CU11" s="117"/>
      <c r="CW11" s="331"/>
      <c r="CX11" s="331"/>
      <c r="CY11" s="132" t="s">
        <v>667</v>
      </c>
      <c r="CZ11" s="134" t="s">
        <v>669</v>
      </c>
      <c r="DA11" s="331"/>
      <c r="DB11" s="331"/>
    </row>
    <row r="12" spans="1:106" ht="15" customHeight="1" x14ac:dyDescent="0.25">
      <c r="A12" s="123"/>
      <c r="B12" s="124"/>
      <c r="C12" s="188"/>
      <c r="D12" s="124"/>
      <c r="E12" s="124"/>
      <c r="F12" s="124"/>
      <c r="G12" s="124"/>
      <c r="H12" s="125"/>
      <c r="I12" s="124"/>
      <c r="J12" s="124"/>
      <c r="K12" s="124"/>
      <c r="L12" s="126"/>
      <c r="M12" s="331"/>
      <c r="N12" s="331"/>
      <c r="O12" s="348"/>
      <c r="P12" s="138" t="s">
        <v>95</v>
      </c>
      <c r="Q12" s="138" t="s">
        <v>95</v>
      </c>
      <c r="R12" s="138" t="s">
        <v>95</v>
      </c>
      <c r="S12" s="138" t="s">
        <v>411</v>
      </c>
      <c r="T12" s="141" t="s">
        <v>411</v>
      </c>
      <c r="U12" s="141" t="s">
        <v>101</v>
      </c>
      <c r="V12" s="132" t="s">
        <v>101</v>
      </c>
      <c r="W12" s="138" t="s">
        <v>95</v>
      </c>
      <c r="X12" s="138" t="s">
        <v>95</v>
      </c>
      <c r="Y12" s="331"/>
      <c r="Z12" s="132" t="s">
        <v>101</v>
      </c>
      <c r="AA12" s="132" t="s">
        <v>101</v>
      </c>
      <c r="AB12" s="132" t="s">
        <v>101</v>
      </c>
      <c r="AC12" s="132" t="s">
        <v>101</v>
      </c>
      <c r="AD12" s="132" t="s">
        <v>101</v>
      </c>
      <c r="AE12" s="132" t="s">
        <v>101</v>
      </c>
      <c r="AF12" s="334"/>
      <c r="AG12" s="337"/>
      <c r="AH12" s="331"/>
      <c r="AI12" s="132" t="s">
        <v>147</v>
      </c>
      <c r="AJ12" s="132" t="s">
        <v>53</v>
      </c>
      <c r="AK12" s="132"/>
      <c r="AL12" s="132"/>
      <c r="AM12" s="132"/>
      <c r="AN12" s="331"/>
      <c r="AO12" s="132" t="s">
        <v>95</v>
      </c>
      <c r="AP12" s="132" t="s">
        <v>95</v>
      </c>
      <c r="AQ12" s="132" t="s">
        <v>95</v>
      </c>
      <c r="AR12" s="132" t="s">
        <v>95</v>
      </c>
      <c r="AS12" s="338"/>
      <c r="AT12" s="338"/>
      <c r="AU12" s="132" t="s">
        <v>95</v>
      </c>
      <c r="AV12" s="132" t="s">
        <v>95</v>
      </c>
      <c r="AW12" s="135" t="s">
        <v>95</v>
      </c>
      <c r="AX12" s="132" t="s">
        <v>95</v>
      </c>
      <c r="AY12" s="338"/>
      <c r="AZ12" s="331"/>
      <c r="BA12" s="132" t="s">
        <v>411</v>
      </c>
      <c r="BB12" s="132" t="s">
        <v>634</v>
      </c>
      <c r="BC12" s="338"/>
      <c r="BD12" s="132" t="s">
        <v>309</v>
      </c>
      <c r="BE12" s="338"/>
      <c r="BF12" s="338"/>
      <c r="BG12" s="132" t="s">
        <v>309</v>
      </c>
      <c r="BH12" s="338"/>
      <c r="BI12" s="132" t="s">
        <v>101</v>
      </c>
      <c r="BJ12" s="331"/>
      <c r="BK12" s="122"/>
      <c r="BL12" s="338"/>
      <c r="BM12" s="132" t="s">
        <v>101</v>
      </c>
      <c r="BN12" s="132" t="s">
        <v>729</v>
      </c>
      <c r="BO12" s="132" t="s">
        <v>95</v>
      </c>
      <c r="BP12" s="132" t="s">
        <v>309</v>
      </c>
      <c r="BQ12" s="338"/>
      <c r="BR12" s="338"/>
      <c r="BS12" s="338"/>
      <c r="BT12" s="132" t="s">
        <v>309</v>
      </c>
      <c r="BU12" s="132" t="s">
        <v>95</v>
      </c>
      <c r="BV12" s="338"/>
      <c r="BW12" s="122"/>
      <c r="BX12" s="341"/>
      <c r="BY12" s="132" t="s">
        <v>309</v>
      </c>
      <c r="BZ12" s="132" t="s">
        <v>95</v>
      </c>
      <c r="CA12" s="338"/>
      <c r="CB12" s="132" t="s">
        <v>634</v>
      </c>
      <c r="CC12" s="338"/>
      <c r="CD12" s="124"/>
      <c r="CE12" s="124"/>
      <c r="CF12" s="124"/>
      <c r="CG12" s="124"/>
      <c r="CH12" s="124"/>
      <c r="CI12" s="126"/>
      <c r="CJ12" s="346"/>
      <c r="CK12" s="136" t="s">
        <v>411</v>
      </c>
      <c r="CL12" s="136" t="s">
        <v>95</v>
      </c>
      <c r="CM12" s="136" t="s">
        <v>634</v>
      </c>
      <c r="CN12" s="136" t="s">
        <v>634</v>
      </c>
      <c r="CO12" s="338"/>
      <c r="CP12" s="132" t="s">
        <v>309</v>
      </c>
      <c r="CQ12" s="338"/>
      <c r="CR12" s="338"/>
      <c r="CS12" s="338"/>
      <c r="CU12" s="117"/>
      <c r="CW12" s="331"/>
      <c r="CX12" s="331"/>
      <c r="CY12" s="132" t="s">
        <v>101</v>
      </c>
      <c r="CZ12" s="134" t="s">
        <v>101</v>
      </c>
      <c r="DA12" s="331"/>
      <c r="DB12" s="331"/>
    </row>
    <row r="13" spans="1:106" ht="15" customHeight="1" x14ac:dyDescent="0.25">
      <c r="A13" s="123"/>
      <c r="B13" s="124"/>
      <c r="C13" s="188"/>
      <c r="D13" s="124"/>
      <c r="E13" s="124"/>
      <c r="F13" s="124"/>
      <c r="G13" s="124"/>
      <c r="H13" s="125"/>
      <c r="I13" s="124"/>
      <c r="J13" s="124"/>
      <c r="K13" s="124"/>
      <c r="L13" s="126"/>
      <c r="M13" s="349" t="str">
        <f>Y13</f>
        <v>Z1</v>
      </c>
      <c r="N13" s="143">
        <v>288</v>
      </c>
      <c r="O13" s="144" t="s">
        <v>837</v>
      </c>
      <c r="P13" s="145">
        <v>111.4473</v>
      </c>
      <c r="Q13" s="145">
        <v>7.1452999999999998</v>
      </c>
      <c r="R13" s="145">
        <v>535.37630000000001</v>
      </c>
      <c r="S13" s="145">
        <v>2.7061000000000002</v>
      </c>
      <c r="T13" s="145">
        <v>399.4599</v>
      </c>
      <c r="U13" s="145">
        <v>0.6</v>
      </c>
      <c r="V13" s="206">
        <f>+U13-0.075</f>
        <v>0.52500000000000002</v>
      </c>
      <c r="W13" s="147">
        <f>(AA13*AC13*U13+W51*X51*(U51-U13))*$T$8</f>
        <v>254.99999999999994</v>
      </c>
      <c r="X13" s="147">
        <f>(AA13*AC13-W51*X51)*(U51-U13)*$T$7</f>
        <v>395.5139999999999</v>
      </c>
      <c r="Y13" s="349" t="s">
        <v>698</v>
      </c>
      <c r="Z13" s="148">
        <f t="shared" ref="Z13:Z14" si="0">IF(O13="Medianera",3*W51/2,MAX(6*AE13,SQRT(N51/$T$6),1))</f>
        <v>2.9268754524178733</v>
      </c>
      <c r="AA13" s="149">
        <v>4.0999999999999996</v>
      </c>
      <c r="AB13" s="148">
        <f>IF(O13="Medianera",2*N51/(AA13*$T$6),MAX(Z13,AD13*6,1))</f>
        <v>3.1487963094056854</v>
      </c>
      <c r="AC13" s="149">
        <v>4.0999999999999996</v>
      </c>
      <c r="AD13" s="150">
        <f>P51/N51</f>
        <v>0.52479938490094757</v>
      </c>
      <c r="AE13" s="150">
        <f t="shared" ref="AE13:AE14" si="1">O51/N51</f>
        <v>1.4332438674976938E-2</v>
      </c>
      <c r="AF13" s="53" t="str">
        <f>IF(AD13&gt;AC13/6,"N/C","OK")</f>
        <v>OK</v>
      </c>
      <c r="AG13" s="53" t="str">
        <f>IF(AE13&gt;AA13/6,"N/C","OK")</f>
        <v>OK</v>
      </c>
      <c r="AH13" s="155" t="str">
        <f>O13</f>
        <v>Central</v>
      </c>
      <c r="AI13" s="153">
        <f>IF(OR(AH13="L",AH13="Esquinera"),AC13-X51/2,AC13/2)</f>
        <v>2.0499999999999998</v>
      </c>
      <c r="AJ13" s="153">
        <f>IF(OR(AH13="B",AH13="Esquinera"),AA13-W51/2,AA13/2)</f>
        <v>2.0499999999999998</v>
      </c>
      <c r="AK13" s="152">
        <f>AD51</f>
        <v>0.91168467445385448</v>
      </c>
      <c r="AL13" s="150">
        <f>AH51</f>
        <v>3.9062545783793627</v>
      </c>
      <c r="AM13" s="150">
        <f>AJ51</f>
        <v>143.03218360034589</v>
      </c>
      <c r="AN13" s="349" t="str">
        <f>Y13</f>
        <v>Z1</v>
      </c>
      <c r="AO13" s="153">
        <f t="shared" ref="AO13:AO36" si="2">N51/(AA13*AC13)*(AA13*AC13-(W51-V13)*(X51-V13))</f>
        <v>1192.9890633216833</v>
      </c>
      <c r="AP13" s="153">
        <f t="shared" ref="AP13:AP36" si="3">0.75*0.17*(1+2/R51)*SQRT($O$6)*T51*V13*(1000^2)/(10^3)</f>
        <v>2897.999646289953</v>
      </c>
      <c r="AQ13" s="153">
        <f t="shared" ref="AQ13:AQ36" si="4">0.75*0.083*(Q51*V13/T51+2)*SQRT($O$6)*T51*V13*(1000^2)/(10^3)</f>
        <v>5360.9205221532384</v>
      </c>
      <c r="AR13" s="153">
        <f t="shared" ref="AR13:AR36" si="5">0.75*0.33*SQRT($O$6)*T51*V13*(1000^2)/(10^3)</f>
        <v>3437.823109814552</v>
      </c>
      <c r="AS13" s="53" t="str">
        <f t="shared" ref="AS13:AS36" si="6">IF(AO13&lt;MIN(AP13:AR13),"OK","N/C")</f>
        <v>OK</v>
      </c>
      <c r="AT13" s="153">
        <f t="shared" ref="AT13:AT36" si="7">IF(AS13&lt;&gt;"OK",AO13*10^3/(1000^2*0.75*0.33*SQRT($O$6)*T51)+0.075,V13+0.075)</f>
        <v>0.6</v>
      </c>
      <c r="AU13" s="150">
        <f t="shared" ref="AU13:AU36" si="8">+N51/AA13*((AA13-W51)/2-V13)</f>
        <v>282.01049817073164</v>
      </c>
      <c r="AV13" s="153">
        <f t="shared" ref="AV13:AV36" si="9">+N51/AC13*((AC13-X51)/2-V13)</f>
        <v>390.47607439024381</v>
      </c>
      <c r="AW13" s="154">
        <f t="shared" ref="AW13:AW36" si="10">0.75*0.17*SQRT($O$6)*AA13*V13*(1000^2/10^3)</f>
        <v>1452.2198227519655</v>
      </c>
      <c r="AX13" s="153">
        <f t="shared" ref="AX13:AX36" si="11">0.75*0.17*SQRT($O$6)*AC13*V13*(1000^2/10^3)</f>
        <v>1452.2198227519655</v>
      </c>
      <c r="AY13" s="53" t="str">
        <f t="shared" ref="AY13:AY36" si="12">IF(AND(AU13&lt;AW13,AV13&lt;AX13),"OK","N/C")</f>
        <v>OK</v>
      </c>
      <c r="AZ13" s="349" t="str">
        <f>AN13</f>
        <v>Z1</v>
      </c>
      <c r="BA13" s="153">
        <f t="shared" ref="BA13:BA36" si="13">SUM(N51/(2*AA13)*(AA13/2-W51/2)^2,P51)</f>
        <v>947.75122865853655</v>
      </c>
      <c r="BB13" s="153">
        <f t="shared" ref="BB13:BB36" si="14">BA13/(0.9*AA13*V13^2)</f>
        <v>931.85723863211751</v>
      </c>
      <c r="BC13" s="150">
        <f t="shared" ref="BC13:BC36" si="15">MAX(0.85*$O$6/$O$7*(1-SQRT(1-2*BB13/(0.85*$O$6*10^3))),0.0018)</f>
        <v>2.2639317121826087E-3</v>
      </c>
      <c r="BD13" s="148">
        <f t="shared" ref="BD13:BD36" si="16">+BC13*AA13*V13*100^2</f>
        <v>48.731130104730653</v>
      </c>
      <c r="BE13" s="144">
        <v>5</v>
      </c>
      <c r="BF13" s="144">
        <v>27</v>
      </c>
      <c r="BG13" s="155">
        <f t="shared" ref="BG13:BG36" si="17">VLOOKUP(BE13,$N$91:$T$102,7,)*BF13</f>
        <v>53.73</v>
      </c>
      <c r="BH13" s="53" t="str">
        <f t="shared" ref="BH13:BH36" si="18">IF(BG13&gt;=BD13,"OK","N/C")</f>
        <v>OK</v>
      </c>
      <c r="BI13" s="148">
        <f t="shared" ref="BI13:BI36" si="19">ROUND((AA13-2*0.075)/BF13,2)</f>
        <v>0.15</v>
      </c>
      <c r="BJ13" s="155" t="str">
        <f t="shared" ref="BJ13:BJ36" si="20">BF13&amp;"#"&amp;BE13&amp;"@"&amp;ROUNDDOWN(BI13*100/5,0)*5</f>
        <v>27#5@15</v>
      </c>
      <c r="BK13" s="197">
        <f t="shared" ref="BK13:BK36" si="21">BD13/BG13</f>
        <v>0.90696315102792957</v>
      </c>
      <c r="BL13" s="349" t="str">
        <f>AZ13</f>
        <v>Z1</v>
      </c>
      <c r="BM13" s="155">
        <f t="shared" ref="BM13:BM36" si="22">IF(AT51="SÍ",U51-U13-AX51/2,0)</f>
        <v>0</v>
      </c>
      <c r="BN13" s="153">
        <f t="shared" ref="BN13:BN36" si="23">IF(AT51="SÍ",O51,0)</f>
        <v>0</v>
      </c>
      <c r="BO13" s="153">
        <f t="shared" ref="BO13:BO36" si="24">IF(AT51="SÍ",(N51*(AA13-W51)-2*BN13)/(2*(BM13+U13)),0)</f>
        <v>0</v>
      </c>
      <c r="BP13" s="153">
        <f t="shared" ref="BP13:BP36" si="25">MAX(0.0033*2*AY51*(AW51-0.04)*100^2,0.0033*AY51*AW51*100^2,BO13*100^2/(0.9*10^3*$O$7))</f>
        <v>9.2317499999999999</v>
      </c>
      <c r="BQ13" s="144">
        <v>10</v>
      </c>
      <c r="BR13" s="155" t="s">
        <v>191</v>
      </c>
      <c r="BS13" s="144">
        <v>6</v>
      </c>
      <c r="BT13" s="153">
        <f t="shared" ref="BT13:BT36" si="26">BQ13*VLOOKUP(BS13,$N$91:$T$102,7,)</f>
        <v>28.4</v>
      </c>
      <c r="BU13" s="153">
        <f t="shared" ref="BU13:BU36" si="27">0.9*$O$7*BT13*10^3/(100^2)</f>
        <v>1073.5199999999998</v>
      </c>
      <c r="BV13" s="53" t="str">
        <f t="shared" ref="BV13:BV36" si="28">IF(AND(BU13&gt;=BO13,BT13&gt;=BP13),"OK","N/C")</f>
        <v>OK</v>
      </c>
      <c r="BW13" s="122"/>
      <c r="BX13" s="349" t="str">
        <f>BL13</f>
        <v>Z1</v>
      </c>
      <c r="BY13" s="153">
        <f t="shared" ref="BY13:BY36" si="29">BU51*VLOOKUP(BW51,$N$91:$T$102,7,)</f>
        <v>17.04</v>
      </c>
      <c r="BZ13" s="153">
        <f t="shared" ref="BZ13:BZ36" si="30">0.9*$O$7*BY13*10^3/(100^2)</f>
        <v>644.11199999999997</v>
      </c>
      <c r="CA13" s="155" t="str">
        <f t="shared" ref="CA13:CA36" si="31">IF(AND(BZ13&gt;=BS51,BY13&gt;=BT51),"OK","N/C")</f>
        <v>OK</v>
      </c>
      <c r="CB13" s="153">
        <f t="shared" ref="CB13:CB36" si="32">N51/(AA13*AC13)+BP51*BR51^2*BM13^2*AA13*BS51/(6*10^3*$O$8*V51)</f>
        <v>70.546716240333126</v>
      </c>
      <c r="CC13" s="53" t="str">
        <f t="shared" ref="CC13:CC36" si="33">IF(AND(CB13&lt;=$T$6,CB13&gt;0),"OK","N/C")</f>
        <v>OK</v>
      </c>
      <c r="CI13" s="122"/>
      <c r="CJ13" s="349" t="str">
        <f>BX13</f>
        <v>Z1</v>
      </c>
      <c r="CK13" s="153">
        <f t="shared" ref="CK13:CK36" si="34">SQRT(O51^2+P51^2)</f>
        <v>622.58654938983386</v>
      </c>
      <c r="CL13" s="153">
        <f t="shared" ref="CL13:CL36" si="35">IF(AT51="SÍ",(N51*(AA13-W51)/2*SQRT(2)/2-CK13)/(BM13+U13+BP51*BR51^2*BM13^2*AA13^4/(36*10^3*$O$8*V51)),0)</f>
        <v>0</v>
      </c>
      <c r="CM13" s="150">
        <f t="shared" ref="CM13:CM36" si="36">IF(O13="Esquinera",N51/(AA13^2)+BP51*AA13*SQRT(2)*BR51^2*AC13^2*CL13/(6*10^3*$O$8*V51),0)</f>
        <v>0</v>
      </c>
      <c r="CN13" s="150">
        <f t="shared" ref="CN13:CN36" si="37">IF(O13="Esquinera",N51/(AA13^2)-BP51*AA13*SQRT(2)*BR51^2*AC13^2*CL13/(6*10^3*$O$8*V51),0)</f>
        <v>0</v>
      </c>
      <c r="CO13" s="53" t="str">
        <f t="shared" ref="CO13:CO36" si="38">IF(AND(CM13&lt;=$T$6,CN13&gt;=0),"OK","N/C")</f>
        <v>OK</v>
      </c>
      <c r="CP13" s="158">
        <f t="shared" ref="CP13:CP36" si="39">BT51</f>
        <v>9.2317499999999999</v>
      </c>
      <c r="CQ13" s="144">
        <v>10</v>
      </c>
      <c r="CR13" s="155" t="s">
        <v>191</v>
      </c>
      <c r="CS13" s="144">
        <v>6</v>
      </c>
      <c r="CU13" s="117"/>
      <c r="CW13" s="349" t="str">
        <f>AZ13</f>
        <v>Z1</v>
      </c>
      <c r="CX13" s="111">
        <f t="shared" ref="CX13:CX36" si="40">N13</f>
        <v>288</v>
      </c>
      <c r="CY13" s="156">
        <f t="shared" ref="CY13:CY36" si="41">AA13</f>
        <v>4.0999999999999996</v>
      </c>
      <c r="CZ13" s="156">
        <f t="shared" ref="CZ13:CZ36" si="42">AC13</f>
        <v>4.0999999999999996</v>
      </c>
      <c r="DA13" s="140" t="str">
        <f t="shared" ref="DA13:DA36" si="43">BJ13</f>
        <v>27#5@15</v>
      </c>
      <c r="DB13" s="140" t="str">
        <f t="shared" ref="DB13:DB36" si="44">BJ51</f>
        <v>27#5@15</v>
      </c>
    </row>
    <row r="14" spans="1:106" ht="15" customHeight="1" x14ac:dyDescent="0.25">
      <c r="A14" s="123"/>
      <c r="B14" s="124"/>
      <c r="C14" s="188"/>
      <c r="D14" s="124"/>
      <c r="E14" s="124"/>
      <c r="F14" s="124"/>
      <c r="G14" s="124"/>
      <c r="H14" s="125"/>
      <c r="I14" s="124"/>
      <c r="J14" s="124"/>
      <c r="K14" s="124"/>
      <c r="L14" s="126"/>
      <c r="M14" s="350"/>
      <c r="N14" s="143">
        <v>288</v>
      </c>
      <c r="O14" s="144" t="s">
        <v>837</v>
      </c>
      <c r="P14" s="145">
        <v>-37.851100000000002</v>
      </c>
      <c r="Q14" s="145">
        <v>2.4331</v>
      </c>
      <c r="R14" s="145">
        <v>482.50279999999998</v>
      </c>
      <c r="S14" s="145">
        <v>-17.566400000000002</v>
      </c>
      <c r="T14" s="145">
        <v>-277.61470000000003</v>
      </c>
      <c r="U14" s="145">
        <v>0.6</v>
      </c>
      <c r="V14" s="146">
        <f t="shared" ref="V14:V15" si="45">+U14-0.075</f>
        <v>0.52500000000000002</v>
      </c>
      <c r="W14" s="147">
        <f t="shared" ref="W14:W15" si="46">(AA14*AC14*U14+W52*X52*(U52-U14))*$T$8</f>
        <v>254.99999999999994</v>
      </c>
      <c r="X14" s="147">
        <f t="shared" ref="X14:X15" si="47">(AA14*AC14-W52*X52)*(U52-U14)*$T$7</f>
        <v>395.5139999999999</v>
      </c>
      <c r="Y14" s="350"/>
      <c r="Z14" s="148">
        <f t="shared" si="0"/>
        <v>2.8608834055192496</v>
      </c>
      <c r="AA14" s="149">
        <v>4.0999999999999996</v>
      </c>
      <c r="AB14" s="148">
        <f t="shared" ref="AB14:AB15" si="48">IF(O14="Medianera",2*N52/(AA14*$T$6),MAX(Z14,AD14*6,1))</f>
        <v>2.8608834055192496</v>
      </c>
      <c r="AC14" s="149">
        <v>4.0999999999999996</v>
      </c>
      <c r="AD14" s="150">
        <f t="shared" ref="AD14:AD15" si="49">P52/N52</f>
        <v>-0.31183730020596345</v>
      </c>
      <c r="AE14" s="150">
        <f t="shared" si="1"/>
        <v>-1.1209189484215948E-2</v>
      </c>
      <c r="AF14" s="53" t="str">
        <f t="shared" ref="AF14:AF15" si="50">IF(AD14&gt;AC14/6,"N/C","OK")</f>
        <v>OK</v>
      </c>
      <c r="AG14" s="53" t="str">
        <f t="shared" ref="AG14:AG15" si="51">IF(AE14&gt;AA14/6,"N/C","OK")</f>
        <v>OK</v>
      </c>
      <c r="AH14" s="155" t="str">
        <f t="shared" ref="AH14:AH15" si="52">O14</f>
        <v>Central</v>
      </c>
      <c r="AI14" s="153">
        <f t="shared" ref="AI14:AI15" si="53">IF(OR(AH14="L",AH14="Esquinera"),AC14-X52/2,AC14/2)</f>
        <v>2.0499999999999998</v>
      </c>
      <c r="AJ14" s="153">
        <f t="shared" ref="AJ14:AJ15" si="54">IF(OR(AH14="B",AH14="Esquinera"),AA14-W52/2,AA14/2)</f>
        <v>2.0499999999999998</v>
      </c>
      <c r="AK14" s="152">
        <f t="shared" ref="AK14:AK15" si="55">AD52</f>
        <v>0.71707060284477353</v>
      </c>
      <c r="AL14" s="150">
        <f t="shared" ref="AL14:AL15" si="56">AH52</f>
        <v>-6.5739409578200174</v>
      </c>
      <c r="AM14" s="150">
        <f t="shared" ref="AM14:AM15" si="57">AJ52</f>
        <v>-182.88565849356695</v>
      </c>
      <c r="AN14" s="350"/>
      <c r="AO14" s="153">
        <f t="shared" si="2"/>
        <v>1139.7990614812611</v>
      </c>
      <c r="AP14" s="153">
        <f t="shared" si="3"/>
        <v>2897.999646289953</v>
      </c>
      <c r="AQ14" s="153">
        <f t="shared" si="4"/>
        <v>5360.9205221532384</v>
      </c>
      <c r="AR14" s="153">
        <f t="shared" si="5"/>
        <v>3437.823109814552</v>
      </c>
      <c r="AS14" s="53" t="str">
        <f t="shared" si="6"/>
        <v>OK</v>
      </c>
      <c r="AT14" s="153">
        <f t="shared" si="7"/>
        <v>0.6</v>
      </c>
      <c r="AU14" s="150">
        <f t="shared" si="8"/>
        <v>269.43692195121946</v>
      </c>
      <c r="AV14" s="153">
        <f t="shared" si="9"/>
        <v>373.0665073170731</v>
      </c>
      <c r="AW14" s="154">
        <f t="shared" si="10"/>
        <v>1452.2198227519655</v>
      </c>
      <c r="AX14" s="153">
        <f t="shared" si="11"/>
        <v>1452.2198227519655</v>
      </c>
      <c r="AY14" s="53" t="str">
        <f t="shared" si="12"/>
        <v>OK</v>
      </c>
      <c r="AZ14" s="350"/>
      <c r="BA14" s="153">
        <f t="shared" si="13"/>
        <v>-42.42814390243916</v>
      </c>
      <c r="BB14" s="153">
        <f t="shared" si="14"/>
        <v>-41.716614889726266</v>
      </c>
      <c r="BC14" s="150">
        <f t="shared" si="15"/>
        <v>1.8E-3</v>
      </c>
      <c r="BD14" s="148">
        <f t="shared" si="16"/>
        <v>38.744999999999997</v>
      </c>
      <c r="BE14" s="144">
        <v>5</v>
      </c>
      <c r="BF14" s="144">
        <v>27</v>
      </c>
      <c r="BG14" s="155">
        <f t="shared" si="17"/>
        <v>53.73</v>
      </c>
      <c r="BH14" s="53" t="str">
        <f t="shared" si="18"/>
        <v>OK</v>
      </c>
      <c r="BI14" s="148">
        <f t="shared" si="19"/>
        <v>0.15</v>
      </c>
      <c r="BJ14" s="155" t="str">
        <f t="shared" si="20"/>
        <v>27#5@15</v>
      </c>
      <c r="BK14" s="197">
        <f t="shared" si="21"/>
        <v>0.72110552763819091</v>
      </c>
      <c r="BL14" s="350"/>
      <c r="BM14" s="155">
        <f t="shared" si="22"/>
        <v>0</v>
      </c>
      <c r="BN14" s="153">
        <f t="shared" si="23"/>
        <v>0</v>
      </c>
      <c r="BO14" s="153">
        <f t="shared" si="24"/>
        <v>0</v>
      </c>
      <c r="BP14" s="153">
        <f t="shared" si="25"/>
        <v>9.2317499999999999</v>
      </c>
      <c r="BQ14" s="144">
        <v>10</v>
      </c>
      <c r="BR14" s="155" t="s">
        <v>191</v>
      </c>
      <c r="BS14" s="144">
        <v>6</v>
      </c>
      <c r="BT14" s="153">
        <f t="shared" si="26"/>
        <v>28.4</v>
      </c>
      <c r="BU14" s="153">
        <f t="shared" si="27"/>
        <v>1073.5199999999998</v>
      </c>
      <c r="BV14" s="53" t="str">
        <f t="shared" si="28"/>
        <v>OK</v>
      </c>
      <c r="BW14" s="122"/>
      <c r="BX14" s="350"/>
      <c r="BY14" s="153">
        <f t="shared" si="29"/>
        <v>17.04</v>
      </c>
      <c r="BZ14" s="153">
        <f t="shared" si="30"/>
        <v>644.11199999999997</v>
      </c>
      <c r="CA14" s="155" t="str">
        <f t="shared" si="31"/>
        <v>OK</v>
      </c>
      <c r="CB14" s="153">
        <f t="shared" si="32"/>
        <v>67.401356335514578</v>
      </c>
      <c r="CC14" s="53" t="str">
        <f t="shared" si="33"/>
        <v>OK</v>
      </c>
      <c r="CI14" s="122"/>
      <c r="CJ14" s="350"/>
      <c r="CK14" s="153">
        <f t="shared" si="34"/>
        <v>353.545084686027</v>
      </c>
      <c r="CL14" s="153">
        <f t="shared" si="35"/>
        <v>0</v>
      </c>
      <c r="CM14" s="150">
        <f t="shared" si="36"/>
        <v>0</v>
      </c>
      <c r="CN14" s="150">
        <f t="shared" si="37"/>
        <v>0</v>
      </c>
      <c r="CO14" s="53" t="str">
        <f t="shared" si="38"/>
        <v>OK</v>
      </c>
      <c r="CP14" s="158">
        <f t="shared" si="39"/>
        <v>9.2317499999999999</v>
      </c>
      <c r="CQ14" s="144">
        <v>10</v>
      </c>
      <c r="CR14" s="155" t="s">
        <v>191</v>
      </c>
      <c r="CS14" s="144">
        <v>6</v>
      </c>
      <c r="CU14" s="117"/>
      <c r="CW14" s="350"/>
      <c r="CX14" s="111">
        <f t="shared" si="40"/>
        <v>288</v>
      </c>
      <c r="CY14" s="156">
        <f t="shared" si="41"/>
        <v>4.0999999999999996</v>
      </c>
      <c r="CZ14" s="156">
        <f t="shared" si="42"/>
        <v>4.0999999999999996</v>
      </c>
      <c r="DA14" s="140" t="str">
        <f t="shared" si="43"/>
        <v>27#5@15</v>
      </c>
      <c r="DB14" s="140" t="str">
        <f t="shared" si="44"/>
        <v>27#5@15</v>
      </c>
    </row>
    <row r="15" spans="1:106" ht="15" customHeight="1" x14ac:dyDescent="0.25">
      <c r="A15" s="123"/>
      <c r="B15" s="124"/>
      <c r="C15" s="188"/>
      <c r="D15" s="124"/>
      <c r="E15" s="124"/>
      <c r="F15" s="124"/>
      <c r="G15" s="124"/>
      <c r="H15" s="125"/>
      <c r="I15" s="124"/>
      <c r="J15" s="124"/>
      <c r="K15" s="124"/>
      <c r="L15" s="126"/>
      <c r="M15" s="349" t="str">
        <f>Y15</f>
        <v>Z1</v>
      </c>
      <c r="N15" s="143">
        <v>288</v>
      </c>
      <c r="O15" s="144" t="s">
        <v>837</v>
      </c>
      <c r="P15" s="145">
        <v>14.4877</v>
      </c>
      <c r="Q15" s="145">
        <v>2.2523</v>
      </c>
      <c r="R15" s="145">
        <v>235.84880000000001</v>
      </c>
      <c r="S15" s="145">
        <v>-3.5905999999999998</v>
      </c>
      <c r="T15" s="145">
        <v>24.2804</v>
      </c>
      <c r="U15" s="145">
        <v>0.6</v>
      </c>
      <c r="V15" s="206">
        <f t="shared" si="45"/>
        <v>0.52500000000000002</v>
      </c>
      <c r="W15" s="147">
        <f t="shared" si="46"/>
        <v>254.99999999999994</v>
      </c>
      <c r="X15" s="147">
        <f t="shared" si="47"/>
        <v>395.5139999999999</v>
      </c>
      <c r="Y15" s="349" t="s">
        <v>698</v>
      </c>
      <c r="Z15" s="148">
        <f t="shared" ref="Z15:Z26" si="58">IF(O15="Medianera",3*W53/2,MAX(6*AE15,SQRT(N53/$T$6),1))</f>
        <v>2.5303916410245342</v>
      </c>
      <c r="AA15" s="149">
        <v>4.0999999999999996</v>
      </c>
      <c r="AB15" s="148">
        <f t="shared" si="48"/>
        <v>2.5303916410245342</v>
      </c>
      <c r="AC15" s="149">
        <v>4.0999999999999996</v>
      </c>
      <c r="AD15" s="150">
        <f t="shared" si="49"/>
        <v>6.0083523360863075E-2</v>
      </c>
      <c r="AE15" s="150">
        <f t="shared" ref="AE15:AE26" si="59">O53/N53</f>
        <v>1.0311804601907935E-3</v>
      </c>
      <c r="AF15" s="53" t="str">
        <f t="shared" si="50"/>
        <v>OK</v>
      </c>
      <c r="AG15" s="53" t="str">
        <f t="shared" si="51"/>
        <v>OK</v>
      </c>
      <c r="AH15" s="155" t="str">
        <f t="shared" si="52"/>
        <v>Central</v>
      </c>
      <c r="AI15" s="153">
        <f t="shared" si="53"/>
        <v>2.0499999999999998</v>
      </c>
      <c r="AJ15" s="153">
        <f t="shared" si="54"/>
        <v>2.0499999999999998</v>
      </c>
      <c r="AK15" s="152">
        <f t="shared" si="55"/>
        <v>0.41496317498733898</v>
      </c>
      <c r="AL15" s="150">
        <f t="shared" si="56"/>
        <v>34.119170869651747</v>
      </c>
      <c r="AM15" s="150">
        <f t="shared" si="57"/>
        <v>1988.012844638949</v>
      </c>
      <c r="AN15" s="349" t="str">
        <f>Y15</f>
        <v>Z1</v>
      </c>
      <c r="AO15" s="153">
        <f t="shared" si="2"/>
        <v>891.66858564842357</v>
      </c>
      <c r="AP15" s="153">
        <f t="shared" si="3"/>
        <v>2897.999646289953</v>
      </c>
      <c r="AQ15" s="153">
        <f t="shared" si="4"/>
        <v>5360.9205221532384</v>
      </c>
      <c r="AR15" s="153">
        <f t="shared" si="5"/>
        <v>3437.823109814552</v>
      </c>
      <c r="AS15" s="53" t="str">
        <f t="shared" si="6"/>
        <v>OK</v>
      </c>
      <c r="AT15" s="153">
        <f t="shared" si="7"/>
        <v>0.6</v>
      </c>
      <c r="AU15" s="150">
        <f t="shared" si="8"/>
        <v>210.78139756097553</v>
      </c>
      <c r="AV15" s="153">
        <f t="shared" si="9"/>
        <v>291.85116585365847</v>
      </c>
      <c r="AW15" s="154">
        <f t="shared" si="10"/>
        <v>1452.2198227519655</v>
      </c>
      <c r="AX15" s="153">
        <f t="shared" si="11"/>
        <v>1452.2198227519655</v>
      </c>
      <c r="AY15" s="53" t="str">
        <f t="shared" si="12"/>
        <v>OK</v>
      </c>
      <c r="AZ15" s="349" t="str">
        <f>AN15</f>
        <v>Z1</v>
      </c>
      <c r="BA15" s="153">
        <f t="shared" si="13"/>
        <v>296.46510487804869</v>
      </c>
      <c r="BB15" s="153">
        <f t="shared" si="14"/>
        <v>291.49332190628462</v>
      </c>
      <c r="BC15" s="150">
        <f t="shared" si="15"/>
        <v>1.8E-3</v>
      </c>
      <c r="BD15" s="148">
        <f t="shared" si="16"/>
        <v>38.744999999999997</v>
      </c>
      <c r="BE15" s="144">
        <v>5</v>
      </c>
      <c r="BF15" s="144">
        <v>27</v>
      </c>
      <c r="BG15" s="155">
        <f t="shared" si="17"/>
        <v>53.73</v>
      </c>
      <c r="BH15" s="53" t="str">
        <f t="shared" si="18"/>
        <v>OK</v>
      </c>
      <c r="BI15" s="148">
        <f t="shared" si="19"/>
        <v>0.15</v>
      </c>
      <c r="BJ15" s="155" t="str">
        <f t="shared" si="20"/>
        <v>27#5@15</v>
      </c>
      <c r="BK15" s="197">
        <f t="shared" si="21"/>
        <v>0.72110552763819091</v>
      </c>
      <c r="BL15" s="349" t="str">
        <f>AZ15</f>
        <v>Z1</v>
      </c>
      <c r="BM15" s="155">
        <f t="shared" si="22"/>
        <v>0</v>
      </c>
      <c r="BN15" s="153">
        <f t="shared" si="23"/>
        <v>0</v>
      </c>
      <c r="BO15" s="153">
        <f t="shared" si="24"/>
        <v>0</v>
      </c>
      <c r="BP15" s="153">
        <f t="shared" si="25"/>
        <v>9.2317499999999999</v>
      </c>
      <c r="BQ15" s="144">
        <v>10</v>
      </c>
      <c r="BR15" s="155" t="s">
        <v>191</v>
      </c>
      <c r="BS15" s="144">
        <v>6</v>
      </c>
      <c r="BT15" s="153">
        <f t="shared" si="26"/>
        <v>28.4</v>
      </c>
      <c r="BU15" s="153">
        <f t="shared" si="27"/>
        <v>1073.5199999999998</v>
      </c>
      <c r="BV15" s="53" t="str">
        <f t="shared" si="28"/>
        <v>OK</v>
      </c>
      <c r="BW15" s="122"/>
      <c r="BX15" s="349" t="str">
        <f>BL15</f>
        <v>Z1</v>
      </c>
      <c r="BY15" s="153">
        <f t="shared" si="29"/>
        <v>17.04</v>
      </c>
      <c r="BZ15" s="153">
        <f t="shared" si="30"/>
        <v>644.11199999999997</v>
      </c>
      <c r="CA15" s="155" t="str">
        <f t="shared" si="31"/>
        <v>OK</v>
      </c>
      <c r="CB15" s="153">
        <f t="shared" si="32"/>
        <v>52.728304580606782</v>
      </c>
      <c r="CC15" s="53" t="str">
        <f t="shared" si="33"/>
        <v>OK</v>
      </c>
      <c r="CI15" s="122"/>
      <c r="CJ15" s="349" t="str">
        <f>BX15</f>
        <v>Z1</v>
      </c>
      <c r="CK15" s="153">
        <f t="shared" si="34"/>
        <v>53.263642662138686</v>
      </c>
      <c r="CL15" s="153">
        <f t="shared" si="35"/>
        <v>0</v>
      </c>
      <c r="CM15" s="150">
        <f t="shared" si="36"/>
        <v>0</v>
      </c>
      <c r="CN15" s="150">
        <f t="shared" si="37"/>
        <v>0</v>
      </c>
      <c r="CO15" s="53" t="str">
        <f t="shared" si="38"/>
        <v>OK</v>
      </c>
      <c r="CP15" s="158">
        <f t="shared" si="39"/>
        <v>9.2317499999999999</v>
      </c>
      <c r="CQ15" s="144">
        <v>10</v>
      </c>
      <c r="CR15" s="155" t="s">
        <v>191</v>
      </c>
      <c r="CS15" s="144">
        <v>6</v>
      </c>
      <c r="CU15" s="117"/>
      <c r="CW15" s="349" t="str">
        <f>AZ15</f>
        <v>Z1</v>
      </c>
      <c r="CX15" s="111">
        <f t="shared" si="40"/>
        <v>288</v>
      </c>
      <c r="CY15" s="156">
        <f t="shared" si="41"/>
        <v>4.0999999999999996</v>
      </c>
      <c r="CZ15" s="156">
        <f t="shared" si="42"/>
        <v>4.0999999999999996</v>
      </c>
      <c r="DA15" s="140" t="str">
        <f t="shared" si="43"/>
        <v>27#5@15</v>
      </c>
      <c r="DB15" s="140" t="str">
        <f t="shared" si="44"/>
        <v>27#5@15</v>
      </c>
    </row>
    <row r="16" spans="1:106" ht="15" customHeight="1" x14ac:dyDescent="0.25">
      <c r="A16" s="123"/>
      <c r="B16" s="124"/>
      <c r="C16" s="188"/>
      <c r="D16" s="124"/>
      <c r="E16" s="124"/>
      <c r="F16" s="124"/>
      <c r="G16" s="124"/>
      <c r="H16" s="125"/>
      <c r="I16" s="124"/>
      <c r="J16" s="124"/>
      <c r="K16" s="124"/>
      <c r="L16" s="126"/>
      <c r="M16" s="350"/>
      <c r="N16" s="143">
        <v>288</v>
      </c>
      <c r="O16" s="144" t="s">
        <v>837</v>
      </c>
      <c r="P16" s="145">
        <v>14.516999999999999</v>
      </c>
      <c r="Q16" s="145">
        <v>2.2313000000000001</v>
      </c>
      <c r="R16" s="145">
        <v>229.2371</v>
      </c>
      <c r="S16" s="145">
        <v>-3.5552000000000001</v>
      </c>
      <c r="T16" s="145">
        <v>24.374500000000001</v>
      </c>
      <c r="U16" s="145">
        <v>0.6</v>
      </c>
      <c r="V16" s="146">
        <f t="shared" ref="V16:V26" si="60">+U16-0.075</f>
        <v>0.52500000000000002</v>
      </c>
      <c r="W16" s="147">
        <f t="shared" ref="W16:W26" si="61">(AA16*AC16*U16+W54*X54*(U54-U16))*$T$8</f>
        <v>254.99999999999994</v>
      </c>
      <c r="X16" s="147">
        <f t="shared" ref="X16:X26" si="62">(AA16*AC16-W54*X54)*(U54-U16)*$T$7</f>
        <v>395.5139999999999</v>
      </c>
      <c r="Y16" s="350"/>
      <c r="Z16" s="148">
        <f t="shared" si="58"/>
        <v>2.5209364233342786</v>
      </c>
      <c r="AA16" s="149">
        <v>4.0999999999999996</v>
      </c>
      <c r="AB16" s="148">
        <f t="shared" ref="AB16:AB26" si="63">IF(O16="Medianera",2*N54/(AA16*$T$6),MAX(Z16,AD16*6,1))</f>
        <v>2.5209364233342786</v>
      </c>
      <c r="AC16" s="149">
        <v>4.0999999999999996</v>
      </c>
      <c r="AD16" s="150">
        <f t="shared" ref="AD16:AD26" si="64">P54/N54</f>
        <v>6.07086481619631E-2</v>
      </c>
      <c r="AE16" s="150">
        <f t="shared" si="59"/>
        <v>1.0314280936960466E-3</v>
      </c>
      <c r="AF16" s="53" t="str">
        <f t="shared" ref="AF16:AF26" si="65">IF(AD16&gt;AC16/6,"N/C","OK")</f>
        <v>OK</v>
      </c>
      <c r="AG16" s="53" t="str">
        <f t="shared" ref="AG16:AG26" si="66">IF(AE16&gt;AA16/6,"N/C","OK")</f>
        <v>OK</v>
      </c>
      <c r="AH16" s="155" t="str">
        <f t="shared" ref="AH16:AH26" si="67">O16</f>
        <v>Central</v>
      </c>
      <c r="AI16" s="153">
        <f t="shared" ref="AI16:AI26" si="68">IF(OR(AH16="L",AH16="Esquinera"),AC16-X54/2,AC16/2)</f>
        <v>2.0499999999999998</v>
      </c>
      <c r="AJ16" s="153">
        <f t="shared" ref="AJ16:AJ26" si="69">IF(OR(AH16="B",AH16="Esquinera"),AA16-W54/2,AA16/2)</f>
        <v>2.0499999999999998</v>
      </c>
      <c r="AK16" s="152">
        <f t="shared" ref="AK16:AK26" si="70">AD54</f>
        <v>0.41221380383899286</v>
      </c>
      <c r="AL16" s="150">
        <f t="shared" ref="AL16:AL26" si="71">AH54</f>
        <v>33.767841354840513</v>
      </c>
      <c r="AM16" s="150">
        <f t="shared" ref="AM16:AM26" si="72">AJ54</f>
        <v>1987.5355466167066</v>
      </c>
      <c r="AN16" s="350"/>
      <c r="AO16" s="153">
        <f t="shared" si="2"/>
        <v>885.01730787849488</v>
      </c>
      <c r="AP16" s="153">
        <f t="shared" si="3"/>
        <v>2897.999646289953</v>
      </c>
      <c r="AQ16" s="153">
        <f t="shared" si="4"/>
        <v>5360.9205221532384</v>
      </c>
      <c r="AR16" s="153">
        <f t="shared" si="5"/>
        <v>3437.823109814552</v>
      </c>
      <c r="AS16" s="53" t="str">
        <f t="shared" si="6"/>
        <v>OK</v>
      </c>
      <c r="AT16" s="153">
        <f t="shared" si="7"/>
        <v>0.6</v>
      </c>
      <c r="AU16" s="150">
        <f t="shared" si="8"/>
        <v>209.20910304878041</v>
      </c>
      <c r="AV16" s="153">
        <f t="shared" si="9"/>
        <v>289.67414268292669</v>
      </c>
      <c r="AW16" s="154">
        <f t="shared" si="10"/>
        <v>1452.2198227519655</v>
      </c>
      <c r="AX16" s="153">
        <f t="shared" si="11"/>
        <v>1452.2198227519655</v>
      </c>
      <c r="AY16" s="53" t="str">
        <f t="shared" si="12"/>
        <v>OK</v>
      </c>
      <c r="AZ16" s="350"/>
      <c r="BA16" s="153">
        <f t="shared" si="13"/>
        <v>294.80361890243887</v>
      </c>
      <c r="BB16" s="153">
        <f t="shared" si="14"/>
        <v>289.85969940447137</v>
      </c>
      <c r="BC16" s="150">
        <f t="shared" si="15"/>
        <v>1.8E-3</v>
      </c>
      <c r="BD16" s="148">
        <f t="shared" si="16"/>
        <v>38.744999999999997</v>
      </c>
      <c r="BE16" s="144">
        <v>5</v>
      </c>
      <c r="BF16" s="144">
        <v>27</v>
      </c>
      <c r="BG16" s="155">
        <f t="shared" si="17"/>
        <v>53.73</v>
      </c>
      <c r="BH16" s="53" t="str">
        <f t="shared" si="18"/>
        <v>OK</v>
      </c>
      <c r="BI16" s="148">
        <f t="shared" si="19"/>
        <v>0.15</v>
      </c>
      <c r="BJ16" s="155" t="str">
        <f t="shared" si="20"/>
        <v>27#5@15</v>
      </c>
      <c r="BK16" s="197">
        <f t="shared" si="21"/>
        <v>0.72110552763819091</v>
      </c>
      <c r="BL16" s="350"/>
      <c r="BM16" s="155">
        <f t="shared" si="22"/>
        <v>0</v>
      </c>
      <c r="BN16" s="153">
        <f t="shared" si="23"/>
        <v>0</v>
      </c>
      <c r="BO16" s="153">
        <f t="shared" si="24"/>
        <v>0</v>
      </c>
      <c r="BP16" s="153">
        <f t="shared" si="25"/>
        <v>9.2317499999999999</v>
      </c>
      <c r="BQ16" s="144">
        <v>10</v>
      </c>
      <c r="BR16" s="155" t="s">
        <v>191</v>
      </c>
      <c r="BS16" s="144">
        <v>6</v>
      </c>
      <c r="BT16" s="153">
        <f t="shared" si="26"/>
        <v>28.4</v>
      </c>
      <c r="BU16" s="153">
        <f t="shared" si="27"/>
        <v>1073.5199999999998</v>
      </c>
      <c r="BV16" s="53" t="str">
        <f t="shared" si="28"/>
        <v>OK</v>
      </c>
      <c r="BW16" s="122"/>
      <c r="BX16" s="350"/>
      <c r="BY16" s="153">
        <f t="shared" si="29"/>
        <v>17.04</v>
      </c>
      <c r="BZ16" s="153">
        <f t="shared" si="30"/>
        <v>644.11199999999997</v>
      </c>
      <c r="CA16" s="155" t="str">
        <f t="shared" si="31"/>
        <v>OK</v>
      </c>
      <c r="CB16" s="153">
        <f t="shared" si="32"/>
        <v>52.334985127900055</v>
      </c>
      <c r="CC16" s="53" t="str">
        <f t="shared" si="33"/>
        <v>OK</v>
      </c>
      <c r="CI16" s="122"/>
      <c r="CJ16" s="350"/>
      <c r="CK16" s="153">
        <f t="shared" si="34"/>
        <v>53.416207718350812</v>
      </c>
      <c r="CL16" s="153">
        <f t="shared" si="35"/>
        <v>0</v>
      </c>
      <c r="CM16" s="150">
        <f t="shared" si="36"/>
        <v>0</v>
      </c>
      <c r="CN16" s="150">
        <f t="shared" si="37"/>
        <v>0</v>
      </c>
      <c r="CO16" s="53" t="str">
        <f t="shared" si="38"/>
        <v>OK</v>
      </c>
      <c r="CP16" s="158">
        <f t="shared" si="39"/>
        <v>9.2317499999999999</v>
      </c>
      <c r="CQ16" s="144">
        <v>10</v>
      </c>
      <c r="CR16" s="155" t="s">
        <v>191</v>
      </c>
      <c r="CS16" s="144">
        <v>6</v>
      </c>
      <c r="CU16" s="117"/>
      <c r="CW16" s="350"/>
      <c r="CX16" s="111">
        <f t="shared" si="40"/>
        <v>288</v>
      </c>
      <c r="CY16" s="156">
        <f t="shared" si="41"/>
        <v>4.0999999999999996</v>
      </c>
      <c r="CZ16" s="156">
        <f t="shared" si="42"/>
        <v>4.0999999999999996</v>
      </c>
      <c r="DA16" s="140" t="str">
        <f t="shared" si="43"/>
        <v>27#5@15</v>
      </c>
      <c r="DB16" s="140" t="str">
        <f t="shared" si="44"/>
        <v>27#5@15</v>
      </c>
    </row>
    <row r="17" spans="1:106" ht="15" customHeight="1" x14ac:dyDescent="0.25">
      <c r="A17" s="123"/>
      <c r="B17" s="124"/>
      <c r="C17" s="188"/>
      <c r="D17" s="124"/>
      <c r="E17" s="124"/>
      <c r="F17" s="124"/>
      <c r="G17" s="124"/>
      <c r="H17" s="125"/>
      <c r="I17" s="124"/>
      <c r="J17" s="124"/>
      <c r="K17" s="124"/>
      <c r="L17" s="126"/>
      <c r="M17" s="349" t="str">
        <f>Y17</f>
        <v>Z1</v>
      </c>
      <c r="N17" s="143">
        <v>288</v>
      </c>
      <c r="O17" s="144" t="s">
        <v>837</v>
      </c>
      <c r="P17" s="145">
        <v>14.516999999999999</v>
      </c>
      <c r="Q17" s="145">
        <v>2.2313000000000001</v>
      </c>
      <c r="R17" s="145">
        <v>229.2371</v>
      </c>
      <c r="S17" s="145">
        <v>-3.5552000000000001</v>
      </c>
      <c r="T17" s="145">
        <v>24.374500000000001</v>
      </c>
      <c r="U17" s="145">
        <v>0.6</v>
      </c>
      <c r="V17" s="206">
        <f t="shared" si="60"/>
        <v>0.52500000000000002</v>
      </c>
      <c r="W17" s="147">
        <f t="shared" si="61"/>
        <v>254.99999999999994</v>
      </c>
      <c r="X17" s="147">
        <f t="shared" si="62"/>
        <v>395.5139999999999</v>
      </c>
      <c r="Y17" s="349" t="s">
        <v>698</v>
      </c>
      <c r="Z17" s="148">
        <f t="shared" si="58"/>
        <v>2.5209364233342786</v>
      </c>
      <c r="AA17" s="149">
        <v>4.0999999999999996</v>
      </c>
      <c r="AB17" s="148">
        <f t="shared" si="63"/>
        <v>2.5209364233342786</v>
      </c>
      <c r="AC17" s="149">
        <v>4.0999999999999996</v>
      </c>
      <c r="AD17" s="150">
        <f t="shared" si="64"/>
        <v>6.07086481619631E-2</v>
      </c>
      <c r="AE17" s="150">
        <f t="shared" si="59"/>
        <v>1.0314280936960466E-3</v>
      </c>
      <c r="AF17" s="53" t="str">
        <f t="shared" si="65"/>
        <v>OK</v>
      </c>
      <c r="AG17" s="53" t="str">
        <f t="shared" si="66"/>
        <v>OK</v>
      </c>
      <c r="AH17" s="155" t="str">
        <f t="shared" si="67"/>
        <v>Central</v>
      </c>
      <c r="AI17" s="153">
        <f t="shared" si="68"/>
        <v>2.0499999999999998</v>
      </c>
      <c r="AJ17" s="153">
        <f t="shared" si="69"/>
        <v>2.0499999999999998</v>
      </c>
      <c r="AK17" s="152">
        <f t="shared" si="70"/>
        <v>0.41221380383899286</v>
      </c>
      <c r="AL17" s="150">
        <f t="shared" si="71"/>
        <v>33.767841354840513</v>
      </c>
      <c r="AM17" s="150">
        <f t="shared" si="72"/>
        <v>1987.5355466167066</v>
      </c>
      <c r="AN17" s="349" t="str">
        <f>Y17</f>
        <v>Z1</v>
      </c>
      <c r="AO17" s="153">
        <f t="shared" si="2"/>
        <v>885.01730787849488</v>
      </c>
      <c r="AP17" s="153">
        <f t="shared" si="3"/>
        <v>2897.999646289953</v>
      </c>
      <c r="AQ17" s="153">
        <f t="shared" si="4"/>
        <v>5360.9205221532384</v>
      </c>
      <c r="AR17" s="153">
        <f t="shared" si="5"/>
        <v>3437.823109814552</v>
      </c>
      <c r="AS17" s="53" t="str">
        <f t="shared" si="6"/>
        <v>OK</v>
      </c>
      <c r="AT17" s="153">
        <f t="shared" si="7"/>
        <v>0.6</v>
      </c>
      <c r="AU17" s="150">
        <f t="shared" si="8"/>
        <v>209.20910304878041</v>
      </c>
      <c r="AV17" s="153">
        <f t="shared" si="9"/>
        <v>289.67414268292669</v>
      </c>
      <c r="AW17" s="154">
        <f t="shared" si="10"/>
        <v>1452.2198227519655</v>
      </c>
      <c r="AX17" s="153">
        <f t="shared" si="11"/>
        <v>1452.2198227519655</v>
      </c>
      <c r="AY17" s="53" t="str">
        <f t="shared" si="12"/>
        <v>OK</v>
      </c>
      <c r="AZ17" s="349" t="str">
        <f>AN17</f>
        <v>Z1</v>
      </c>
      <c r="BA17" s="153">
        <f t="shared" si="13"/>
        <v>294.80361890243887</v>
      </c>
      <c r="BB17" s="153">
        <f t="shared" si="14"/>
        <v>289.85969940447137</v>
      </c>
      <c r="BC17" s="150">
        <f t="shared" si="15"/>
        <v>1.8E-3</v>
      </c>
      <c r="BD17" s="148">
        <f t="shared" si="16"/>
        <v>38.744999999999997</v>
      </c>
      <c r="BE17" s="144">
        <v>5</v>
      </c>
      <c r="BF17" s="144">
        <v>27</v>
      </c>
      <c r="BG17" s="155">
        <f t="shared" si="17"/>
        <v>53.73</v>
      </c>
      <c r="BH17" s="53" t="str">
        <f t="shared" si="18"/>
        <v>OK</v>
      </c>
      <c r="BI17" s="148">
        <f t="shared" si="19"/>
        <v>0.15</v>
      </c>
      <c r="BJ17" s="155" t="str">
        <f t="shared" si="20"/>
        <v>27#5@15</v>
      </c>
      <c r="BK17" s="197">
        <f t="shared" si="21"/>
        <v>0.72110552763819091</v>
      </c>
      <c r="BL17" s="349" t="str">
        <f>AZ17</f>
        <v>Z1</v>
      </c>
      <c r="BM17" s="155">
        <f t="shared" si="22"/>
        <v>0</v>
      </c>
      <c r="BN17" s="153">
        <f t="shared" si="23"/>
        <v>0</v>
      </c>
      <c r="BO17" s="153">
        <f t="shared" si="24"/>
        <v>0</v>
      </c>
      <c r="BP17" s="153">
        <f t="shared" si="25"/>
        <v>9.2317499999999999</v>
      </c>
      <c r="BQ17" s="144">
        <v>10</v>
      </c>
      <c r="BR17" s="155" t="s">
        <v>191</v>
      </c>
      <c r="BS17" s="144">
        <v>6</v>
      </c>
      <c r="BT17" s="153">
        <f t="shared" si="26"/>
        <v>28.4</v>
      </c>
      <c r="BU17" s="153">
        <f t="shared" si="27"/>
        <v>1073.5199999999998</v>
      </c>
      <c r="BV17" s="53" t="str">
        <f t="shared" si="28"/>
        <v>OK</v>
      </c>
      <c r="BW17" s="122"/>
      <c r="BX17" s="349" t="str">
        <f>BL17</f>
        <v>Z1</v>
      </c>
      <c r="BY17" s="153">
        <f t="shared" si="29"/>
        <v>17.04</v>
      </c>
      <c r="BZ17" s="153">
        <f t="shared" si="30"/>
        <v>644.11199999999997</v>
      </c>
      <c r="CA17" s="155" t="str">
        <f t="shared" si="31"/>
        <v>OK</v>
      </c>
      <c r="CB17" s="153">
        <f t="shared" si="32"/>
        <v>52.334985127900055</v>
      </c>
      <c r="CC17" s="53" t="str">
        <f t="shared" si="33"/>
        <v>OK</v>
      </c>
      <c r="CI17" s="122"/>
      <c r="CJ17" s="349" t="str">
        <f>BX17</f>
        <v>Z1</v>
      </c>
      <c r="CK17" s="153">
        <f t="shared" si="34"/>
        <v>53.416207718350812</v>
      </c>
      <c r="CL17" s="153">
        <f t="shared" si="35"/>
        <v>0</v>
      </c>
      <c r="CM17" s="150">
        <f t="shared" si="36"/>
        <v>0</v>
      </c>
      <c r="CN17" s="150">
        <f t="shared" si="37"/>
        <v>0</v>
      </c>
      <c r="CO17" s="53" t="str">
        <f t="shared" si="38"/>
        <v>OK</v>
      </c>
      <c r="CP17" s="158">
        <f t="shared" si="39"/>
        <v>9.2317499999999999</v>
      </c>
      <c r="CQ17" s="144">
        <v>10</v>
      </c>
      <c r="CR17" s="155" t="s">
        <v>191</v>
      </c>
      <c r="CS17" s="144">
        <v>6</v>
      </c>
      <c r="CU17" s="117"/>
      <c r="CW17" s="349" t="str">
        <f>AZ17</f>
        <v>Z1</v>
      </c>
      <c r="CX17" s="111">
        <f t="shared" si="40"/>
        <v>288</v>
      </c>
      <c r="CY17" s="156">
        <f t="shared" si="41"/>
        <v>4.0999999999999996</v>
      </c>
      <c r="CZ17" s="156">
        <f t="shared" si="42"/>
        <v>4.0999999999999996</v>
      </c>
      <c r="DA17" s="140" t="str">
        <f t="shared" si="43"/>
        <v>27#5@15</v>
      </c>
      <c r="DB17" s="140" t="str">
        <f t="shared" si="44"/>
        <v>27#5@15</v>
      </c>
    </row>
    <row r="18" spans="1:106" ht="15" customHeight="1" x14ac:dyDescent="0.25">
      <c r="A18" s="123"/>
      <c r="B18" s="124"/>
      <c r="C18" s="188"/>
      <c r="D18" s="124"/>
      <c r="E18" s="124"/>
      <c r="F18" s="124"/>
      <c r="G18" s="124"/>
      <c r="H18" s="125"/>
      <c r="I18" s="124"/>
      <c r="J18" s="124"/>
      <c r="K18" s="124"/>
      <c r="L18" s="126"/>
      <c r="M18" s="350"/>
      <c r="N18" s="143">
        <v>288</v>
      </c>
      <c r="O18" s="144" t="s">
        <v>837</v>
      </c>
      <c r="P18" s="145">
        <v>14.516999999999999</v>
      </c>
      <c r="Q18" s="145">
        <v>2.2313000000000001</v>
      </c>
      <c r="R18" s="145">
        <v>229.2371</v>
      </c>
      <c r="S18" s="145">
        <v>-3.5552000000000001</v>
      </c>
      <c r="T18" s="145">
        <v>24.374500000000001</v>
      </c>
      <c r="U18" s="145">
        <v>0.6</v>
      </c>
      <c r="V18" s="146">
        <f t="shared" si="60"/>
        <v>0.52500000000000002</v>
      </c>
      <c r="W18" s="147">
        <f t="shared" si="61"/>
        <v>254.99999999999994</v>
      </c>
      <c r="X18" s="147">
        <f t="shared" si="62"/>
        <v>395.5139999999999</v>
      </c>
      <c r="Y18" s="350"/>
      <c r="Z18" s="148">
        <f t="shared" si="58"/>
        <v>2.5209364233342786</v>
      </c>
      <c r="AA18" s="149">
        <v>4.0999999999999996</v>
      </c>
      <c r="AB18" s="148">
        <f t="shared" si="63"/>
        <v>2.5209364233342786</v>
      </c>
      <c r="AC18" s="149">
        <v>4.0999999999999996</v>
      </c>
      <c r="AD18" s="150">
        <f t="shared" si="64"/>
        <v>6.07086481619631E-2</v>
      </c>
      <c r="AE18" s="150">
        <f t="shared" si="59"/>
        <v>1.0314280936960466E-3</v>
      </c>
      <c r="AF18" s="53" t="str">
        <f t="shared" si="65"/>
        <v>OK</v>
      </c>
      <c r="AG18" s="53" t="str">
        <f t="shared" si="66"/>
        <v>OK</v>
      </c>
      <c r="AH18" s="155" t="str">
        <f t="shared" si="67"/>
        <v>Central</v>
      </c>
      <c r="AI18" s="153">
        <f t="shared" si="68"/>
        <v>2.0499999999999998</v>
      </c>
      <c r="AJ18" s="153">
        <f t="shared" si="69"/>
        <v>2.0499999999999998</v>
      </c>
      <c r="AK18" s="152">
        <f t="shared" si="70"/>
        <v>0.41221380383899286</v>
      </c>
      <c r="AL18" s="150">
        <f t="shared" si="71"/>
        <v>33.767841354840513</v>
      </c>
      <c r="AM18" s="150">
        <f t="shared" si="72"/>
        <v>1987.5355466167066</v>
      </c>
      <c r="AN18" s="350"/>
      <c r="AO18" s="153">
        <f t="shared" si="2"/>
        <v>885.01730787849488</v>
      </c>
      <c r="AP18" s="153">
        <f t="shared" si="3"/>
        <v>2897.999646289953</v>
      </c>
      <c r="AQ18" s="153">
        <f t="shared" si="4"/>
        <v>5360.9205221532384</v>
      </c>
      <c r="AR18" s="153">
        <f t="shared" si="5"/>
        <v>3437.823109814552</v>
      </c>
      <c r="AS18" s="53" t="str">
        <f t="shared" si="6"/>
        <v>OK</v>
      </c>
      <c r="AT18" s="153">
        <f t="shared" si="7"/>
        <v>0.6</v>
      </c>
      <c r="AU18" s="150">
        <f t="shared" si="8"/>
        <v>209.20910304878041</v>
      </c>
      <c r="AV18" s="153">
        <f t="shared" si="9"/>
        <v>289.67414268292669</v>
      </c>
      <c r="AW18" s="154">
        <f t="shared" si="10"/>
        <v>1452.2198227519655</v>
      </c>
      <c r="AX18" s="153">
        <f t="shared" si="11"/>
        <v>1452.2198227519655</v>
      </c>
      <c r="AY18" s="53" t="str">
        <f t="shared" si="12"/>
        <v>OK</v>
      </c>
      <c r="AZ18" s="350"/>
      <c r="BA18" s="153">
        <f t="shared" si="13"/>
        <v>294.80361890243887</v>
      </c>
      <c r="BB18" s="153">
        <f t="shared" si="14"/>
        <v>289.85969940447137</v>
      </c>
      <c r="BC18" s="150">
        <f t="shared" si="15"/>
        <v>1.8E-3</v>
      </c>
      <c r="BD18" s="148">
        <f t="shared" si="16"/>
        <v>38.744999999999997</v>
      </c>
      <c r="BE18" s="144">
        <v>5</v>
      </c>
      <c r="BF18" s="144">
        <v>27</v>
      </c>
      <c r="BG18" s="155">
        <f t="shared" si="17"/>
        <v>53.73</v>
      </c>
      <c r="BH18" s="53" t="str">
        <f>IF(BG18&gt;=BD18,"OK","N/C")</f>
        <v>OK</v>
      </c>
      <c r="BI18" s="148">
        <f t="shared" si="19"/>
        <v>0.15</v>
      </c>
      <c r="BJ18" s="155" t="str">
        <f t="shared" si="20"/>
        <v>27#5@15</v>
      </c>
      <c r="BK18" s="197">
        <f t="shared" si="21"/>
        <v>0.72110552763819091</v>
      </c>
      <c r="BL18" s="350"/>
      <c r="BM18" s="155">
        <f t="shared" si="22"/>
        <v>0</v>
      </c>
      <c r="BN18" s="153">
        <f t="shared" si="23"/>
        <v>0</v>
      </c>
      <c r="BO18" s="153">
        <f t="shared" si="24"/>
        <v>0</v>
      </c>
      <c r="BP18" s="153">
        <f t="shared" si="25"/>
        <v>9.2317499999999999</v>
      </c>
      <c r="BQ18" s="144">
        <v>10</v>
      </c>
      <c r="BR18" s="155" t="s">
        <v>191</v>
      </c>
      <c r="BS18" s="144">
        <v>6</v>
      </c>
      <c r="BT18" s="153">
        <f t="shared" si="26"/>
        <v>28.4</v>
      </c>
      <c r="BU18" s="153">
        <f t="shared" si="27"/>
        <v>1073.5199999999998</v>
      </c>
      <c r="BV18" s="53" t="str">
        <f t="shared" si="28"/>
        <v>OK</v>
      </c>
      <c r="BW18" s="122"/>
      <c r="BX18" s="350"/>
      <c r="BY18" s="153">
        <f t="shared" si="29"/>
        <v>17.04</v>
      </c>
      <c r="BZ18" s="153">
        <f t="shared" si="30"/>
        <v>644.11199999999997</v>
      </c>
      <c r="CA18" s="155" t="str">
        <f t="shared" si="31"/>
        <v>OK</v>
      </c>
      <c r="CB18" s="153">
        <f t="shared" si="32"/>
        <v>52.334985127900055</v>
      </c>
      <c r="CC18" s="53" t="str">
        <f t="shared" si="33"/>
        <v>OK</v>
      </c>
      <c r="CI18" s="122"/>
      <c r="CJ18" s="350"/>
      <c r="CK18" s="153">
        <f t="shared" si="34"/>
        <v>53.416207718350812</v>
      </c>
      <c r="CL18" s="153">
        <f t="shared" si="35"/>
        <v>0</v>
      </c>
      <c r="CM18" s="150">
        <f t="shared" si="36"/>
        <v>0</v>
      </c>
      <c r="CN18" s="150">
        <f t="shared" si="37"/>
        <v>0</v>
      </c>
      <c r="CO18" s="53" t="str">
        <f t="shared" si="38"/>
        <v>OK</v>
      </c>
      <c r="CP18" s="158">
        <f t="shared" si="39"/>
        <v>9.2317499999999999</v>
      </c>
      <c r="CQ18" s="144">
        <v>10</v>
      </c>
      <c r="CR18" s="155" t="s">
        <v>191</v>
      </c>
      <c r="CS18" s="144">
        <v>6</v>
      </c>
      <c r="CU18" s="117"/>
      <c r="CW18" s="350"/>
      <c r="CX18" s="111">
        <f t="shared" si="40"/>
        <v>288</v>
      </c>
      <c r="CY18" s="156">
        <f t="shared" si="41"/>
        <v>4.0999999999999996</v>
      </c>
      <c r="CZ18" s="156">
        <f t="shared" si="42"/>
        <v>4.0999999999999996</v>
      </c>
      <c r="DA18" s="140" t="str">
        <f t="shared" si="43"/>
        <v>27#5@15</v>
      </c>
      <c r="DB18" s="140" t="str">
        <f t="shared" si="44"/>
        <v>27#5@15</v>
      </c>
    </row>
    <row r="19" spans="1:106" ht="15" customHeight="1" x14ac:dyDescent="0.25">
      <c r="A19" s="123"/>
      <c r="B19" s="124"/>
      <c r="C19" s="188"/>
      <c r="D19" s="124"/>
      <c r="E19" s="124"/>
      <c r="F19" s="124"/>
      <c r="G19" s="124"/>
      <c r="H19" s="125"/>
      <c r="I19" s="124"/>
      <c r="J19" s="124"/>
      <c r="K19" s="124"/>
      <c r="L19" s="126"/>
      <c r="M19" s="349" t="str">
        <f>Y19</f>
        <v>Z1</v>
      </c>
      <c r="N19" s="143">
        <v>288</v>
      </c>
      <c r="O19" s="144" t="s">
        <v>837</v>
      </c>
      <c r="P19" s="145">
        <v>114.0493</v>
      </c>
      <c r="Q19" s="145">
        <v>5.3727999999999998</v>
      </c>
      <c r="R19" s="145">
        <v>264.48599999999999</v>
      </c>
      <c r="S19" s="145">
        <v>9.9597999999999995</v>
      </c>
      <c r="T19" s="145">
        <v>475.75760000000002</v>
      </c>
      <c r="U19" s="145">
        <v>0.6</v>
      </c>
      <c r="V19" s="206">
        <f t="shared" si="60"/>
        <v>0.52500000000000002</v>
      </c>
      <c r="W19" s="147">
        <f t="shared" si="61"/>
        <v>254.99999999999994</v>
      </c>
      <c r="X19" s="147">
        <f t="shared" si="62"/>
        <v>395.5139999999999</v>
      </c>
      <c r="Y19" s="349" t="s">
        <v>698</v>
      </c>
      <c r="Z19" s="148">
        <f t="shared" si="58"/>
        <v>2.570943490389654</v>
      </c>
      <c r="AA19" s="149">
        <v>4.0999999999999996</v>
      </c>
      <c r="AB19" s="148">
        <f t="shared" si="63"/>
        <v>4.6154504918032799</v>
      </c>
      <c r="AC19" s="149">
        <v>4.0999999999999996</v>
      </c>
      <c r="AD19" s="150">
        <f t="shared" si="64"/>
        <v>0.76924174863388006</v>
      </c>
      <c r="AE19" s="150">
        <f t="shared" si="59"/>
        <v>2.2628852459016396E-2</v>
      </c>
      <c r="AF19" s="53" t="str">
        <f t="shared" si="65"/>
        <v>N/C</v>
      </c>
      <c r="AG19" s="53" t="str">
        <f t="shared" si="66"/>
        <v>OK</v>
      </c>
      <c r="AH19" s="155" t="str">
        <f t="shared" si="67"/>
        <v>Central</v>
      </c>
      <c r="AI19" s="153">
        <f t="shared" si="68"/>
        <v>2.0499999999999998</v>
      </c>
      <c r="AJ19" s="153">
        <f t="shared" si="69"/>
        <v>2.0499999999999998</v>
      </c>
      <c r="AK19" s="152">
        <f t="shared" si="70"/>
        <v>0.84886143622909749</v>
      </c>
      <c r="AL19" s="150">
        <f t="shared" si="71"/>
        <v>2.6649619624008416</v>
      </c>
      <c r="AM19" s="150">
        <f t="shared" si="72"/>
        <v>90.592309252658708</v>
      </c>
      <c r="AN19" s="349" t="str">
        <f>Y19</f>
        <v>Z1</v>
      </c>
      <c r="AO19" s="153">
        <f t="shared" si="2"/>
        <v>920.47720850684095</v>
      </c>
      <c r="AP19" s="153">
        <f t="shared" si="3"/>
        <v>2897.999646289953</v>
      </c>
      <c r="AQ19" s="153">
        <f t="shared" si="4"/>
        <v>5360.9205221532384</v>
      </c>
      <c r="AR19" s="153">
        <f t="shared" si="5"/>
        <v>3437.823109814552</v>
      </c>
      <c r="AS19" s="53" t="str">
        <f t="shared" si="6"/>
        <v>OK</v>
      </c>
      <c r="AT19" s="153">
        <f t="shared" si="7"/>
        <v>0.6</v>
      </c>
      <c r="AU19" s="150">
        <f t="shared" si="8"/>
        <v>217.59146341463406</v>
      </c>
      <c r="AV19" s="153">
        <f t="shared" si="9"/>
        <v>301.28048780487791</v>
      </c>
      <c r="AW19" s="154">
        <f t="shared" si="10"/>
        <v>1452.2198227519655</v>
      </c>
      <c r="AX19" s="153">
        <f t="shared" si="11"/>
        <v>1452.2198227519655</v>
      </c>
      <c r="AY19" s="53" t="str">
        <f t="shared" si="12"/>
        <v>OK</v>
      </c>
      <c r="AZ19" s="349" t="str">
        <f>AN19</f>
        <v>Z1</v>
      </c>
      <c r="BA19" s="153">
        <f t="shared" si="13"/>
        <v>954.92327317073159</v>
      </c>
      <c r="BB19" s="153">
        <f t="shared" si="14"/>
        <v>938.90900642981308</v>
      </c>
      <c r="BC19" s="150">
        <f t="shared" si="15"/>
        <v>2.281423148312485E-3</v>
      </c>
      <c r="BD19" s="148">
        <f t="shared" si="16"/>
        <v>49.107633267426245</v>
      </c>
      <c r="BE19" s="144">
        <v>5</v>
      </c>
      <c r="BF19" s="144">
        <v>17</v>
      </c>
      <c r="BG19" s="155">
        <f t="shared" si="17"/>
        <v>33.83</v>
      </c>
      <c r="BH19" s="53" t="str">
        <f t="shared" si="18"/>
        <v>N/C</v>
      </c>
      <c r="BI19" s="148">
        <f t="shared" si="19"/>
        <v>0.23</v>
      </c>
      <c r="BJ19" s="155" t="str">
        <f t="shared" si="20"/>
        <v>17#5@20</v>
      </c>
      <c r="BK19" s="197">
        <f t="shared" si="21"/>
        <v>1.4516001557028155</v>
      </c>
      <c r="BL19" s="349" t="str">
        <f>AZ19</f>
        <v>Z1</v>
      </c>
      <c r="BM19" s="155">
        <f t="shared" si="22"/>
        <v>0</v>
      </c>
      <c r="BN19" s="153">
        <f t="shared" si="23"/>
        <v>0</v>
      </c>
      <c r="BO19" s="153">
        <f t="shared" si="24"/>
        <v>0</v>
      </c>
      <c r="BP19" s="153">
        <f t="shared" si="25"/>
        <v>9.2317499999999999</v>
      </c>
      <c r="BQ19" s="144">
        <v>10</v>
      </c>
      <c r="BR19" s="155" t="s">
        <v>191</v>
      </c>
      <c r="BS19" s="144">
        <v>6</v>
      </c>
      <c r="BT19" s="153">
        <f t="shared" si="26"/>
        <v>28.4</v>
      </c>
      <c r="BU19" s="153">
        <f t="shared" si="27"/>
        <v>1073.5199999999998</v>
      </c>
      <c r="BV19" s="53" t="str">
        <f t="shared" si="28"/>
        <v>OK</v>
      </c>
      <c r="BW19" s="122"/>
      <c r="BX19" s="349" t="str">
        <f>BL19</f>
        <v>Z1</v>
      </c>
      <c r="BY19" s="153">
        <f t="shared" si="29"/>
        <v>17.04</v>
      </c>
      <c r="BZ19" s="153">
        <f t="shared" si="30"/>
        <v>644.11199999999997</v>
      </c>
      <c r="CA19" s="155" t="str">
        <f t="shared" si="31"/>
        <v>OK</v>
      </c>
      <c r="CB19" s="153">
        <f t="shared" si="32"/>
        <v>54.431885782272445</v>
      </c>
      <c r="CC19" s="53" t="str">
        <f t="shared" si="33"/>
        <v>OK</v>
      </c>
      <c r="CI19" s="122"/>
      <c r="CJ19" s="349" t="str">
        <f>BX19</f>
        <v>Z1</v>
      </c>
      <c r="CK19" s="153">
        <f t="shared" si="34"/>
        <v>704.16068043281143</v>
      </c>
      <c r="CL19" s="153">
        <f t="shared" si="35"/>
        <v>0</v>
      </c>
      <c r="CM19" s="150">
        <f t="shared" si="36"/>
        <v>0</v>
      </c>
      <c r="CN19" s="150">
        <f t="shared" si="37"/>
        <v>0</v>
      </c>
      <c r="CO19" s="53" t="str">
        <f t="shared" si="38"/>
        <v>OK</v>
      </c>
      <c r="CP19" s="158">
        <f t="shared" si="39"/>
        <v>9.2317499999999999</v>
      </c>
      <c r="CQ19" s="144">
        <v>10</v>
      </c>
      <c r="CR19" s="155" t="s">
        <v>191</v>
      </c>
      <c r="CS19" s="144">
        <v>6</v>
      </c>
      <c r="CU19" s="117"/>
      <c r="CW19" s="349" t="str">
        <f>AZ19</f>
        <v>Z1</v>
      </c>
      <c r="CX19" s="111">
        <f t="shared" si="40"/>
        <v>288</v>
      </c>
      <c r="CY19" s="156">
        <f t="shared" si="41"/>
        <v>4.0999999999999996</v>
      </c>
      <c r="CZ19" s="156">
        <f t="shared" si="42"/>
        <v>4.0999999999999996</v>
      </c>
      <c r="DA19" s="140" t="str">
        <f t="shared" si="43"/>
        <v>17#5@20</v>
      </c>
      <c r="DB19" s="140" t="str">
        <f t="shared" si="44"/>
        <v>17#5@20</v>
      </c>
    </row>
    <row r="20" spans="1:106" ht="15" customHeight="1" x14ac:dyDescent="0.25">
      <c r="A20" s="123"/>
      <c r="B20" s="124"/>
      <c r="C20" s="188"/>
      <c r="D20" s="124"/>
      <c r="E20" s="124"/>
      <c r="F20" s="124"/>
      <c r="G20" s="124"/>
      <c r="H20" s="125"/>
      <c r="I20" s="124"/>
      <c r="J20" s="124"/>
      <c r="K20" s="124"/>
      <c r="L20" s="126"/>
      <c r="M20" s="350"/>
      <c r="N20" s="143">
        <v>288</v>
      </c>
      <c r="O20" s="144" t="s">
        <v>837</v>
      </c>
      <c r="P20" s="145">
        <v>-85.015199999999993</v>
      </c>
      <c r="Q20" s="145">
        <v>-0.9103</v>
      </c>
      <c r="R20" s="145">
        <v>193.9881</v>
      </c>
      <c r="S20" s="145">
        <v>-17.0703</v>
      </c>
      <c r="T20" s="145">
        <v>-427.0086</v>
      </c>
      <c r="U20" s="145">
        <v>0.6</v>
      </c>
      <c r="V20" s="146">
        <f t="shared" si="60"/>
        <v>0.52500000000000002</v>
      </c>
      <c r="W20" s="147">
        <f t="shared" si="61"/>
        <v>254.99999999999994</v>
      </c>
      <c r="X20" s="147">
        <f t="shared" si="62"/>
        <v>395.5139999999999</v>
      </c>
      <c r="Y20" s="350"/>
      <c r="Z20" s="148">
        <f t="shared" si="58"/>
        <v>2.4699169516064337</v>
      </c>
      <c r="AA20" s="149">
        <v>4.0999999999999996</v>
      </c>
      <c r="AB20" s="148">
        <f t="shared" si="63"/>
        <v>2.4699169516064337</v>
      </c>
      <c r="AC20" s="149">
        <v>4.0999999999999996</v>
      </c>
      <c r="AD20" s="150">
        <f t="shared" si="64"/>
        <v>-0.70697159900490492</v>
      </c>
      <c r="AE20" s="150">
        <f t="shared" si="59"/>
        <v>-2.2369275339871864E-2</v>
      </c>
      <c r="AF20" s="53" t="str">
        <f t="shared" si="65"/>
        <v>OK</v>
      </c>
      <c r="AG20" s="53" t="str">
        <f t="shared" si="66"/>
        <v>OK</v>
      </c>
      <c r="AH20" s="155" t="str">
        <f t="shared" si="67"/>
        <v>Central</v>
      </c>
      <c r="AI20" s="153">
        <f t="shared" si="68"/>
        <v>2.0499999999999998</v>
      </c>
      <c r="AJ20" s="153">
        <f t="shared" si="69"/>
        <v>2.0499999999999998</v>
      </c>
      <c r="AK20" s="152">
        <f t="shared" si="70"/>
        <v>0.75025068013825935</v>
      </c>
      <c r="AL20" s="150">
        <f t="shared" si="71"/>
        <v>-2.8996921557888169</v>
      </c>
      <c r="AM20" s="150">
        <f t="shared" si="72"/>
        <v>-91.643558803445018</v>
      </c>
      <c r="AN20" s="350"/>
      <c r="AO20" s="153">
        <f t="shared" si="2"/>
        <v>849.55730665154658</v>
      </c>
      <c r="AP20" s="153">
        <f t="shared" si="3"/>
        <v>2897.999646289953</v>
      </c>
      <c r="AQ20" s="153">
        <f t="shared" si="4"/>
        <v>5360.9205221532384</v>
      </c>
      <c r="AR20" s="153">
        <f t="shared" si="5"/>
        <v>3437.823109814552</v>
      </c>
      <c r="AS20" s="53" t="str">
        <f t="shared" si="6"/>
        <v>OK</v>
      </c>
      <c r="AT20" s="153">
        <f t="shared" si="7"/>
        <v>0.6</v>
      </c>
      <c r="AU20" s="150">
        <f t="shared" si="8"/>
        <v>200.82671890243896</v>
      </c>
      <c r="AV20" s="153">
        <f t="shared" si="9"/>
        <v>278.06776463414622</v>
      </c>
      <c r="AW20" s="154">
        <f t="shared" si="10"/>
        <v>1452.2198227519655</v>
      </c>
      <c r="AX20" s="153">
        <f t="shared" si="11"/>
        <v>1452.2198227519655</v>
      </c>
      <c r="AY20" s="53" t="str">
        <f t="shared" si="12"/>
        <v>OK</v>
      </c>
      <c r="AZ20" s="350"/>
      <c r="BA20" s="153">
        <f t="shared" si="13"/>
        <v>-365.31586280487818</v>
      </c>
      <c r="BB20" s="153">
        <f t="shared" si="14"/>
        <v>-359.18943795377902</v>
      </c>
      <c r="BC20" s="150">
        <f t="shared" si="15"/>
        <v>1.8E-3</v>
      </c>
      <c r="BD20" s="148">
        <f t="shared" si="16"/>
        <v>38.744999999999997</v>
      </c>
      <c r="BE20" s="144">
        <v>5</v>
      </c>
      <c r="BF20" s="144">
        <v>17</v>
      </c>
      <c r="BG20" s="155">
        <f t="shared" si="17"/>
        <v>33.83</v>
      </c>
      <c r="BH20" s="53" t="str">
        <f t="shared" si="18"/>
        <v>N/C</v>
      </c>
      <c r="BI20" s="148">
        <f t="shared" si="19"/>
        <v>0.23</v>
      </c>
      <c r="BJ20" s="155" t="str">
        <f t="shared" si="20"/>
        <v>17#5@20</v>
      </c>
      <c r="BK20" s="197">
        <f t="shared" si="21"/>
        <v>1.1452852497783033</v>
      </c>
      <c r="BL20" s="350"/>
      <c r="BM20" s="155">
        <f t="shared" si="22"/>
        <v>0</v>
      </c>
      <c r="BN20" s="153">
        <f t="shared" si="23"/>
        <v>0</v>
      </c>
      <c r="BO20" s="153">
        <f t="shared" si="24"/>
        <v>0</v>
      </c>
      <c r="BP20" s="153">
        <f t="shared" si="25"/>
        <v>9.2317499999999999</v>
      </c>
      <c r="BQ20" s="144">
        <v>10</v>
      </c>
      <c r="BR20" s="155" t="s">
        <v>191</v>
      </c>
      <c r="BS20" s="144">
        <v>6</v>
      </c>
      <c r="BT20" s="153">
        <f t="shared" si="26"/>
        <v>28.4</v>
      </c>
      <c r="BU20" s="153">
        <f t="shared" si="27"/>
        <v>1073.5199999999998</v>
      </c>
      <c r="BV20" s="53" t="str">
        <f t="shared" si="28"/>
        <v>OK</v>
      </c>
      <c r="BW20" s="122"/>
      <c r="BX20" s="350"/>
      <c r="BY20" s="153">
        <f t="shared" si="29"/>
        <v>17.04</v>
      </c>
      <c r="BZ20" s="153">
        <f t="shared" si="30"/>
        <v>644.11199999999997</v>
      </c>
      <c r="CA20" s="155" t="str">
        <f t="shared" si="31"/>
        <v>OK</v>
      </c>
      <c r="CB20" s="153">
        <f t="shared" si="32"/>
        <v>50.23807852468768</v>
      </c>
      <c r="CC20" s="53" t="str">
        <f t="shared" si="33"/>
        <v>OK</v>
      </c>
      <c r="CI20" s="122"/>
      <c r="CJ20" s="350"/>
      <c r="CK20" s="153">
        <f t="shared" si="34"/>
        <v>597.33778854498235</v>
      </c>
      <c r="CL20" s="153">
        <f t="shared" si="35"/>
        <v>0</v>
      </c>
      <c r="CM20" s="150">
        <f t="shared" si="36"/>
        <v>0</v>
      </c>
      <c r="CN20" s="150">
        <f t="shared" si="37"/>
        <v>0</v>
      </c>
      <c r="CO20" s="53" t="str">
        <f t="shared" si="38"/>
        <v>OK</v>
      </c>
      <c r="CP20" s="158">
        <f t="shared" si="39"/>
        <v>9.2317499999999999</v>
      </c>
      <c r="CQ20" s="144">
        <v>10</v>
      </c>
      <c r="CR20" s="155" t="s">
        <v>191</v>
      </c>
      <c r="CS20" s="144">
        <v>6</v>
      </c>
      <c r="CU20" s="117"/>
      <c r="CW20" s="350"/>
      <c r="CX20" s="111">
        <f t="shared" si="40"/>
        <v>288</v>
      </c>
      <c r="CY20" s="156">
        <f t="shared" si="41"/>
        <v>4.0999999999999996</v>
      </c>
      <c r="CZ20" s="156">
        <f t="shared" si="42"/>
        <v>4.0999999999999996</v>
      </c>
      <c r="DA20" s="140" t="str">
        <f t="shared" si="43"/>
        <v>17#5@20</v>
      </c>
      <c r="DB20" s="140" t="str">
        <f t="shared" si="44"/>
        <v>17#5@20</v>
      </c>
    </row>
    <row r="21" spans="1:106" ht="15" customHeight="1" x14ac:dyDescent="0.25">
      <c r="A21" s="123"/>
      <c r="B21" s="124"/>
      <c r="C21" s="188"/>
      <c r="D21" s="124"/>
      <c r="E21" s="124"/>
      <c r="F21" s="124"/>
      <c r="G21" s="124"/>
      <c r="H21" s="125"/>
      <c r="I21" s="124"/>
      <c r="J21" s="124"/>
      <c r="K21" s="124"/>
      <c r="L21" s="126"/>
      <c r="M21" s="349" t="str">
        <f>Y21</f>
        <v>Z1</v>
      </c>
      <c r="N21" s="143">
        <v>288</v>
      </c>
      <c r="O21" s="144" t="s">
        <v>837</v>
      </c>
      <c r="P21" s="145">
        <v>114.0493</v>
      </c>
      <c r="Q21" s="145">
        <v>5.3727999999999998</v>
      </c>
      <c r="R21" s="145">
        <v>264.48599999999999</v>
      </c>
      <c r="S21" s="145">
        <v>9.9597999999999995</v>
      </c>
      <c r="T21" s="145">
        <v>475.75760000000002</v>
      </c>
      <c r="U21" s="145">
        <v>0.6</v>
      </c>
      <c r="V21" s="206">
        <f t="shared" si="60"/>
        <v>0.52500000000000002</v>
      </c>
      <c r="W21" s="147">
        <f t="shared" si="61"/>
        <v>254.99999999999994</v>
      </c>
      <c r="X21" s="147">
        <f t="shared" si="62"/>
        <v>395.5139999999999</v>
      </c>
      <c r="Y21" s="349" t="s">
        <v>698</v>
      </c>
      <c r="Z21" s="148">
        <f t="shared" si="58"/>
        <v>2.570943490389654</v>
      </c>
      <c r="AA21" s="149">
        <v>4.0999999999999996</v>
      </c>
      <c r="AB21" s="148">
        <f t="shared" si="63"/>
        <v>4.6154504918032799</v>
      </c>
      <c r="AC21" s="149">
        <v>4.0999999999999996</v>
      </c>
      <c r="AD21" s="150">
        <f t="shared" si="64"/>
        <v>0.76924174863388006</v>
      </c>
      <c r="AE21" s="150">
        <f t="shared" si="59"/>
        <v>2.2628852459016396E-2</v>
      </c>
      <c r="AF21" s="53" t="str">
        <f t="shared" si="65"/>
        <v>N/C</v>
      </c>
      <c r="AG21" s="53" t="str">
        <f t="shared" si="66"/>
        <v>OK</v>
      </c>
      <c r="AH21" s="155" t="str">
        <f t="shared" si="67"/>
        <v>Central</v>
      </c>
      <c r="AI21" s="153">
        <f t="shared" si="68"/>
        <v>2.0499999999999998</v>
      </c>
      <c r="AJ21" s="153">
        <f t="shared" si="69"/>
        <v>2.0499999999999998</v>
      </c>
      <c r="AK21" s="152">
        <f t="shared" si="70"/>
        <v>0.84886143622909749</v>
      </c>
      <c r="AL21" s="150">
        <f t="shared" si="71"/>
        <v>2.6649619624008416</v>
      </c>
      <c r="AM21" s="150">
        <f t="shared" si="72"/>
        <v>90.592309252658708</v>
      </c>
      <c r="AN21" s="349" t="str">
        <f>Y21</f>
        <v>Z1</v>
      </c>
      <c r="AO21" s="153">
        <f t="shared" si="2"/>
        <v>920.47720850684095</v>
      </c>
      <c r="AP21" s="153">
        <f t="shared" si="3"/>
        <v>2897.999646289953</v>
      </c>
      <c r="AQ21" s="153">
        <f t="shared" si="4"/>
        <v>5360.9205221532384</v>
      </c>
      <c r="AR21" s="153">
        <f t="shared" si="5"/>
        <v>3437.823109814552</v>
      </c>
      <c r="AS21" s="53" t="str">
        <f t="shared" si="6"/>
        <v>OK</v>
      </c>
      <c r="AT21" s="153">
        <f t="shared" si="7"/>
        <v>0.6</v>
      </c>
      <c r="AU21" s="150">
        <f t="shared" si="8"/>
        <v>217.59146341463406</v>
      </c>
      <c r="AV21" s="153">
        <f t="shared" si="9"/>
        <v>301.28048780487791</v>
      </c>
      <c r="AW21" s="154">
        <f t="shared" si="10"/>
        <v>1452.2198227519655</v>
      </c>
      <c r="AX21" s="153">
        <f t="shared" si="11"/>
        <v>1452.2198227519655</v>
      </c>
      <c r="AY21" s="53" t="str">
        <f t="shared" si="12"/>
        <v>OK</v>
      </c>
      <c r="AZ21" s="349" t="str">
        <f>AN21</f>
        <v>Z1</v>
      </c>
      <c r="BA21" s="153">
        <f t="shared" si="13"/>
        <v>954.92327317073159</v>
      </c>
      <c r="BB21" s="153">
        <f t="shared" si="14"/>
        <v>938.90900642981308</v>
      </c>
      <c r="BC21" s="150">
        <f t="shared" si="15"/>
        <v>2.281423148312485E-3</v>
      </c>
      <c r="BD21" s="148">
        <f t="shared" si="16"/>
        <v>49.107633267426245</v>
      </c>
      <c r="BE21" s="144">
        <v>5</v>
      </c>
      <c r="BF21" s="144">
        <v>18</v>
      </c>
      <c r="BG21" s="155">
        <f t="shared" si="17"/>
        <v>35.82</v>
      </c>
      <c r="BH21" s="53" t="str">
        <f t="shared" si="18"/>
        <v>N/C</v>
      </c>
      <c r="BI21" s="148">
        <f t="shared" si="19"/>
        <v>0.22</v>
      </c>
      <c r="BJ21" s="155" t="str">
        <f t="shared" si="20"/>
        <v>18#5@20</v>
      </c>
      <c r="BK21" s="197">
        <f t="shared" si="21"/>
        <v>1.3709557026082144</v>
      </c>
      <c r="BL21" s="349" t="str">
        <f>AZ21</f>
        <v>Z1</v>
      </c>
      <c r="BM21" s="155">
        <f t="shared" si="22"/>
        <v>0</v>
      </c>
      <c r="BN21" s="153">
        <f t="shared" si="23"/>
        <v>0</v>
      </c>
      <c r="BO21" s="153">
        <f t="shared" si="24"/>
        <v>0</v>
      </c>
      <c r="BP21" s="153">
        <f t="shared" si="25"/>
        <v>9.2317499999999999</v>
      </c>
      <c r="BQ21" s="144">
        <v>10</v>
      </c>
      <c r="BR21" s="155" t="s">
        <v>191</v>
      </c>
      <c r="BS21" s="144">
        <v>6</v>
      </c>
      <c r="BT21" s="153">
        <f t="shared" si="26"/>
        <v>28.4</v>
      </c>
      <c r="BU21" s="153">
        <f t="shared" si="27"/>
        <v>1073.5199999999998</v>
      </c>
      <c r="BV21" s="53" t="str">
        <f t="shared" si="28"/>
        <v>OK</v>
      </c>
      <c r="BW21" s="122"/>
      <c r="BX21" s="349" t="str">
        <f>BL21</f>
        <v>Z1</v>
      </c>
      <c r="BY21" s="153">
        <f t="shared" si="29"/>
        <v>17.04</v>
      </c>
      <c r="BZ21" s="153">
        <f t="shared" si="30"/>
        <v>644.11199999999997</v>
      </c>
      <c r="CA21" s="155" t="str">
        <f t="shared" si="31"/>
        <v>OK</v>
      </c>
      <c r="CB21" s="153">
        <f t="shared" si="32"/>
        <v>54.431885782272445</v>
      </c>
      <c r="CC21" s="53" t="str">
        <f t="shared" si="33"/>
        <v>OK</v>
      </c>
      <c r="CE21" s="166" t="s">
        <v>731</v>
      </c>
      <c r="CI21" s="117"/>
      <c r="CJ21" s="349" t="str">
        <f>BX21</f>
        <v>Z1</v>
      </c>
      <c r="CK21" s="153">
        <f t="shared" si="34"/>
        <v>704.16068043281143</v>
      </c>
      <c r="CL21" s="153">
        <f t="shared" si="35"/>
        <v>0</v>
      </c>
      <c r="CM21" s="150">
        <f t="shared" si="36"/>
        <v>0</v>
      </c>
      <c r="CN21" s="150">
        <f t="shared" si="37"/>
        <v>0</v>
      </c>
      <c r="CO21" s="53" t="str">
        <f t="shared" si="38"/>
        <v>OK</v>
      </c>
      <c r="CP21" s="158">
        <f t="shared" si="39"/>
        <v>9.2317499999999999</v>
      </c>
      <c r="CQ21" s="144">
        <v>10</v>
      </c>
      <c r="CR21" s="155" t="s">
        <v>191</v>
      </c>
      <c r="CS21" s="144">
        <v>6</v>
      </c>
      <c r="CU21" s="117"/>
      <c r="CW21" s="349" t="str">
        <f>AZ21</f>
        <v>Z1</v>
      </c>
      <c r="CX21" s="111">
        <f t="shared" si="40"/>
        <v>288</v>
      </c>
      <c r="CY21" s="156">
        <f t="shared" si="41"/>
        <v>4.0999999999999996</v>
      </c>
      <c r="CZ21" s="156">
        <f t="shared" si="42"/>
        <v>4.0999999999999996</v>
      </c>
      <c r="DA21" s="140" t="str">
        <f t="shared" si="43"/>
        <v>18#5@20</v>
      </c>
      <c r="DB21" s="140" t="str">
        <f t="shared" si="44"/>
        <v>18#5@20</v>
      </c>
    </row>
    <row r="22" spans="1:106" ht="15" customHeight="1" x14ac:dyDescent="0.25">
      <c r="A22" s="123"/>
      <c r="B22" s="124"/>
      <c r="C22" s="188"/>
      <c r="D22" s="124"/>
      <c r="E22" s="124"/>
      <c r="F22" s="124"/>
      <c r="G22" s="124"/>
      <c r="H22" s="125"/>
      <c r="I22" s="124"/>
      <c r="J22" s="124"/>
      <c r="K22" s="124"/>
      <c r="L22" s="126"/>
      <c r="M22" s="350"/>
      <c r="N22" s="143">
        <v>288</v>
      </c>
      <c r="O22" s="144" t="s">
        <v>837</v>
      </c>
      <c r="P22" s="145">
        <v>-85.015199999999993</v>
      </c>
      <c r="Q22" s="145">
        <v>-0.9103</v>
      </c>
      <c r="R22" s="145">
        <v>193.9881</v>
      </c>
      <c r="S22" s="145">
        <v>-17.0703</v>
      </c>
      <c r="T22" s="145">
        <v>-427.0086</v>
      </c>
      <c r="U22" s="145">
        <v>0.6</v>
      </c>
      <c r="V22" s="146">
        <f t="shared" si="60"/>
        <v>0.52500000000000002</v>
      </c>
      <c r="W22" s="147">
        <f t="shared" si="61"/>
        <v>254.99999999999994</v>
      </c>
      <c r="X22" s="147">
        <f t="shared" si="62"/>
        <v>395.5139999999999</v>
      </c>
      <c r="Y22" s="350"/>
      <c r="Z22" s="148">
        <f t="shared" si="58"/>
        <v>2.4699169516064337</v>
      </c>
      <c r="AA22" s="149">
        <v>4.0999999999999996</v>
      </c>
      <c r="AB22" s="148">
        <f t="shared" si="63"/>
        <v>2.4699169516064337</v>
      </c>
      <c r="AC22" s="149">
        <v>4.0999999999999996</v>
      </c>
      <c r="AD22" s="150">
        <f t="shared" si="64"/>
        <v>-0.70697159900490492</v>
      </c>
      <c r="AE22" s="150">
        <f t="shared" si="59"/>
        <v>-2.2369275339871864E-2</v>
      </c>
      <c r="AF22" s="53" t="str">
        <f t="shared" si="65"/>
        <v>OK</v>
      </c>
      <c r="AG22" s="53" t="str">
        <f t="shared" si="66"/>
        <v>OK</v>
      </c>
      <c r="AH22" s="155" t="str">
        <f t="shared" si="67"/>
        <v>Central</v>
      </c>
      <c r="AI22" s="153">
        <f t="shared" si="68"/>
        <v>2.0499999999999998</v>
      </c>
      <c r="AJ22" s="153">
        <f t="shared" si="69"/>
        <v>2.0499999999999998</v>
      </c>
      <c r="AK22" s="152">
        <f t="shared" si="70"/>
        <v>0.75025068013825935</v>
      </c>
      <c r="AL22" s="150">
        <f t="shared" si="71"/>
        <v>-2.8996921557888169</v>
      </c>
      <c r="AM22" s="150">
        <f t="shared" si="72"/>
        <v>-91.643558803445018</v>
      </c>
      <c r="AN22" s="350"/>
      <c r="AO22" s="153">
        <f t="shared" si="2"/>
        <v>849.55730665154658</v>
      </c>
      <c r="AP22" s="153">
        <f t="shared" si="3"/>
        <v>2897.999646289953</v>
      </c>
      <c r="AQ22" s="153">
        <f t="shared" si="4"/>
        <v>5360.9205221532384</v>
      </c>
      <c r="AR22" s="153">
        <f t="shared" si="5"/>
        <v>3437.823109814552</v>
      </c>
      <c r="AS22" s="53" t="str">
        <f t="shared" si="6"/>
        <v>OK</v>
      </c>
      <c r="AT22" s="153">
        <f t="shared" si="7"/>
        <v>0.6</v>
      </c>
      <c r="AU22" s="150">
        <f t="shared" si="8"/>
        <v>200.82671890243896</v>
      </c>
      <c r="AV22" s="153">
        <f t="shared" si="9"/>
        <v>278.06776463414622</v>
      </c>
      <c r="AW22" s="154">
        <f t="shared" si="10"/>
        <v>1452.2198227519655</v>
      </c>
      <c r="AX22" s="153">
        <f t="shared" si="11"/>
        <v>1452.2198227519655</v>
      </c>
      <c r="AY22" s="53" t="str">
        <f t="shared" si="12"/>
        <v>OK</v>
      </c>
      <c r="AZ22" s="350"/>
      <c r="BA22" s="153">
        <f t="shared" si="13"/>
        <v>-365.31586280487818</v>
      </c>
      <c r="BB22" s="153">
        <f t="shared" si="14"/>
        <v>-359.18943795377902</v>
      </c>
      <c r="BC22" s="150">
        <f t="shared" si="15"/>
        <v>1.8E-3</v>
      </c>
      <c r="BD22" s="148">
        <f t="shared" si="16"/>
        <v>38.744999999999997</v>
      </c>
      <c r="BE22" s="144">
        <v>5</v>
      </c>
      <c r="BF22" s="144">
        <v>18</v>
      </c>
      <c r="BG22" s="155">
        <f t="shared" si="17"/>
        <v>35.82</v>
      </c>
      <c r="BH22" s="53" t="str">
        <f t="shared" si="18"/>
        <v>N/C</v>
      </c>
      <c r="BI22" s="148">
        <f t="shared" si="19"/>
        <v>0.22</v>
      </c>
      <c r="BJ22" s="155" t="str">
        <f t="shared" si="20"/>
        <v>18#5@20</v>
      </c>
      <c r="BK22" s="197">
        <f t="shared" si="21"/>
        <v>1.0816582914572863</v>
      </c>
      <c r="BL22" s="350"/>
      <c r="BM22" s="155">
        <f t="shared" si="22"/>
        <v>0</v>
      </c>
      <c r="BN22" s="153">
        <f t="shared" si="23"/>
        <v>0</v>
      </c>
      <c r="BO22" s="153">
        <f t="shared" si="24"/>
        <v>0</v>
      </c>
      <c r="BP22" s="153">
        <f t="shared" si="25"/>
        <v>9.2317499999999999</v>
      </c>
      <c r="BQ22" s="144">
        <v>10</v>
      </c>
      <c r="BR22" s="155" t="s">
        <v>191</v>
      </c>
      <c r="BS22" s="144">
        <v>6</v>
      </c>
      <c r="BT22" s="153">
        <f t="shared" si="26"/>
        <v>28.4</v>
      </c>
      <c r="BU22" s="153">
        <f t="shared" si="27"/>
        <v>1073.5199999999998</v>
      </c>
      <c r="BV22" s="53" t="str">
        <f t="shared" si="28"/>
        <v>OK</v>
      </c>
      <c r="BW22" s="122"/>
      <c r="BX22" s="350"/>
      <c r="BY22" s="153">
        <f t="shared" si="29"/>
        <v>17.04</v>
      </c>
      <c r="BZ22" s="153">
        <f t="shared" si="30"/>
        <v>644.11199999999997</v>
      </c>
      <c r="CA22" s="155" t="str">
        <f t="shared" si="31"/>
        <v>OK</v>
      </c>
      <c r="CB22" s="153">
        <f t="shared" si="32"/>
        <v>50.23807852468768</v>
      </c>
      <c r="CC22" s="53" t="str">
        <f t="shared" si="33"/>
        <v>OK</v>
      </c>
      <c r="CE22" s="166"/>
      <c r="CI22" s="117"/>
      <c r="CJ22" s="350"/>
      <c r="CK22" s="153">
        <f t="shared" si="34"/>
        <v>597.33778854498235</v>
      </c>
      <c r="CL22" s="153">
        <f t="shared" si="35"/>
        <v>0</v>
      </c>
      <c r="CM22" s="150">
        <f t="shared" si="36"/>
        <v>0</v>
      </c>
      <c r="CN22" s="150">
        <f t="shared" si="37"/>
        <v>0</v>
      </c>
      <c r="CO22" s="53" t="str">
        <f t="shared" si="38"/>
        <v>OK</v>
      </c>
      <c r="CP22" s="158">
        <f t="shared" si="39"/>
        <v>9.2317499999999999</v>
      </c>
      <c r="CQ22" s="144">
        <v>10</v>
      </c>
      <c r="CR22" s="155" t="s">
        <v>191</v>
      </c>
      <c r="CS22" s="144">
        <v>6</v>
      </c>
      <c r="CU22" s="117"/>
      <c r="CW22" s="350"/>
      <c r="CX22" s="111">
        <f t="shared" si="40"/>
        <v>288</v>
      </c>
      <c r="CY22" s="156">
        <f t="shared" si="41"/>
        <v>4.0999999999999996</v>
      </c>
      <c r="CZ22" s="156">
        <f t="shared" si="42"/>
        <v>4.0999999999999996</v>
      </c>
      <c r="DA22" s="140" t="str">
        <f t="shared" si="43"/>
        <v>18#5@20</v>
      </c>
      <c r="DB22" s="140" t="str">
        <f t="shared" si="44"/>
        <v>18#5@20</v>
      </c>
    </row>
    <row r="23" spans="1:106" ht="15" customHeight="1" x14ac:dyDescent="0.25">
      <c r="A23" s="123"/>
      <c r="B23" s="124"/>
      <c r="C23" s="188"/>
      <c r="D23" s="124"/>
      <c r="E23" s="124"/>
      <c r="F23" s="124"/>
      <c r="G23" s="124"/>
      <c r="H23" s="125"/>
      <c r="I23" s="124"/>
      <c r="J23" s="124"/>
      <c r="K23" s="124"/>
      <c r="L23" s="126"/>
      <c r="M23" s="349" t="str">
        <f>Y23</f>
        <v>Z1</v>
      </c>
      <c r="N23" s="143">
        <v>288</v>
      </c>
      <c r="O23" s="144" t="s">
        <v>837</v>
      </c>
      <c r="P23" s="145">
        <v>44.855400000000003</v>
      </c>
      <c r="Q23" s="145">
        <v>11.986700000000001</v>
      </c>
      <c r="R23" s="145">
        <v>259.9624</v>
      </c>
      <c r="S23" s="145">
        <v>38.574599999999997</v>
      </c>
      <c r="T23" s="145">
        <v>161.46850000000001</v>
      </c>
      <c r="U23" s="145">
        <v>0.6</v>
      </c>
      <c r="V23" s="206">
        <f t="shared" si="60"/>
        <v>0.52500000000000002</v>
      </c>
      <c r="W23" s="147">
        <f t="shared" si="61"/>
        <v>254.99999999999994</v>
      </c>
      <c r="X23" s="147">
        <f t="shared" si="62"/>
        <v>395.5139999999999</v>
      </c>
      <c r="Y23" s="349" t="s">
        <v>698</v>
      </c>
      <c r="Z23" s="148">
        <f t="shared" si="58"/>
        <v>2.564580468702538</v>
      </c>
      <c r="AA23" s="149">
        <v>4.0999999999999996</v>
      </c>
      <c r="AB23" s="148">
        <f t="shared" si="63"/>
        <v>2.564580468702538</v>
      </c>
      <c r="AC23" s="149">
        <v>4.0999999999999996</v>
      </c>
      <c r="AD23" s="150">
        <f t="shared" si="64"/>
        <v>0.2758767827480208</v>
      </c>
      <c r="AE23" s="150">
        <f t="shared" si="59"/>
        <v>6.8698101345625234E-2</v>
      </c>
      <c r="AF23" s="53" t="str">
        <f t="shared" si="65"/>
        <v>OK</v>
      </c>
      <c r="AG23" s="53" t="str">
        <f t="shared" si="66"/>
        <v>OK</v>
      </c>
      <c r="AH23" s="155" t="str">
        <f t="shared" si="67"/>
        <v>Central</v>
      </c>
      <c r="AI23" s="153">
        <f t="shared" si="68"/>
        <v>2.0499999999999998</v>
      </c>
      <c r="AJ23" s="153">
        <f t="shared" si="69"/>
        <v>2.0499999999999998</v>
      </c>
      <c r="AK23" s="152">
        <f t="shared" si="70"/>
        <v>0.58855449252524406</v>
      </c>
      <c r="AL23" s="150">
        <f t="shared" si="71"/>
        <v>7.4308536571285906</v>
      </c>
      <c r="AM23" s="150">
        <f t="shared" si="72"/>
        <v>29.840708256059337</v>
      </c>
      <c r="AN23" s="349" t="str">
        <f>Y23</f>
        <v>Z1</v>
      </c>
      <c r="AO23" s="153">
        <f t="shared" si="2"/>
        <v>915.92653014574648</v>
      </c>
      <c r="AP23" s="153">
        <f t="shared" si="3"/>
        <v>2897.999646289953</v>
      </c>
      <c r="AQ23" s="153">
        <f t="shared" si="4"/>
        <v>5360.9205221532384</v>
      </c>
      <c r="AR23" s="153">
        <f t="shared" si="5"/>
        <v>3437.823109814552</v>
      </c>
      <c r="AS23" s="53" t="str">
        <f t="shared" si="6"/>
        <v>OK</v>
      </c>
      <c r="AT23" s="153">
        <f t="shared" si="7"/>
        <v>0.6</v>
      </c>
      <c r="AU23" s="150">
        <f t="shared" si="8"/>
        <v>216.5157292682926</v>
      </c>
      <c r="AV23" s="153">
        <f t="shared" si="9"/>
        <v>299.79100975609742</v>
      </c>
      <c r="AW23" s="154">
        <f t="shared" si="10"/>
        <v>1452.2198227519655</v>
      </c>
      <c r="AX23" s="153">
        <f t="shared" si="11"/>
        <v>1452.2198227519655</v>
      </c>
      <c r="AY23" s="53" t="str">
        <f t="shared" si="12"/>
        <v>OK</v>
      </c>
      <c r="AZ23" s="349" t="str">
        <f>AN23</f>
        <v>Z1</v>
      </c>
      <c r="BA23" s="153">
        <f t="shared" si="13"/>
        <v>501.00514146341447</v>
      </c>
      <c r="BB23" s="153">
        <f t="shared" si="14"/>
        <v>492.60317850012177</v>
      </c>
      <c r="BC23" s="150">
        <f t="shared" si="15"/>
        <v>1.8E-3</v>
      </c>
      <c r="BD23" s="148">
        <f t="shared" si="16"/>
        <v>38.744999999999997</v>
      </c>
      <c r="BE23" s="144">
        <v>5</v>
      </c>
      <c r="BF23" s="144">
        <v>17</v>
      </c>
      <c r="BG23" s="155">
        <f t="shared" si="17"/>
        <v>33.83</v>
      </c>
      <c r="BH23" s="53" t="str">
        <f t="shared" si="18"/>
        <v>N/C</v>
      </c>
      <c r="BI23" s="148">
        <f t="shared" si="19"/>
        <v>0.23</v>
      </c>
      <c r="BJ23" s="155" t="str">
        <f t="shared" si="20"/>
        <v>17#5@20</v>
      </c>
      <c r="BK23" s="197">
        <f t="shared" si="21"/>
        <v>1.1452852497783033</v>
      </c>
      <c r="BL23" s="349" t="str">
        <f>AZ23</f>
        <v>Z1</v>
      </c>
      <c r="BM23" s="155">
        <f t="shared" si="22"/>
        <v>0</v>
      </c>
      <c r="BN23" s="153">
        <f t="shared" si="23"/>
        <v>0</v>
      </c>
      <c r="BO23" s="153">
        <f t="shared" si="24"/>
        <v>0</v>
      </c>
      <c r="BP23" s="153">
        <f t="shared" si="25"/>
        <v>9.2317499999999999</v>
      </c>
      <c r="BQ23" s="144">
        <v>10</v>
      </c>
      <c r="BR23" s="155" t="s">
        <v>191</v>
      </c>
      <c r="BS23" s="144">
        <v>6</v>
      </c>
      <c r="BT23" s="153">
        <f t="shared" si="26"/>
        <v>28.4</v>
      </c>
      <c r="BU23" s="153">
        <f t="shared" si="27"/>
        <v>1073.5199999999998</v>
      </c>
      <c r="BV23" s="53" t="str">
        <f t="shared" si="28"/>
        <v>OK</v>
      </c>
      <c r="BW23" s="122"/>
      <c r="BX23" s="349" t="str">
        <f>BL23</f>
        <v>Z1</v>
      </c>
      <c r="BY23" s="153">
        <f t="shared" si="29"/>
        <v>17.04</v>
      </c>
      <c r="BZ23" s="153">
        <f t="shared" si="30"/>
        <v>644.11199999999997</v>
      </c>
      <c r="CA23" s="155" t="str">
        <f t="shared" si="31"/>
        <v>OK</v>
      </c>
      <c r="CB23" s="153">
        <f t="shared" si="32"/>
        <v>54.162784057108858</v>
      </c>
      <c r="CC23" s="53" t="str">
        <f t="shared" si="33"/>
        <v>OK</v>
      </c>
      <c r="CE23" s="351" t="s">
        <v>732</v>
      </c>
      <c r="CF23" s="351"/>
      <c r="CG23" s="351"/>
      <c r="CH23" s="351"/>
      <c r="CI23" s="117"/>
      <c r="CJ23" s="349" t="str">
        <f>BX23</f>
        <v>Z1</v>
      </c>
      <c r="CK23" s="153">
        <f t="shared" si="34"/>
        <v>258.84994311857594</v>
      </c>
      <c r="CL23" s="153">
        <f t="shared" si="35"/>
        <v>0</v>
      </c>
      <c r="CM23" s="150">
        <f t="shared" si="36"/>
        <v>0</v>
      </c>
      <c r="CN23" s="150">
        <f t="shared" si="37"/>
        <v>0</v>
      </c>
      <c r="CO23" s="53" t="str">
        <f t="shared" si="38"/>
        <v>OK</v>
      </c>
      <c r="CP23" s="158">
        <f t="shared" si="39"/>
        <v>9.2317499999999999</v>
      </c>
      <c r="CQ23" s="144">
        <v>10</v>
      </c>
      <c r="CR23" s="155" t="s">
        <v>191</v>
      </c>
      <c r="CS23" s="144">
        <v>6</v>
      </c>
      <c r="CU23" s="117"/>
      <c r="CW23" s="349" t="str">
        <f>AZ23</f>
        <v>Z1</v>
      </c>
      <c r="CX23" s="111">
        <f t="shared" si="40"/>
        <v>288</v>
      </c>
      <c r="CY23" s="156">
        <f t="shared" si="41"/>
        <v>4.0999999999999996</v>
      </c>
      <c r="CZ23" s="156">
        <f t="shared" si="42"/>
        <v>4.0999999999999996</v>
      </c>
      <c r="DA23" s="140" t="str">
        <f t="shared" si="43"/>
        <v>17#5@20</v>
      </c>
      <c r="DB23" s="140" t="str">
        <f t="shared" si="44"/>
        <v>17#5@20</v>
      </c>
    </row>
    <row r="24" spans="1:106" ht="15" customHeight="1" x14ac:dyDescent="0.25">
      <c r="A24" s="123"/>
      <c r="B24" s="124"/>
      <c r="C24" s="188"/>
      <c r="D24" s="124"/>
      <c r="E24" s="124"/>
      <c r="F24" s="124"/>
      <c r="G24" s="124"/>
      <c r="H24" s="125"/>
      <c r="I24" s="124"/>
      <c r="J24" s="124"/>
      <c r="K24" s="124"/>
      <c r="L24" s="126"/>
      <c r="M24" s="350"/>
      <c r="N24" s="143">
        <v>288</v>
      </c>
      <c r="O24" s="144" t="s">
        <v>837</v>
      </c>
      <c r="P24" s="145">
        <v>-15.821300000000001</v>
      </c>
      <c r="Q24" s="145">
        <v>-7.5242000000000004</v>
      </c>
      <c r="R24" s="145">
        <v>198.51169999999999</v>
      </c>
      <c r="S24" s="145">
        <v>-45.685099999999998</v>
      </c>
      <c r="T24" s="145">
        <v>-112.7195</v>
      </c>
      <c r="U24" s="145">
        <v>0.6</v>
      </c>
      <c r="V24" s="146">
        <f t="shared" si="60"/>
        <v>0.52500000000000002</v>
      </c>
      <c r="W24" s="147">
        <f t="shared" si="61"/>
        <v>254.99999999999994</v>
      </c>
      <c r="X24" s="147">
        <f t="shared" si="62"/>
        <v>395.5139999999999</v>
      </c>
      <c r="Y24" s="350"/>
      <c r="Z24" s="148">
        <f t="shared" si="58"/>
        <v>2.4765232076762831</v>
      </c>
      <c r="AA24" s="149">
        <v>4.0999999999999996</v>
      </c>
      <c r="AB24" s="148">
        <f t="shared" si="63"/>
        <v>2.4765232076762831</v>
      </c>
      <c r="AC24" s="149">
        <v>4.0999999999999996</v>
      </c>
      <c r="AD24" s="150">
        <f t="shared" si="64"/>
        <v>-0.17003266214438506</v>
      </c>
      <c r="AE24" s="150">
        <f t="shared" si="59"/>
        <v>-7.1533170315103548E-2</v>
      </c>
      <c r="AF24" s="53" t="str">
        <f t="shared" si="65"/>
        <v>OK</v>
      </c>
      <c r="AG24" s="53" t="str">
        <f t="shared" si="66"/>
        <v>OK</v>
      </c>
      <c r="AH24" s="155" t="str">
        <f t="shared" si="67"/>
        <v>Central</v>
      </c>
      <c r="AI24" s="153">
        <f t="shared" si="68"/>
        <v>2.0499999999999998</v>
      </c>
      <c r="AJ24" s="153">
        <f t="shared" si="69"/>
        <v>2.0499999999999998</v>
      </c>
      <c r="AK24" s="152">
        <f t="shared" si="70"/>
        <v>0.49383159489084899</v>
      </c>
      <c r="AL24" s="150">
        <f t="shared" si="71"/>
        <v>-12.056507109552989</v>
      </c>
      <c r="AM24" s="150">
        <f t="shared" si="72"/>
        <v>-28.6580336223007</v>
      </c>
      <c r="AN24" s="350"/>
      <c r="AO24" s="153">
        <f t="shared" si="2"/>
        <v>854.10798501264117</v>
      </c>
      <c r="AP24" s="153">
        <f t="shared" si="3"/>
        <v>2897.999646289953</v>
      </c>
      <c r="AQ24" s="153">
        <f t="shared" si="4"/>
        <v>5360.9205221532384</v>
      </c>
      <c r="AR24" s="153">
        <f t="shared" si="5"/>
        <v>3437.823109814552</v>
      </c>
      <c r="AS24" s="53" t="str">
        <f t="shared" si="6"/>
        <v>OK</v>
      </c>
      <c r="AT24" s="153">
        <f t="shared" si="7"/>
        <v>0.6</v>
      </c>
      <c r="AU24" s="150">
        <f t="shared" si="8"/>
        <v>201.90245304878042</v>
      </c>
      <c r="AV24" s="153">
        <f t="shared" si="9"/>
        <v>279.5572426829267</v>
      </c>
      <c r="AW24" s="154">
        <f t="shared" si="10"/>
        <v>1452.2198227519655</v>
      </c>
      <c r="AX24" s="153">
        <f t="shared" si="11"/>
        <v>1452.2198227519655</v>
      </c>
      <c r="AY24" s="53" t="str">
        <f t="shared" si="12"/>
        <v>OK</v>
      </c>
      <c r="AZ24" s="350"/>
      <c r="BA24" s="153">
        <f t="shared" si="13"/>
        <v>88.602268902438908</v>
      </c>
      <c r="BB24" s="153">
        <f t="shared" si="14"/>
        <v>87.116389975912256</v>
      </c>
      <c r="BC24" s="150">
        <f t="shared" si="15"/>
        <v>1.8E-3</v>
      </c>
      <c r="BD24" s="148">
        <f t="shared" si="16"/>
        <v>38.744999999999997</v>
      </c>
      <c r="BE24" s="144">
        <v>5</v>
      </c>
      <c r="BF24" s="144">
        <v>17</v>
      </c>
      <c r="BG24" s="155">
        <f t="shared" si="17"/>
        <v>33.83</v>
      </c>
      <c r="BH24" s="53" t="str">
        <f t="shared" si="18"/>
        <v>N/C</v>
      </c>
      <c r="BI24" s="148">
        <f t="shared" si="19"/>
        <v>0.23</v>
      </c>
      <c r="BJ24" s="155" t="str">
        <f t="shared" si="20"/>
        <v>17#5@20</v>
      </c>
      <c r="BK24" s="197">
        <f t="shared" si="21"/>
        <v>1.1452852497783033</v>
      </c>
      <c r="BL24" s="350"/>
      <c r="BM24" s="155">
        <f t="shared" si="22"/>
        <v>0</v>
      </c>
      <c r="BN24" s="153">
        <f t="shared" si="23"/>
        <v>0</v>
      </c>
      <c r="BO24" s="153">
        <f t="shared" si="24"/>
        <v>0</v>
      </c>
      <c r="BP24" s="153">
        <f t="shared" si="25"/>
        <v>9.2317499999999999</v>
      </c>
      <c r="BQ24" s="144">
        <v>10</v>
      </c>
      <c r="BR24" s="155" t="s">
        <v>191</v>
      </c>
      <c r="BS24" s="144">
        <v>6</v>
      </c>
      <c r="BT24" s="153">
        <f t="shared" si="26"/>
        <v>28.4</v>
      </c>
      <c r="BU24" s="153">
        <f t="shared" si="27"/>
        <v>1073.5199999999998</v>
      </c>
      <c r="BV24" s="53" t="str">
        <f t="shared" si="28"/>
        <v>OK</v>
      </c>
      <c r="BW24" s="122"/>
      <c r="BX24" s="350"/>
      <c r="BY24" s="153">
        <f t="shared" si="29"/>
        <v>17.04</v>
      </c>
      <c r="BZ24" s="153">
        <f t="shared" si="30"/>
        <v>644.11199999999997</v>
      </c>
      <c r="CA24" s="155" t="str">
        <f t="shared" si="31"/>
        <v>OK</v>
      </c>
      <c r="CB24" s="153">
        <f t="shared" si="32"/>
        <v>50.507180249851274</v>
      </c>
      <c r="CC24" s="53" t="str">
        <f t="shared" si="33"/>
        <v>OK</v>
      </c>
      <c r="CE24" s="351"/>
      <c r="CF24" s="351"/>
      <c r="CG24" s="351"/>
      <c r="CH24" s="351"/>
      <c r="CI24" s="117"/>
      <c r="CJ24" s="350"/>
      <c r="CK24" s="153">
        <f t="shared" si="34"/>
        <v>156.61728492941</v>
      </c>
      <c r="CL24" s="153">
        <f t="shared" si="35"/>
        <v>0</v>
      </c>
      <c r="CM24" s="150">
        <f t="shared" si="36"/>
        <v>0</v>
      </c>
      <c r="CN24" s="150">
        <f t="shared" si="37"/>
        <v>0</v>
      </c>
      <c r="CO24" s="53" t="str">
        <f t="shared" si="38"/>
        <v>OK</v>
      </c>
      <c r="CP24" s="158">
        <f t="shared" si="39"/>
        <v>9.2317499999999999</v>
      </c>
      <c r="CQ24" s="144">
        <v>10</v>
      </c>
      <c r="CR24" s="155" t="s">
        <v>191</v>
      </c>
      <c r="CS24" s="144">
        <v>6</v>
      </c>
      <c r="CU24" s="117"/>
      <c r="CW24" s="350"/>
      <c r="CX24" s="111">
        <f t="shared" si="40"/>
        <v>288</v>
      </c>
      <c r="CY24" s="156">
        <f t="shared" si="41"/>
        <v>4.0999999999999996</v>
      </c>
      <c r="CZ24" s="156">
        <f t="shared" si="42"/>
        <v>4.0999999999999996</v>
      </c>
      <c r="DA24" s="140" t="str">
        <f t="shared" si="43"/>
        <v>17#5@20</v>
      </c>
      <c r="DB24" s="140" t="str">
        <f t="shared" si="44"/>
        <v>17#5@20</v>
      </c>
    </row>
    <row r="25" spans="1:106" ht="15" customHeight="1" x14ac:dyDescent="0.25">
      <c r="A25" s="123"/>
      <c r="B25" s="124"/>
      <c r="C25" s="188"/>
      <c r="D25" s="124"/>
      <c r="E25" s="124"/>
      <c r="F25" s="124"/>
      <c r="G25" s="124"/>
      <c r="H25" s="125"/>
      <c r="I25" s="124"/>
      <c r="J25" s="124"/>
      <c r="K25" s="124"/>
      <c r="L25" s="126"/>
      <c r="M25" s="349" t="str">
        <f>Y25</f>
        <v>Z1</v>
      </c>
      <c r="N25" s="143">
        <v>288</v>
      </c>
      <c r="O25" s="144" t="s">
        <v>837</v>
      </c>
      <c r="P25" s="145">
        <v>44.855400000000003</v>
      </c>
      <c r="Q25" s="145">
        <v>11.986700000000001</v>
      </c>
      <c r="R25" s="145">
        <v>259.9624</v>
      </c>
      <c r="S25" s="145">
        <v>38.574599999999997</v>
      </c>
      <c r="T25" s="145">
        <v>161.46850000000001</v>
      </c>
      <c r="U25" s="145">
        <v>0.6</v>
      </c>
      <c r="V25" s="206">
        <f t="shared" si="60"/>
        <v>0.52500000000000002</v>
      </c>
      <c r="W25" s="147">
        <f t="shared" si="61"/>
        <v>254.99999999999994</v>
      </c>
      <c r="X25" s="147">
        <f t="shared" si="62"/>
        <v>395.5139999999999</v>
      </c>
      <c r="Y25" s="349" t="s">
        <v>698</v>
      </c>
      <c r="Z25" s="148">
        <f t="shared" si="58"/>
        <v>2.564580468702538</v>
      </c>
      <c r="AA25" s="149">
        <v>4.0999999999999996</v>
      </c>
      <c r="AB25" s="148">
        <f t="shared" si="63"/>
        <v>2.564580468702538</v>
      </c>
      <c r="AC25" s="149">
        <v>4.0999999999999996</v>
      </c>
      <c r="AD25" s="150">
        <f t="shared" si="64"/>
        <v>0.2758767827480208</v>
      </c>
      <c r="AE25" s="150">
        <f t="shared" si="59"/>
        <v>6.8698101345625234E-2</v>
      </c>
      <c r="AF25" s="53" t="str">
        <f t="shared" si="65"/>
        <v>OK</v>
      </c>
      <c r="AG25" s="53" t="str">
        <f t="shared" si="66"/>
        <v>OK</v>
      </c>
      <c r="AH25" s="155" t="str">
        <f t="shared" si="67"/>
        <v>Central</v>
      </c>
      <c r="AI25" s="153">
        <f t="shared" si="68"/>
        <v>2.0499999999999998</v>
      </c>
      <c r="AJ25" s="153">
        <f t="shared" si="69"/>
        <v>2.0499999999999998</v>
      </c>
      <c r="AK25" s="152">
        <f t="shared" si="70"/>
        <v>0.58855449252524406</v>
      </c>
      <c r="AL25" s="150">
        <f t="shared" si="71"/>
        <v>7.4308536571285906</v>
      </c>
      <c r="AM25" s="150">
        <f t="shared" si="72"/>
        <v>29.840708256059337</v>
      </c>
      <c r="AN25" s="349" t="str">
        <f>Y25</f>
        <v>Z1</v>
      </c>
      <c r="AO25" s="153">
        <f t="shared" si="2"/>
        <v>915.92653014574648</v>
      </c>
      <c r="AP25" s="153">
        <f t="shared" si="3"/>
        <v>2897.999646289953</v>
      </c>
      <c r="AQ25" s="153">
        <f t="shared" si="4"/>
        <v>5360.9205221532384</v>
      </c>
      <c r="AR25" s="153">
        <f t="shared" si="5"/>
        <v>3437.823109814552</v>
      </c>
      <c r="AS25" s="53" t="str">
        <f t="shared" si="6"/>
        <v>OK</v>
      </c>
      <c r="AT25" s="153">
        <f t="shared" si="7"/>
        <v>0.6</v>
      </c>
      <c r="AU25" s="150">
        <f t="shared" si="8"/>
        <v>216.5157292682926</v>
      </c>
      <c r="AV25" s="153">
        <f t="shared" si="9"/>
        <v>299.79100975609742</v>
      </c>
      <c r="AW25" s="154">
        <f t="shared" si="10"/>
        <v>1452.2198227519655</v>
      </c>
      <c r="AX25" s="153">
        <f t="shared" si="11"/>
        <v>1452.2198227519655</v>
      </c>
      <c r="AY25" s="53" t="str">
        <f t="shared" si="12"/>
        <v>OK</v>
      </c>
      <c r="AZ25" s="349" t="str">
        <f>AN25</f>
        <v>Z1</v>
      </c>
      <c r="BA25" s="153">
        <f t="shared" si="13"/>
        <v>501.00514146341447</v>
      </c>
      <c r="BB25" s="153">
        <f t="shared" si="14"/>
        <v>492.60317850012177</v>
      </c>
      <c r="BC25" s="150">
        <f t="shared" si="15"/>
        <v>1.8E-3</v>
      </c>
      <c r="BD25" s="148">
        <f t="shared" si="16"/>
        <v>38.744999999999997</v>
      </c>
      <c r="BE25" s="144">
        <v>5</v>
      </c>
      <c r="BF25" s="144">
        <v>17</v>
      </c>
      <c r="BG25" s="155">
        <f t="shared" si="17"/>
        <v>33.83</v>
      </c>
      <c r="BH25" s="53" t="str">
        <f t="shared" si="18"/>
        <v>N/C</v>
      </c>
      <c r="BI25" s="148">
        <f t="shared" si="19"/>
        <v>0.23</v>
      </c>
      <c r="BJ25" s="155" t="str">
        <f t="shared" si="20"/>
        <v>17#5@20</v>
      </c>
      <c r="BK25" s="197">
        <f t="shared" si="21"/>
        <v>1.1452852497783033</v>
      </c>
      <c r="BL25" s="349" t="str">
        <f>AZ25</f>
        <v>Z1</v>
      </c>
      <c r="BM25" s="155">
        <f t="shared" si="22"/>
        <v>0</v>
      </c>
      <c r="BN25" s="153">
        <f t="shared" si="23"/>
        <v>0</v>
      </c>
      <c r="BO25" s="153">
        <f t="shared" si="24"/>
        <v>0</v>
      </c>
      <c r="BP25" s="153">
        <f t="shared" si="25"/>
        <v>9.2317499999999999</v>
      </c>
      <c r="BQ25" s="144">
        <v>10</v>
      </c>
      <c r="BR25" s="155" t="s">
        <v>191</v>
      </c>
      <c r="BS25" s="144">
        <v>6</v>
      </c>
      <c r="BT25" s="153">
        <f t="shared" si="26"/>
        <v>28.4</v>
      </c>
      <c r="BU25" s="153">
        <f t="shared" si="27"/>
        <v>1073.5199999999998</v>
      </c>
      <c r="BV25" s="53" t="str">
        <f t="shared" si="28"/>
        <v>OK</v>
      </c>
      <c r="BW25" s="122"/>
      <c r="BX25" s="349" t="str">
        <f>BL25</f>
        <v>Z1</v>
      </c>
      <c r="BY25" s="153">
        <f t="shared" si="29"/>
        <v>17.04</v>
      </c>
      <c r="BZ25" s="153">
        <f t="shared" si="30"/>
        <v>644.11199999999997</v>
      </c>
      <c r="CA25" s="155" t="str">
        <f t="shared" si="31"/>
        <v>OK</v>
      </c>
      <c r="CB25" s="153">
        <f t="shared" si="32"/>
        <v>54.162784057108858</v>
      </c>
      <c r="CC25" s="53" t="str">
        <f t="shared" si="33"/>
        <v>OK</v>
      </c>
      <c r="CE25" s="114"/>
      <c r="CF25" s="114"/>
      <c r="CG25" s="114"/>
      <c r="CH25" s="114"/>
      <c r="CI25" s="117"/>
      <c r="CJ25" s="349" t="str">
        <f>BX25</f>
        <v>Z1</v>
      </c>
      <c r="CK25" s="153">
        <f t="shared" si="34"/>
        <v>258.84994311857594</v>
      </c>
      <c r="CL25" s="153">
        <f t="shared" si="35"/>
        <v>0</v>
      </c>
      <c r="CM25" s="150">
        <f t="shared" si="36"/>
        <v>0</v>
      </c>
      <c r="CN25" s="150">
        <f t="shared" si="37"/>
        <v>0</v>
      </c>
      <c r="CO25" s="53" t="str">
        <f t="shared" si="38"/>
        <v>OK</v>
      </c>
      <c r="CP25" s="158">
        <f t="shared" si="39"/>
        <v>9.2317499999999999</v>
      </c>
      <c r="CQ25" s="144">
        <v>10</v>
      </c>
      <c r="CR25" s="155" t="s">
        <v>191</v>
      </c>
      <c r="CS25" s="144">
        <v>6</v>
      </c>
      <c r="CU25" s="117"/>
      <c r="CW25" s="349" t="str">
        <f>AZ25</f>
        <v>Z1</v>
      </c>
      <c r="CX25" s="111">
        <f t="shared" si="40"/>
        <v>288</v>
      </c>
      <c r="CY25" s="156">
        <f t="shared" si="41"/>
        <v>4.0999999999999996</v>
      </c>
      <c r="CZ25" s="156">
        <f t="shared" si="42"/>
        <v>4.0999999999999996</v>
      </c>
      <c r="DA25" s="140" t="str">
        <f t="shared" si="43"/>
        <v>17#5@20</v>
      </c>
      <c r="DB25" s="140" t="str">
        <f t="shared" si="44"/>
        <v>17#5@20</v>
      </c>
    </row>
    <row r="26" spans="1:106" ht="15" customHeight="1" x14ac:dyDescent="0.25">
      <c r="A26" s="123"/>
      <c r="B26" s="124"/>
      <c r="C26" s="188"/>
      <c r="D26" s="124"/>
      <c r="E26" s="124"/>
      <c r="F26" s="124"/>
      <c r="G26" s="124"/>
      <c r="H26" s="125"/>
      <c r="I26" s="124"/>
      <c r="J26" s="124"/>
      <c r="K26" s="124"/>
      <c r="L26" s="126"/>
      <c r="M26" s="350"/>
      <c r="N26" s="143">
        <v>288</v>
      </c>
      <c r="O26" s="144" t="s">
        <v>837</v>
      </c>
      <c r="P26" s="145">
        <v>-15.821300000000001</v>
      </c>
      <c r="Q26" s="145">
        <v>-7.5242000000000004</v>
      </c>
      <c r="R26" s="145">
        <v>198.51169999999999</v>
      </c>
      <c r="S26" s="145">
        <v>-45.685099999999998</v>
      </c>
      <c r="T26" s="145">
        <v>-112.7195</v>
      </c>
      <c r="U26" s="145">
        <v>0.6</v>
      </c>
      <c r="V26" s="146">
        <f t="shared" si="60"/>
        <v>0.52500000000000002</v>
      </c>
      <c r="W26" s="147">
        <f t="shared" si="61"/>
        <v>254.99999999999994</v>
      </c>
      <c r="X26" s="147">
        <f t="shared" si="62"/>
        <v>395.5139999999999</v>
      </c>
      <c r="Y26" s="350"/>
      <c r="Z26" s="148">
        <f t="shared" si="58"/>
        <v>2.4765232076762831</v>
      </c>
      <c r="AA26" s="149">
        <v>4.0999999999999996</v>
      </c>
      <c r="AB26" s="148">
        <f t="shared" si="63"/>
        <v>2.4765232076762831</v>
      </c>
      <c r="AC26" s="149">
        <v>4.0999999999999996</v>
      </c>
      <c r="AD26" s="150">
        <f t="shared" si="64"/>
        <v>-0.17003266214438506</v>
      </c>
      <c r="AE26" s="150">
        <f t="shared" si="59"/>
        <v>-7.1533170315103548E-2</v>
      </c>
      <c r="AF26" s="53" t="str">
        <f t="shared" si="65"/>
        <v>OK</v>
      </c>
      <c r="AG26" s="53" t="str">
        <f t="shared" si="66"/>
        <v>OK</v>
      </c>
      <c r="AH26" s="155" t="str">
        <f t="shared" si="67"/>
        <v>Central</v>
      </c>
      <c r="AI26" s="153">
        <f t="shared" si="68"/>
        <v>2.0499999999999998</v>
      </c>
      <c r="AJ26" s="153">
        <f t="shared" si="69"/>
        <v>2.0499999999999998</v>
      </c>
      <c r="AK26" s="152">
        <f t="shared" si="70"/>
        <v>0.49383159489084899</v>
      </c>
      <c r="AL26" s="150">
        <f t="shared" si="71"/>
        <v>-12.056507109552989</v>
      </c>
      <c r="AM26" s="150">
        <f t="shared" si="72"/>
        <v>-28.6580336223007</v>
      </c>
      <c r="AN26" s="350"/>
      <c r="AO26" s="153">
        <f t="shared" si="2"/>
        <v>854.10798501264117</v>
      </c>
      <c r="AP26" s="153">
        <f t="shared" si="3"/>
        <v>2897.999646289953</v>
      </c>
      <c r="AQ26" s="153">
        <f t="shared" si="4"/>
        <v>5360.9205221532384</v>
      </c>
      <c r="AR26" s="153">
        <f t="shared" si="5"/>
        <v>3437.823109814552</v>
      </c>
      <c r="AS26" s="53" t="str">
        <f t="shared" si="6"/>
        <v>OK</v>
      </c>
      <c r="AT26" s="153">
        <f t="shared" si="7"/>
        <v>0.6</v>
      </c>
      <c r="AU26" s="150">
        <f t="shared" si="8"/>
        <v>201.90245304878042</v>
      </c>
      <c r="AV26" s="153">
        <f t="shared" si="9"/>
        <v>279.5572426829267</v>
      </c>
      <c r="AW26" s="154">
        <f t="shared" si="10"/>
        <v>1452.2198227519655</v>
      </c>
      <c r="AX26" s="153">
        <f t="shared" si="11"/>
        <v>1452.2198227519655</v>
      </c>
      <c r="AY26" s="53" t="str">
        <f t="shared" si="12"/>
        <v>OK</v>
      </c>
      <c r="AZ26" s="350"/>
      <c r="BA26" s="153">
        <f t="shared" si="13"/>
        <v>88.602268902438908</v>
      </c>
      <c r="BB26" s="153">
        <f t="shared" si="14"/>
        <v>87.116389975912256</v>
      </c>
      <c r="BC26" s="150">
        <f t="shared" si="15"/>
        <v>1.8E-3</v>
      </c>
      <c r="BD26" s="148">
        <f t="shared" si="16"/>
        <v>38.744999999999997</v>
      </c>
      <c r="BE26" s="144">
        <v>5</v>
      </c>
      <c r="BF26" s="144">
        <v>17</v>
      </c>
      <c r="BG26" s="155">
        <f t="shared" si="17"/>
        <v>33.83</v>
      </c>
      <c r="BH26" s="53" t="str">
        <f t="shared" si="18"/>
        <v>N/C</v>
      </c>
      <c r="BI26" s="148">
        <f t="shared" si="19"/>
        <v>0.23</v>
      </c>
      <c r="BJ26" s="155" t="str">
        <f t="shared" si="20"/>
        <v>17#5@20</v>
      </c>
      <c r="BK26" s="197">
        <f t="shared" si="21"/>
        <v>1.1452852497783033</v>
      </c>
      <c r="BL26" s="350"/>
      <c r="BM26" s="155">
        <f t="shared" si="22"/>
        <v>0</v>
      </c>
      <c r="BN26" s="153">
        <f t="shared" si="23"/>
        <v>0</v>
      </c>
      <c r="BO26" s="153">
        <f t="shared" si="24"/>
        <v>0</v>
      </c>
      <c r="BP26" s="153">
        <f t="shared" si="25"/>
        <v>9.2317499999999999</v>
      </c>
      <c r="BQ26" s="144">
        <v>10</v>
      </c>
      <c r="BR26" s="155" t="s">
        <v>191</v>
      </c>
      <c r="BS26" s="144">
        <v>6</v>
      </c>
      <c r="BT26" s="153">
        <f t="shared" si="26"/>
        <v>28.4</v>
      </c>
      <c r="BU26" s="153">
        <f t="shared" si="27"/>
        <v>1073.5199999999998</v>
      </c>
      <c r="BV26" s="53" t="str">
        <f t="shared" si="28"/>
        <v>OK</v>
      </c>
      <c r="BW26" s="122"/>
      <c r="BX26" s="350"/>
      <c r="BY26" s="153">
        <f t="shared" si="29"/>
        <v>17.04</v>
      </c>
      <c r="BZ26" s="153">
        <f t="shared" si="30"/>
        <v>644.11199999999997</v>
      </c>
      <c r="CA26" s="155" t="str">
        <f t="shared" si="31"/>
        <v>OK</v>
      </c>
      <c r="CB26" s="153">
        <f t="shared" si="32"/>
        <v>50.507180249851274</v>
      </c>
      <c r="CC26" s="53" t="str">
        <f t="shared" si="33"/>
        <v>OK</v>
      </c>
      <c r="CE26" s="114"/>
      <c r="CF26" s="114"/>
      <c r="CG26" s="114"/>
      <c r="CH26" s="114"/>
      <c r="CI26" s="117"/>
      <c r="CJ26" s="350"/>
      <c r="CK26" s="153">
        <f t="shared" si="34"/>
        <v>156.61728492941</v>
      </c>
      <c r="CL26" s="153">
        <f t="shared" si="35"/>
        <v>0</v>
      </c>
      <c r="CM26" s="150">
        <f t="shared" si="36"/>
        <v>0</v>
      </c>
      <c r="CN26" s="150">
        <f t="shared" si="37"/>
        <v>0</v>
      </c>
      <c r="CO26" s="53" t="str">
        <f t="shared" si="38"/>
        <v>OK</v>
      </c>
      <c r="CP26" s="158">
        <f t="shared" si="39"/>
        <v>9.2317499999999999</v>
      </c>
      <c r="CQ26" s="144">
        <v>10</v>
      </c>
      <c r="CR26" s="155" t="s">
        <v>191</v>
      </c>
      <c r="CS26" s="144">
        <v>6</v>
      </c>
      <c r="CU26" s="117"/>
      <c r="CW26" s="350"/>
      <c r="CX26" s="111">
        <f t="shared" si="40"/>
        <v>288</v>
      </c>
      <c r="CY26" s="156">
        <f t="shared" si="41"/>
        <v>4.0999999999999996</v>
      </c>
      <c r="CZ26" s="156">
        <f t="shared" si="42"/>
        <v>4.0999999999999996</v>
      </c>
      <c r="DA26" s="140" t="str">
        <f t="shared" si="43"/>
        <v>17#5@20</v>
      </c>
      <c r="DB26" s="140" t="str">
        <f t="shared" si="44"/>
        <v>17#5@20</v>
      </c>
    </row>
    <row r="27" spans="1:106" ht="15" customHeight="1" x14ac:dyDescent="0.25">
      <c r="A27" s="123"/>
      <c r="B27" s="124"/>
      <c r="C27" s="188"/>
      <c r="D27" s="124"/>
      <c r="E27" s="124"/>
      <c r="F27" s="124"/>
      <c r="G27" s="124"/>
      <c r="H27" s="125"/>
      <c r="I27" s="124"/>
      <c r="J27" s="124"/>
      <c r="K27" s="124"/>
      <c r="L27" s="126"/>
      <c r="M27" s="349">
        <f>Y27</f>
        <v>0</v>
      </c>
      <c r="N27" s="143"/>
      <c r="O27" s="144"/>
      <c r="P27" s="145"/>
      <c r="Q27" s="145"/>
      <c r="R27" s="145"/>
      <c r="S27" s="145"/>
      <c r="T27" s="145"/>
      <c r="U27" s="145"/>
      <c r="V27" s="146"/>
      <c r="W27" s="147"/>
      <c r="X27" s="147"/>
      <c r="Y27" s="349"/>
      <c r="Z27" s="148"/>
      <c r="AA27" s="149"/>
      <c r="AB27" s="148"/>
      <c r="AC27" s="149"/>
      <c r="AD27" s="150"/>
      <c r="AE27" s="150"/>
      <c r="AF27" s="53"/>
      <c r="AG27" s="53"/>
      <c r="AH27" s="155"/>
      <c r="AI27" s="153"/>
      <c r="AJ27" s="153"/>
      <c r="AK27" s="152"/>
      <c r="AL27" s="150"/>
      <c r="AM27" s="150"/>
      <c r="AN27" s="349">
        <f>Y27</f>
        <v>0</v>
      </c>
      <c r="AO27" s="153" t="e">
        <f t="shared" si="2"/>
        <v>#DIV/0!</v>
      </c>
      <c r="AP27" s="153" t="e">
        <f t="shared" si="3"/>
        <v>#DIV/0!</v>
      </c>
      <c r="AQ27" s="153" t="e">
        <f t="shared" si="4"/>
        <v>#DIV/0!</v>
      </c>
      <c r="AR27" s="153">
        <f t="shared" si="5"/>
        <v>0</v>
      </c>
      <c r="AS27" s="53" t="e">
        <f t="shared" si="6"/>
        <v>#DIV/0!</v>
      </c>
      <c r="AT27" s="153" t="e">
        <f t="shared" si="7"/>
        <v>#DIV/0!</v>
      </c>
      <c r="AU27" s="150" t="e">
        <f t="shared" si="8"/>
        <v>#DIV/0!</v>
      </c>
      <c r="AV27" s="153" t="e">
        <f t="shared" si="9"/>
        <v>#DIV/0!</v>
      </c>
      <c r="AW27" s="154">
        <f t="shared" si="10"/>
        <v>0</v>
      </c>
      <c r="AX27" s="153">
        <f t="shared" si="11"/>
        <v>0</v>
      </c>
      <c r="AY27" s="53" t="e">
        <f t="shared" si="12"/>
        <v>#DIV/0!</v>
      </c>
      <c r="AZ27" s="349">
        <f>AN27</f>
        <v>0</v>
      </c>
      <c r="BA27" s="153" t="e">
        <f t="shared" si="13"/>
        <v>#DIV/0!</v>
      </c>
      <c r="BB27" s="153" t="e">
        <f t="shared" si="14"/>
        <v>#DIV/0!</v>
      </c>
      <c r="BC27" s="150" t="e">
        <f t="shared" si="15"/>
        <v>#DIV/0!</v>
      </c>
      <c r="BD27" s="148" t="e">
        <f t="shared" si="16"/>
        <v>#DIV/0!</v>
      </c>
      <c r="BE27" s="144">
        <v>5</v>
      </c>
      <c r="BF27" s="144">
        <v>18</v>
      </c>
      <c r="BG27" s="155">
        <f t="shared" si="17"/>
        <v>35.82</v>
      </c>
      <c r="BH27" s="53" t="e">
        <f t="shared" si="18"/>
        <v>#DIV/0!</v>
      </c>
      <c r="BI27" s="148">
        <f t="shared" si="19"/>
        <v>-0.01</v>
      </c>
      <c r="BJ27" s="155" t="str">
        <f t="shared" si="20"/>
        <v>18#5@0</v>
      </c>
      <c r="BK27" s="197" t="e">
        <f t="shared" si="21"/>
        <v>#DIV/0!</v>
      </c>
      <c r="BL27" s="349">
        <f>AZ27</f>
        <v>0</v>
      </c>
      <c r="BM27" s="155">
        <f t="shared" si="22"/>
        <v>-0.27500000000000002</v>
      </c>
      <c r="BN27" s="153">
        <f t="shared" si="23"/>
        <v>0</v>
      </c>
      <c r="BO27" s="153">
        <f t="shared" si="24"/>
        <v>0</v>
      </c>
      <c r="BP27" s="153">
        <f t="shared" si="25"/>
        <v>9.2317499999999999</v>
      </c>
      <c r="BQ27" s="144">
        <v>10</v>
      </c>
      <c r="BR27" s="155" t="s">
        <v>191</v>
      </c>
      <c r="BS27" s="144">
        <v>6</v>
      </c>
      <c r="BT27" s="153">
        <f t="shared" si="26"/>
        <v>28.4</v>
      </c>
      <c r="BU27" s="153">
        <f t="shared" si="27"/>
        <v>1073.5199999999998</v>
      </c>
      <c r="BV27" s="53" t="str">
        <f t="shared" si="28"/>
        <v>OK</v>
      </c>
      <c r="BW27" s="122"/>
      <c r="BX27" s="349">
        <f>BL27</f>
        <v>0</v>
      </c>
      <c r="BY27" s="153">
        <f t="shared" si="29"/>
        <v>17.04</v>
      </c>
      <c r="BZ27" s="153">
        <f t="shared" si="30"/>
        <v>644.11199999999997</v>
      </c>
      <c r="CA27" s="155" t="e">
        <f t="shared" si="31"/>
        <v>#DIV/0!</v>
      </c>
      <c r="CB27" s="153" t="e">
        <f t="shared" si="32"/>
        <v>#DIV/0!</v>
      </c>
      <c r="CC27" s="53" t="e">
        <f t="shared" si="33"/>
        <v>#DIV/0!</v>
      </c>
      <c r="CE27" s="114"/>
      <c r="CF27" s="114"/>
      <c r="CG27" s="114"/>
      <c r="CH27" s="114"/>
      <c r="CI27" s="117"/>
      <c r="CJ27" s="349">
        <f>BX27</f>
        <v>0</v>
      </c>
      <c r="CK27" s="153">
        <f t="shared" si="34"/>
        <v>0</v>
      </c>
      <c r="CL27" s="153" t="e">
        <f t="shared" si="35"/>
        <v>#DIV/0!</v>
      </c>
      <c r="CM27" s="150">
        <f t="shared" si="36"/>
        <v>0</v>
      </c>
      <c r="CN27" s="150">
        <f t="shared" si="37"/>
        <v>0</v>
      </c>
      <c r="CO27" s="53" t="str">
        <f t="shared" si="38"/>
        <v>OK</v>
      </c>
      <c r="CP27" s="158">
        <f t="shared" si="39"/>
        <v>9.2317499999999999</v>
      </c>
      <c r="CQ27" s="144">
        <v>10</v>
      </c>
      <c r="CR27" s="155" t="s">
        <v>191</v>
      </c>
      <c r="CS27" s="144">
        <v>6</v>
      </c>
      <c r="CU27" s="117"/>
      <c r="CW27" s="349">
        <f>AZ27</f>
        <v>0</v>
      </c>
      <c r="CX27" s="111">
        <f t="shared" si="40"/>
        <v>0</v>
      </c>
      <c r="CY27" s="156">
        <f t="shared" si="41"/>
        <v>0</v>
      </c>
      <c r="CZ27" s="156">
        <f t="shared" si="42"/>
        <v>0</v>
      </c>
      <c r="DA27" s="140" t="str">
        <f t="shared" si="43"/>
        <v>18#5@0</v>
      </c>
      <c r="DB27" s="140" t="str">
        <f t="shared" si="44"/>
        <v>18#5@0</v>
      </c>
    </row>
    <row r="28" spans="1:106" ht="15" customHeight="1" x14ac:dyDescent="0.25">
      <c r="A28" s="123"/>
      <c r="B28" s="124"/>
      <c r="C28" s="188"/>
      <c r="D28" s="124"/>
      <c r="E28" s="124"/>
      <c r="F28" s="124"/>
      <c r="G28" s="124"/>
      <c r="H28" s="125"/>
      <c r="I28" s="124"/>
      <c r="J28" s="124"/>
      <c r="K28" s="124"/>
      <c r="L28" s="126"/>
      <c r="M28" s="350"/>
      <c r="N28" s="143"/>
      <c r="O28" s="144"/>
      <c r="P28" s="145"/>
      <c r="Q28" s="145"/>
      <c r="R28" s="145"/>
      <c r="S28" s="145"/>
      <c r="T28" s="145"/>
      <c r="U28" s="145"/>
      <c r="V28" s="146"/>
      <c r="W28" s="147"/>
      <c r="X28" s="147"/>
      <c r="Y28" s="350"/>
      <c r="Z28" s="148"/>
      <c r="AA28" s="149"/>
      <c r="AB28" s="148"/>
      <c r="AC28" s="149"/>
      <c r="AD28" s="150"/>
      <c r="AE28" s="150"/>
      <c r="AF28" s="53"/>
      <c r="AG28" s="53"/>
      <c r="AH28" s="155"/>
      <c r="AI28" s="153"/>
      <c r="AJ28" s="153"/>
      <c r="AK28" s="152"/>
      <c r="AL28" s="150"/>
      <c r="AM28" s="150"/>
      <c r="AN28" s="350"/>
      <c r="AO28" s="153" t="e">
        <f t="shared" si="2"/>
        <v>#DIV/0!</v>
      </c>
      <c r="AP28" s="153" t="e">
        <f t="shared" si="3"/>
        <v>#DIV/0!</v>
      </c>
      <c r="AQ28" s="153" t="e">
        <f t="shared" si="4"/>
        <v>#DIV/0!</v>
      </c>
      <c r="AR28" s="153">
        <f t="shared" si="5"/>
        <v>0</v>
      </c>
      <c r="AS28" s="53" t="e">
        <f t="shared" si="6"/>
        <v>#DIV/0!</v>
      </c>
      <c r="AT28" s="153" t="e">
        <f t="shared" si="7"/>
        <v>#DIV/0!</v>
      </c>
      <c r="AU28" s="150" t="e">
        <f t="shared" si="8"/>
        <v>#DIV/0!</v>
      </c>
      <c r="AV28" s="153" t="e">
        <f t="shared" si="9"/>
        <v>#DIV/0!</v>
      </c>
      <c r="AW28" s="154">
        <f t="shared" si="10"/>
        <v>0</v>
      </c>
      <c r="AX28" s="153">
        <f t="shared" si="11"/>
        <v>0</v>
      </c>
      <c r="AY28" s="53" t="e">
        <f t="shared" si="12"/>
        <v>#DIV/0!</v>
      </c>
      <c r="AZ28" s="350"/>
      <c r="BA28" s="153" t="e">
        <f t="shared" si="13"/>
        <v>#DIV/0!</v>
      </c>
      <c r="BB28" s="153" t="e">
        <f t="shared" si="14"/>
        <v>#DIV/0!</v>
      </c>
      <c r="BC28" s="150" t="e">
        <f t="shared" si="15"/>
        <v>#DIV/0!</v>
      </c>
      <c r="BD28" s="148" t="e">
        <f t="shared" si="16"/>
        <v>#DIV/0!</v>
      </c>
      <c r="BE28" s="144">
        <v>5</v>
      </c>
      <c r="BF28" s="144">
        <v>18</v>
      </c>
      <c r="BG28" s="155">
        <f t="shared" si="17"/>
        <v>35.82</v>
      </c>
      <c r="BH28" s="53" t="e">
        <f t="shared" si="18"/>
        <v>#DIV/0!</v>
      </c>
      <c r="BI28" s="148">
        <f t="shared" si="19"/>
        <v>-0.01</v>
      </c>
      <c r="BJ28" s="155" t="str">
        <f t="shared" si="20"/>
        <v>18#5@0</v>
      </c>
      <c r="BK28" s="197" t="e">
        <f t="shared" si="21"/>
        <v>#DIV/0!</v>
      </c>
      <c r="BL28" s="350"/>
      <c r="BM28" s="155">
        <f t="shared" si="22"/>
        <v>-0.27500000000000002</v>
      </c>
      <c r="BN28" s="153">
        <f t="shared" si="23"/>
        <v>0</v>
      </c>
      <c r="BO28" s="153">
        <f t="shared" si="24"/>
        <v>0</v>
      </c>
      <c r="BP28" s="153">
        <f t="shared" si="25"/>
        <v>9.2317499999999999</v>
      </c>
      <c r="BQ28" s="144">
        <v>10</v>
      </c>
      <c r="BR28" s="155" t="s">
        <v>191</v>
      </c>
      <c r="BS28" s="144">
        <v>6</v>
      </c>
      <c r="BT28" s="153">
        <f t="shared" si="26"/>
        <v>28.4</v>
      </c>
      <c r="BU28" s="153">
        <f t="shared" si="27"/>
        <v>1073.5199999999998</v>
      </c>
      <c r="BV28" s="53" t="str">
        <f t="shared" si="28"/>
        <v>OK</v>
      </c>
      <c r="BW28" s="122"/>
      <c r="BX28" s="350"/>
      <c r="BY28" s="153">
        <f t="shared" si="29"/>
        <v>17.04</v>
      </c>
      <c r="BZ28" s="153">
        <f t="shared" si="30"/>
        <v>644.11199999999997</v>
      </c>
      <c r="CA28" s="155" t="e">
        <f t="shared" si="31"/>
        <v>#DIV/0!</v>
      </c>
      <c r="CB28" s="153" t="e">
        <f t="shared" si="32"/>
        <v>#DIV/0!</v>
      </c>
      <c r="CC28" s="53" t="e">
        <f t="shared" si="33"/>
        <v>#DIV/0!</v>
      </c>
      <c r="CE28" s="114"/>
      <c r="CF28" s="114"/>
      <c r="CG28" s="114"/>
      <c r="CH28" s="114"/>
      <c r="CI28" s="117"/>
      <c r="CJ28" s="350"/>
      <c r="CK28" s="153">
        <f t="shared" si="34"/>
        <v>0</v>
      </c>
      <c r="CL28" s="153" t="e">
        <f t="shared" si="35"/>
        <v>#DIV/0!</v>
      </c>
      <c r="CM28" s="150">
        <f t="shared" si="36"/>
        <v>0</v>
      </c>
      <c r="CN28" s="150">
        <f t="shared" si="37"/>
        <v>0</v>
      </c>
      <c r="CO28" s="53" t="str">
        <f t="shared" si="38"/>
        <v>OK</v>
      </c>
      <c r="CP28" s="158">
        <f t="shared" si="39"/>
        <v>9.2317499999999999</v>
      </c>
      <c r="CQ28" s="144">
        <v>10</v>
      </c>
      <c r="CR28" s="155" t="s">
        <v>191</v>
      </c>
      <c r="CS28" s="144">
        <v>6</v>
      </c>
      <c r="CU28" s="117"/>
      <c r="CW28" s="350"/>
      <c r="CX28" s="111">
        <f t="shared" si="40"/>
        <v>0</v>
      </c>
      <c r="CY28" s="156">
        <f t="shared" si="41"/>
        <v>0</v>
      </c>
      <c r="CZ28" s="156">
        <f t="shared" si="42"/>
        <v>0</v>
      </c>
      <c r="DA28" s="140" t="str">
        <f t="shared" si="43"/>
        <v>18#5@0</v>
      </c>
      <c r="DB28" s="140" t="str">
        <f t="shared" si="44"/>
        <v>18#5@0</v>
      </c>
    </row>
    <row r="29" spans="1:106" ht="15" customHeight="1" x14ac:dyDescent="0.25">
      <c r="A29" s="123"/>
      <c r="B29" s="124"/>
      <c r="C29" s="188"/>
      <c r="D29" s="124"/>
      <c r="E29" s="124"/>
      <c r="F29" s="124"/>
      <c r="G29" s="124"/>
      <c r="H29" s="125"/>
      <c r="I29" s="124"/>
      <c r="J29" s="124"/>
      <c r="K29" s="124"/>
      <c r="L29" s="126"/>
      <c r="M29" s="349">
        <f>Y29</f>
        <v>0</v>
      </c>
      <c r="N29" s="143"/>
      <c r="O29" s="144"/>
      <c r="P29" s="145"/>
      <c r="Q29" s="145"/>
      <c r="R29" s="145"/>
      <c r="S29" s="145"/>
      <c r="T29" s="145"/>
      <c r="U29" s="145"/>
      <c r="V29" s="146"/>
      <c r="W29" s="147"/>
      <c r="X29" s="147"/>
      <c r="Y29" s="349"/>
      <c r="Z29" s="148"/>
      <c r="AA29" s="149"/>
      <c r="AB29" s="148"/>
      <c r="AC29" s="149"/>
      <c r="AD29" s="150"/>
      <c r="AE29" s="150"/>
      <c r="AF29" s="53"/>
      <c r="AG29" s="53"/>
      <c r="AH29" s="155"/>
      <c r="AI29" s="153"/>
      <c r="AJ29" s="153"/>
      <c r="AK29" s="152"/>
      <c r="AL29" s="150"/>
      <c r="AM29" s="150"/>
      <c r="AN29" s="349">
        <f>Y29</f>
        <v>0</v>
      </c>
      <c r="AO29" s="153" t="e">
        <f t="shared" si="2"/>
        <v>#DIV/0!</v>
      </c>
      <c r="AP29" s="153" t="e">
        <f t="shared" si="3"/>
        <v>#DIV/0!</v>
      </c>
      <c r="AQ29" s="153" t="e">
        <f t="shared" si="4"/>
        <v>#DIV/0!</v>
      </c>
      <c r="AR29" s="153">
        <f t="shared" si="5"/>
        <v>0</v>
      </c>
      <c r="AS29" s="53" t="e">
        <f t="shared" si="6"/>
        <v>#DIV/0!</v>
      </c>
      <c r="AT29" s="153" t="e">
        <f t="shared" si="7"/>
        <v>#DIV/0!</v>
      </c>
      <c r="AU29" s="150" t="e">
        <f t="shared" si="8"/>
        <v>#DIV/0!</v>
      </c>
      <c r="AV29" s="153" t="e">
        <f t="shared" si="9"/>
        <v>#DIV/0!</v>
      </c>
      <c r="AW29" s="154">
        <f t="shared" si="10"/>
        <v>0</v>
      </c>
      <c r="AX29" s="153">
        <f t="shared" si="11"/>
        <v>0</v>
      </c>
      <c r="AY29" s="53" t="e">
        <f t="shared" si="12"/>
        <v>#DIV/0!</v>
      </c>
      <c r="AZ29" s="349">
        <f>AN29</f>
        <v>0</v>
      </c>
      <c r="BA29" s="153" t="e">
        <f t="shared" si="13"/>
        <v>#DIV/0!</v>
      </c>
      <c r="BB29" s="153" t="e">
        <f t="shared" si="14"/>
        <v>#DIV/0!</v>
      </c>
      <c r="BC29" s="150" t="e">
        <f t="shared" si="15"/>
        <v>#DIV/0!</v>
      </c>
      <c r="BD29" s="148" t="e">
        <f t="shared" si="16"/>
        <v>#DIV/0!</v>
      </c>
      <c r="BE29" s="144">
        <v>5</v>
      </c>
      <c r="BF29" s="144">
        <v>17</v>
      </c>
      <c r="BG29" s="155">
        <f t="shared" si="17"/>
        <v>33.83</v>
      </c>
      <c r="BH29" s="53" t="e">
        <f t="shared" si="18"/>
        <v>#DIV/0!</v>
      </c>
      <c r="BI29" s="148">
        <f t="shared" si="19"/>
        <v>-0.01</v>
      </c>
      <c r="BJ29" s="155" t="str">
        <f t="shared" si="20"/>
        <v>17#5@0</v>
      </c>
      <c r="BK29" s="197" t="e">
        <f t="shared" si="21"/>
        <v>#DIV/0!</v>
      </c>
      <c r="BL29" s="349">
        <f>AZ29</f>
        <v>0</v>
      </c>
      <c r="BM29" s="155">
        <f t="shared" si="22"/>
        <v>-0.27500000000000002</v>
      </c>
      <c r="BN29" s="153">
        <f t="shared" si="23"/>
        <v>0</v>
      </c>
      <c r="BO29" s="153">
        <f t="shared" si="24"/>
        <v>0</v>
      </c>
      <c r="BP29" s="153">
        <f t="shared" si="25"/>
        <v>9.2317499999999999</v>
      </c>
      <c r="BQ29" s="144">
        <v>10</v>
      </c>
      <c r="BR29" s="155" t="s">
        <v>191</v>
      </c>
      <c r="BS29" s="144">
        <v>6</v>
      </c>
      <c r="BT29" s="153">
        <f t="shared" si="26"/>
        <v>28.4</v>
      </c>
      <c r="BU29" s="153">
        <f t="shared" si="27"/>
        <v>1073.5199999999998</v>
      </c>
      <c r="BV29" s="53" t="str">
        <f t="shared" si="28"/>
        <v>OK</v>
      </c>
      <c r="BW29" s="122"/>
      <c r="BX29" s="349">
        <f>BL29</f>
        <v>0</v>
      </c>
      <c r="BY29" s="153">
        <f t="shared" si="29"/>
        <v>17.04</v>
      </c>
      <c r="BZ29" s="153">
        <f t="shared" si="30"/>
        <v>644.11199999999997</v>
      </c>
      <c r="CA29" s="155" t="e">
        <f t="shared" si="31"/>
        <v>#DIV/0!</v>
      </c>
      <c r="CB29" s="153" t="e">
        <f t="shared" si="32"/>
        <v>#DIV/0!</v>
      </c>
      <c r="CC29" s="53" t="e">
        <f t="shared" si="33"/>
        <v>#DIV/0!</v>
      </c>
      <c r="CE29" s="114"/>
      <c r="CF29" s="114"/>
      <c r="CG29" s="114"/>
      <c r="CH29" s="114"/>
      <c r="CI29" s="117"/>
      <c r="CJ29" s="349">
        <f>BX29</f>
        <v>0</v>
      </c>
      <c r="CK29" s="153">
        <f t="shared" si="34"/>
        <v>0</v>
      </c>
      <c r="CL29" s="153" t="e">
        <f t="shared" si="35"/>
        <v>#DIV/0!</v>
      </c>
      <c r="CM29" s="150">
        <f t="shared" si="36"/>
        <v>0</v>
      </c>
      <c r="CN29" s="150">
        <f t="shared" si="37"/>
        <v>0</v>
      </c>
      <c r="CO29" s="53" t="str">
        <f t="shared" si="38"/>
        <v>OK</v>
      </c>
      <c r="CP29" s="158">
        <f t="shared" si="39"/>
        <v>9.2317499999999999</v>
      </c>
      <c r="CQ29" s="144">
        <v>10</v>
      </c>
      <c r="CR29" s="155" t="s">
        <v>191</v>
      </c>
      <c r="CS29" s="144">
        <v>6</v>
      </c>
      <c r="CU29" s="117"/>
      <c r="CW29" s="349">
        <f>AZ29</f>
        <v>0</v>
      </c>
      <c r="CX29" s="111">
        <f t="shared" si="40"/>
        <v>0</v>
      </c>
      <c r="CY29" s="156">
        <f t="shared" si="41"/>
        <v>0</v>
      </c>
      <c r="CZ29" s="156">
        <f t="shared" si="42"/>
        <v>0</v>
      </c>
      <c r="DA29" s="140" t="str">
        <f t="shared" si="43"/>
        <v>17#5@0</v>
      </c>
      <c r="DB29" s="140" t="str">
        <f t="shared" si="44"/>
        <v>17#5@0</v>
      </c>
    </row>
    <row r="30" spans="1:106" ht="15" customHeight="1" x14ac:dyDescent="0.25">
      <c r="A30" s="123"/>
      <c r="B30" s="124"/>
      <c r="C30" s="188"/>
      <c r="D30" s="124"/>
      <c r="E30" s="124"/>
      <c r="F30" s="124"/>
      <c r="G30" s="124"/>
      <c r="H30" s="125"/>
      <c r="I30" s="124"/>
      <c r="J30" s="124"/>
      <c r="K30" s="124"/>
      <c r="L30" s="126"/>
      <c r="M30" s="350"/>
      <c r="N30" s="143"/>
      <c r="O30" s="144"/>
      <c r="P30" s="145"/>
      <c r="Q30" s="145"/>
      <c r="R30" s="145"/>
      <c r="S30" s="145"/>
      <c r="T30" s="145"/>
      <c r="U30" s="145"/>
      <c r="V30" s="146"/>
      <c r="W30" s="147"/>
      <c r="X30" s="147"/>
      <c r="Y30" s="350"/>
      <c r="Z30" s="148"/>
      <c r="AA30" s="149"/>
      <c r="AB30" s="148"/>
      <c r="AC30" s="149"/>
      <c r="AD30" s="150"/>
      <c r="AE30" s="150"/>
      <c r="AF30" s="53"/>
      <c r="AG30" s="53"/>
      <c r="AH30" s="155"/>
      <c r="AI30" s="153"/>
      <c r="AJ30" s="153"/>
      <c r="AK30" s="152"/>
      <c r="AL30" s="150"/>
      <c r="AM30" s="150"/>
      <c r="AN30" s="350"/>
      <c r="AO30" s="153" t="e">
        <f t="shared" si="2"/>
        <v>#DIV/0!</v>
      </c>
      <c r="AP30" s="153" t="e">
        <f t="shared" si="3"/>
        <v>#DIV/0!</v>
      </c>
      <c r="AQ30" s="153" t="e">
        <f t="shared" si="4"/>
        <v>#DIV/0!</v>
      </c>
      <c r="AR30" s="153">
        <f t="shared" si="5"/>
        <v>0</v>
      </c>
      <c r="AS30" s="53" t="e">
        <f t="shared" si="6"/>
        <v>#DIV/0!</v>
      </c>
      <c r="AT30" s="153" t="e">
        <f t="shared" si="7"/>
        <v>#DIV/0!</v>
      </c>
      <c r="AU30" s="150" t="e">
        <f t="shared" si="8"/>
        <v>#DIV/0!</v>
      </c>
      <c r="AV30" s="153" t="e">
        <f t="shared" si="9"/>
        <v>#DIV/0!</v>
      </c>
      <c r="AW30" s="154">
        <f t="shared" si="10"/>
        <v>0</v>
      </c>
      <c r="AX30" s="153">
        <f t="shared" si="11"/>
        <v>0</v>
      </c>
      <c r="AY30" s="53" t="e">
        <f t="shared" si="12"/>
        <v>#DIV/0!</v>
      </c>
      <c r="AZ30" s="350"/>
      <c r="BA30" s="153" t="e">
        <f t="shared" si="13"/>
        <v>#DIV/0!</v>
      </c>
      <c r="BB30" s="153" t="e">
        <f t="shared" si="14"/>
        <v>#DIV/0!</v>
      </c>
      <c r="BC30" s="150" t="e">
        <f t="shared" si="15"/>
        <v>#DIV/0!</v>
      </c>
      <c r="BD30" s="148" t="e">
        <f t="shared" si="16"/>
        <v>#DIV/0!</v>
      </c>
      <c r="BE30" s="144">
        <v>5</v>
      </c>
      <c r="BF30" s="144">
        <v>17</v>
      </c>
      <c r="BG30" s="155">
        <f t="shared" si="17"/>
        <v>33.83</v>
      </c>
      <c r="BH30" s="53" t="e">
        <f t="shared" si="18"/>
        <v>#DIV/0!</v>
      </c>
      <c r="BI30" s="148">
        <f t="shared" si="19"/>
        <v>-0.01</v>
      </c>
      <c r="BJ30" s="155" t="str">
        <f t="shared" si="20"/>
        <v>17#5@0</v>
      </c>
      <c r="BK30" s="197" t="e">
        <f t="shared" si="21"/>
        <v>#DIV/0!</v>
      </c>
      <c r="BL30" s="350"/>
      <c r="BM30" s="155">
        <f t="shared" si="22"/>
        <v>-0.27500000000000002</v>
      </c>
      <c r="BN30" s="153">
        <f t="shared" si="23"/>
        <v>0</v>
      </c>
      <c r="BO30" s="153">
        <f t="shared" si="24"/>
        <v>0</v>
      </c>
      <c r="BP30" s="153">
        <f t="shared" si="25"/>
        <v>9.2317499999999999</v>
      </c>
      <c r="BQ30" s="144">
        <v>10</v>
      </c>
      <c r="BR30" s="155" t="s">
        <v>191</v>
      </c>
      <c r="BS30" s="144">
        <v>6</v>
      </c>
      <c r="BT30" s="153">
        <f t="shared" si="26"/>
        <v>28.4</v>
      </c>
      <c r="BU30" s="153">
        <f t="shared" si="27"/>
        <v>1073.5199999999998</v>
      </c>
      <c r="BV30" s="53" t="str">
        <f t="shared" si="28"/>
        <v>OK</v>
      </c>
      <c r="BW30" s="122"/>
      <c r="BX30" s="350"/>
      <c r="BY30" s="153">
        <f t="shared" si="29"/>
        <v>17.04</v>
      </c>
      <c r="BZ30" s="153">
        <f t="shared" si="30"/>
        <v>644.11199999999997</v>
      </c>
      <c r="CA30" s="155" t="e">
        <f t="shared" si="31"/>
        <v>#DIV/0!</v>
      </c>
      <c r="CB30" s="153" t="e">
        <f t="shared" si="32"/>
        <v>#DIV/0!</v>
      </c>
      <c r="CC30" s="53" t="e">
        <f t="shared" si="33"/>
        <v>#DIV/0!</v>
      </c>
      <c r="CE30" s="114"/>
      <c r="CF30" s="114"/>
      <c r="CG30" s="114"/>
      <c r="CH30" s="114"/>
      <c r="CI30" s="117"/>
      <c r="CJ30" s="350"/>
      <c r="CK30" s="153">
        <f t="shared" si="34"/>
        <v>0</v>
      </c>
      <c r="CL30" s="153" t="e">
        <f t="shared" si="35"/>
        <v>#DIV/0!</v>
      </c>
      <c r="CM30" s="150">
        <f t="shared" si="36"/>
        <v>0</v>
      </c>
      <c r="CN30" s="150">
        <f t="shared" si="37"/>
        <v>0</v>
      </c>
      <c r="CO30" s="53" t="str">
        <f t="shared" si="38"/>
        <v>OK</v>
      </c>
      <c r="CP30" s="158">
        <f t="shared" si="39"/>
        <v>9.2317499999999999</v>
      </c>
      <c r="CQ30" s="144">
        <v>10</v>
      </c>
      <c r="CR30" s="155" t="s">
        <v>191</v>
      </c>
      <c r="CS30" s="144">
        <v>6</v>
      </c>
      <c r="CU30" s="117"/>
      <c r="CW30" s="350"/>
      <c r="CX30" s="111">
        <f t="shared" si="40"/>
        <v>0</v>
      </c>
      <c r="CY30" s="156">
        <f t="shared" si="41"/>
        <v>0</v>
      </c>
      <c r="CZ30" s="156">
        <f t="shared" si="42"/>
        <v>0</v>
      </c>
      <c r="DA30" s="140" t="str">
        <f t="shared" si="43"/>
        <v>17#5@0</v>
      </c>
      <c r="DB30" s="140" t="str">
        <f t="shared" si="44"/>
        <v>17#5@0</v>
      </c>
    </row>
    <row r="31" spans="1:106" ht="15" customHeight="1" x14ac:dyDescent="0.25">
      <c r="A31" s="123"/>
      <c r="B31" s="124"/>
      <c r="C31" s="188"/>
      <c r="D31" s="124"/>
      <c r="E31" s="124"/>
      <c r="F31" s="124"/>
      <c r="G31" s="124"/>
      <c r="H31" s="125"/>
      <c r="I31" s="124"/>
      <c r="J31" s="124"/>
      <c r="K31" s="124"/>
      <c r="L31" s="126"/>
      <c r="M31" s="349">
        <f>Y31</f>
        <v>0</v>
      </c>
      <c r="N31" s="143"/>
      <c r="O31" s="144"/>
      <c r="P31" s="145"/>
      <c r="Q31" s="145"/>
      <c r="R31" s="145"/>
      <c r="S31" s="145"/>
      <c r="T31" s="145"/>
      <c r="U31" s="145"/>
      <c r="V31" s="146"/>
      <c r="W31" s="147"/>
      <c r="X31" s="147"/>
      <c r="Y31" s="349"/>
      <c r="Z31" s="148"/>
      <c r="AA31" s="149"/>
      <c r="AB31" s="148"/>
      <c r="AC31" s="149"/>
      <c r="AD31" s="150"/>
      <c r="AE31" s="150"/>
      <c r="AF31" s="53"/>
      <c r="AG31" s="53"/>
      <c r="AH31" s="155"/>
      <c r="AI31" s="153"/>
      <c r="AJ31" s="153"/>
      <c r="AK31" s="152"/>
      <c r="AL31" s="150"/>
      <c r="AM31" s="150"/>
      <c r="AN31" s="349">
        <f>Y31</f>
        <v>0</v>
      </c>
      <c r="AO31" s="153" t="e">
        <f t="shared" si="2"/>
        <v>#DIV/0!</v>
      </c>
      <c r="AP31" s="153" t="e">
        <f t="shared" si="3"/>
        <v>#DIV/0!</v>
      </c>
      <c r="AQ31" s="153" t="e">
        <f t="shared" si="4"/>
        <v>#DIV/0!</v>
      </c>
      <c r="AR31" s="153">
        <f t="shared" si="5"/>
        <v>0</v>
      </c>
      <c r="AS31" s="53" t="e">
        <f t="shared" si="6"/>
        <v>#DIV/0!</v>
      </c>
      <c r="AT31" s="153" t="e">
        <f t="shared" si="7"/>
        <v>#DIV/0!</v>
      </c>
      <c r="AU31" s="150" t="e">
        <f t="shared" si="8"/>
        <v>#DIV/0!</v>
      </c>
      <c r="AV31" s="153" t="e">
        <f t="shared" si="9"/>
        <v>#DIV/0!</v>
      </c>
      <c r="AW31" s="154">
        <f t="shared" si="10"/>
        <v>0</v>
      </c>
      <c r="AX31" s="153">
        <f t="shared" si="11"/>
        <v>0</v>
      </c>
      <c r="AY31" s="53" t="e">
        <f t="shared" si="12"/>
        <v>#DIV/0!</v>
      </c>
      <c r="AZ31" s="349">
        <f>AN31</f>
        <v>0</v>
      </c>
      <c r="BA31" s="153" t="e">
        <f t="shared" si="13"/>
        <v>#DIV/0!</v>
      </c>
      <c r="BB31" s="153" t="e">
        <f t="shared" si="14"/>
        <v>#DIV/0!</v>
      </c>
      <c r="BC31" s="150" t="e">
        <f t="shared" si="15"/>
        <v>#DIV/0!</v>
      </c>
      <c r="BD31" s="148" t="e">
        <f t="shared" si="16"/>
        <v>#DIV/0!</v>
      </c>
      <c r="BE31" s="144">
        <v>5</v>
      </c>
      <c r="BF31" s="144">
        <v>27</v>
      </c>
      <c r="BG31" s="155">
        <f t="shared" si="17"/>
        <v>53.73</v>
      </c>
      <c r="BH31" s="53" t="e">
        <f t="shared" si="18"/>
        <v>#DIV/0!</v>
      </c>
      <c r="BI31" s="148">
        <f t="shared" si="19"/>
        <v>-0.01</v>
      </c>
      <c r="BJ31" s="155" t="str">
        <f t="shared" si="20"/>
        <v>27#5@0</v>
      </c>
      <c r="BK31" s="197" t="e">
        <f t="shared" si="21"/>
        <v>#DIV/0!</v>
      </c>
      <c r="BL31" s="349">
        <f>AZ31</f>
        <v>0</v>
      </c>
      <c r="BM31" s="155">
        <f t="shared" si="22"/>
        <v>-0.27500000000000002</v>
      </c>
      <c r="BN31" s="153">
        <f t="shared" si="23"/>
        <v>0</v>
      </c>
      <c r="BO31" s="153">
        <f t="shared" si="24"/>
        <v>0</v>
      </c>
      <c r="BP31" s="153">
        <f t="shared" si="25"/>
        <v>9.2317499999999999</v>
      </c>
      <c r="BQ31" s="144">
        <v>10</v>
      </c>
      <c r="BR31" s="155" t="s">
        <v>191</v>
      </c>
      <c r="BS31" s="144">
        <v>6</v>
      </c>
      <c r="BT31" s="153">
        <f t="shared" si="26"/>
        <v>28.4</v>
      </c>
      <c r="BU31" s="153">
        <f t="shared" si="27"/>
        <v>1073.5199999999998</v>
      </c>
      <c r="BV31" s="53" t="str">
        <f t="shared" si="28"/>
        <v>OK</v>
      </c>
      <c r="BW31" s="122"/>
      <c r="BX31" s="349">
        <f>BL31</f>
        <v>0</v>
      </c>
      <c r="BY31" s="153">
        <f t="shared" si="29"/>
        <v>17.04</v>
      </c>
      <c r="BZ31" s="153">
        <f t="shared" si="30"/>
        <v>644.11199999999997</v>
      </c>
      <c r="CA31" s="155" t="e">
        <f t="shared" si="31"/>
        <v>#DIV/0!</v>
      </c>
      <c r="CB31" s="153" t="e">
        <f t="shared" si="32"/>
        <v>#DIV/0!</v>
      </c>
      <c r="CC31" s="53" t="e">
        <f t="shared" si="33"/>
        <v>#DIV/0!</v>
      </c>
      <c r="CE31" s="114"/>
      <c r="CF31" s="114"/>
      <c r="CG31" s="114"/>
      <c r="CH31" s="114"/>
      <c r="CI31" s="117"/>
      <c r="CJ31" s="349">
        <f>BX31</f>
        <v>0</v>
      </c>
      <c r="CK31" s="153">
        <f t="shared" si="34"/>
        <v>0</v>
      </c>
      <c r="CL31" s="153" t="e">
        <f t="shared" si="35"/>
        <v>#DIV/0!</v>
      </c>
      <c r="CM31" s="150">
        <f t="shared" si="36"/>
        <v>0</v>
      </c>
      <c r="CN31" s="150">
        <f t="shared" si="37"/>
        <v>0</v>
      </c>
      <c r="CO31" s="53" t="str">
        <f t="shared" si="38"/>
        <v>OK</v>
      </c>
      <c r="CP31" s="158">
        <f t="shared" si="39"/>
        <v>9.2317499999999999</v>
      </c>
      <c r="CQ31" s="144">
        <v>10</v>
      </c>
      <c r="CR31" s="155" t="s">
        <v>191</v>
      </c>
      <c r="CS31" s="144">
        <v>6</v>
      </c>
      <c r="CU31" s="117"/>
      <c r="CW31" s="349">
        <f>AZ31</f>
        <v>0</v>
      </c>
      <c r="CX31" s="111">
        <f t="shared" si="40"/>
        <v>0</v>
      </c>
      <c r="CY31" s="156">
        <f t="shared" si="41"/>
        <v>0</v>
      </c>
      <c r="CZ31" s="156">
        <f t="shared" si="42"/>
        <v>0</v>
      </c>
      <c r="DA31" s="140" t="str">
        <f t="shared" si="43"/>
        <v>27#5@0</v>
      </c>
      <c r="DB31" s="140" t="str">
        <f t="shared" si="44"/>
        <v>27#5@0</v>
      </c>
    </row>
    <row r="32" spans="1:106" ht="15" customHeight="1" x14ac:dyDescent="0.25">
      <c r="A32" s="123"/>
      <c r="B32" s="124"/>
      <c r="C32" s="188"/>
      <c r="D32" s="124"/>
      <c r="E32" s="124"/>
      <c r="F32" s="124"/>
      <c r="G32" s="124"/>
      <c r="H32" s="125"/>
      <c r="I32" s="124"/>
      <c r="J32" s="124"/>
      <c r="K32" s="124"/>
      <c r="L32" s="126"/>
      <c r="M32" s="350"/>
      <c r="N32" s="143"/>
      <c r="O32" s="144"/>
      <c r="P32" s="145"/>
      <c r="Q32" s="145"/>
      <c r="R32" s="145"/>
      <c r="S32" s="145"/>
      <c r="T32" s="145"/>
      <c r="U32" s="145"/>
      <c r="V32" s="146"/>
      <c r="W32" s="147"/>
      <c r="X32" s="147"/>
      <c r="Y32" s="350"/>
      <c r="Z32" s="148"/>
      <c r="AA32" s="149"/>
      <c r="AB32" s="148"/>
      <c r="AC32" s="149"/>
      <c r="AD32" s="150"/>
      <c r="AE32" s="150"/>
      <c r="AF32" s="53"/>
      <c r="AG32" s="53"/>
      <c r="AH32" s="155"/>
      <c r="AI32" s="153"/>
      <c r="AJ32" s="153"/>
      <c r="AK32" s="152"/>
      <c r="AL32" s="150"/>
      <c r="AM32" s="150"/>
      <c r="AN32" s="350"/>
      <c r="AO32" s="153" t="e">
        <f t="shared" si="2"/>
        <v>#DIV/0!</v>
      </c>
      <c r="AP32" s="153" t="e">
        <f t="shared" si="3"/>
        <v>#DIV/0!</v>
      </c>
      <c r="AQ32" s="153" t="e">
        <f t="shared" si="4"/>
        <v>#DIV/0!</v>
      </c>
      <c r="AR32" s="153">
        <f t="shared" si="5"/>
        <v>0</v>
      </c>
      <c r="AS32" s="53" t="e">
        <f t="shared" si="6"/>
        <v>#DIV/0!</v>
      </c>
      <c r="AT32" s="153" t="e">
        <f t="shared" si="7"/>
        <v>#DIV/0!</v>
      </c>
      <c r="AU32" s="150" t="e">
        <f t="shared" si="8"/>
        <v>#DIV/0!</v>
      </c>
      <c r="AV32" s="153" t="e">
        <f t="shared" si="9"/>
        <v>#DIV/0!</v>
      </c>
      <c r="AW32" s="154">
        <f t="shared" si="10"/>
        <v>0</v>
      </c>
      <c r="AX32" s="153">
        <f t="shared" si="11"/>
        <v>0</v>
      </c>
      <c r="AY32" s="53" t="e">
        <f t="shared" si="12"/>
        <v>#DIV/0!</v>
      </c>
      <c r="AZ32" s="350"/>
      <c r="BA32" s="153" t="e">
        <f t="shared" si="13"/>
        <v>#DIV/0!</v>
      </c>
      <c r="BB32" s="153" t="e">
        <f t="shared" si="14"/>
        <v>#DIV/0!</v>
      </c>
      <c r="BC32" s="150" t="e">
        <f t="shared" si="15"/>
        <v>#DIV/0!</v>
      </c>
      <c r="BD32" s="148" t="e">
        <f t="shared" si="16"/>
        <v>#DIV/0!</v>
      </c>
      <c r="BE32" s="144">
        <v>5</v>
      </c>
      <c r="BF32" s="144">
        <v>27</v>
      </c>
      <c r="BG32" s="155">
        <f t="shared" si="17"/>
        <v>53.73</v>
      </c>
      <c r="BH32" s="53" t="e">
        <f t="shared" si="18"/>
        <v>#DIV/0!</v>
      </c>
      <c r="BI32" s="148">
        <f t="shared" si="19"/>
        <v>-0.01</v>
      </c>
      <c r="BJ32" s="155" t="str">
        <f t="shared" si="20"/>
        <v>27#5@0</v>
      </c>
      <c r="BK32" s="197" t="e">
        <f t="shared" si="21"/>
        <v>#DIV/0!</v>
      </c>
      <c r="BL32" s="350"/>
      <c r="BM32" s="155">
        <f t="shared" si="22"/>
        <v>-0.27500000000000002</v>
      </c>
      <c r="BN32" s="153">
        <f t="shared" si="23"/>
        <v>0</v>
      </c>
      <c r="BO32" s="153">
        <f t="shared" si="24"/>
        <v>0</v>
      </c>
      <c r="BP32" s="153">
        <f t="shared" si="25"/>
        <v>9.2317499999999999</v>
      </c>
      <c r="BQ32" s="144">
        <v>10</v>
      </c>
      <c r="BR32" s="155" t="s">
        <v>191</v>
      </c>
      <c r="BS32" s="144">
        <v>6</v>
      </c>
      <c r="BT32" s="153">
        <f t="shared" si="26"/>
        <v>28.4</v>
      </c>
      <c r="BU32" s="153">
        <f t="shared" si="27"/>
        <v>1073.5199999999998</v>
      </c>
      <c r="BV32" s="53" t="str">
        <f t="shared" si="28"/>
        <v>OK</v>
      </c>
      <c r="BW32" s="122"/>
      <c r="BX32" s="350"/>
      <c r="BY32" s="153">
        <f t="shared" si="29"/>
        <v>17.04</v>
      </c>
      <c r="BZ32" s="153">
        <f t="shared" si="30"/>
        <v>644.11199999999997</v>
      </c>
      <c r="CA32" s="155" t="e">
        <f t="shared" si="31"/>
        <v>#DIV/0!</v>
      </c>
      <c r="CB32" s="153" t="e">
        <f t="shared" si="32"/>
        <v>#DIV/0!</v>
      </c>
      <c r="CC32" s="53" t="e">
        <f t="shared" si="33"/>
        <v>#DIV/0!</v>
      </c>
      <c r="CE32" s="114"/>
      <c r="CF32" s="114"/>
      <c r="CG32" s="114"/>
      <c r="CH32" s="114"/>
      <c r="CI32" s="117"/>
      <c r="CJ32" s="350"/>
      <c r="CK32" s="153">
        <f t="shared" si="34"/>
        <v>0</v>
      </c>
      <c r="CL32" s="153" t="e">
        <f t="shared" si="35"/>
        <v>#DIV/0!</v>
      </c>
      <c r="CM32" s="150">
        <f t="shared" si="36"/>
        <v>0</v>
      </c>
      <c r="CN32" s="150">
        <f t="shared" si="37"/>
        <v>0</v>
      </c>
      <c r="CO32" s="53" t="str">
        <f t="shared" si="38"/>
        <v>OK</v>
      </c>
      <c r="CP32" s="158">
        <f t="shared" si="39"/>
        <v>9.2317499999999999</v>
      </c>
      <c r="CQ32" s="144">
        <v>10</v>
      </c>
      <c r="CR32" s="155" t="s">
        <v>191</v>
      </c>
      <c r="CS32" s="144">
        <v>6</v>
      </c>
      <c r="CU32" s="117"/>
      <c r="CW32" s="350"/>
      <c r="CX32" s="111">
        <f t="shared" si="40"/>
        <v>0</v>
      </c>
      <c r="CY32" s="156">
        <f t="shared" si="41"/>
        <v>0</v>
      </c>
      <c r="CZ32" s="156">
        <f t="shared" si="42"/>
        <v>0</v>
      </c>
      <c r="DA32" s="140" t="str">
        <f t="shared" si="43"/>
        <v>27#5@0</v>
      </c>
      <c r="DB32" s="140" t="str">
        <f t="shared" si="44"/>
        <v>27#5@0</v>
      </c>
    </row>
    <row r="33" spans="1:106" ht="15" customHeight="1" x14ac:dyDescent="0.25">
      <c r="A33" s="123"/>
      <c r="B33" s="124"/>
      <c r="C33" s="188"/>
      <c r="D33" s="124"/>
      <c r="E33" s="124"/>
      <c r="F33" s="124"/>
      <c r="G33" s="124"/>
      <c r="H33" s="125"/>
      <c r="I33" s="124"/>
      <c r="J33" s="124"/>
      <c r="K33" s="124"/>
      <c r="L33" s="126"/>
      <c r="M33" s="349">
        <f>Y33</f>
        <v>0</v>
      </c>
      <c r="N33" s="143"/>
      <c r="O33" s="144"/>
      <c r="P33" s="145"/>
      <c r="Q33" s="145"/>
      <c r="R33" s="145"/>
      <c r="S33" s="145"/>
      <c r="T33" s="145"/>
      <c r="U33" s="145"/>
      <c r="V33" s="146"/>
      <c r="W33" s="147"/>
      <c r="X33" s="147"/>
      <c r="Y33" s="349"/>
      <c r="Z33" s="148"/>
      <c r="AA33" s="149"/>
      <c r="AB33" s="148"/>
      <c r="AC33" s="149"/>
      <c r="AD33" s="150"/>
      <c r="AE33" s="150"/>
      <c r="AF33" s="53"/>
      <c r="AG33" s="53"/>
      <c r="AH33" s="155"/>
      <c r="AI33" s="153"/>
      <c r="AJ33" s="153"/>
      <c r="AK33" s="152"/>
      <c r="AL33" s="150"/>
      <c r="AM33" s="150"/>
      <c r="AN33" s="349">
        <f t="shared" ref="AN33" si="73">Y33</f>
        <v>0</v>
      </c>
      <c r="AO33" s="153" t="e">
        <f t="shared" si="2"/>
        <v>#DIV/0!</v>
      </c>
      <c r="AP33" s="153" t="e">
        <f t="shared" si="3"/>
        <v>#DIV/0!</v>
      </c>
      <c r="AQ33" s="153" t="e">
        <f t="shared" si="4"/>
        <v>#DIV/0!</v>
      </c>
      <c r="AR33" s="153">
        <f t="shared" si="5"/>
        <v>0</v>
      </c>
      <c r="AS33" s="53" t="e">
        <f t="shared" si="6"/>
        <v>#DIV/0!</v>
      </c>
      <c r="AT33" s="153" t="e">
        <f t="shared" si="7"/>
        <v>#DIV/0!</v>
      </c>
      <c r="AU33" s="150" t="e">
        <f t="shared" si="8"/>
        <v>#DIV/0!</v>
      </c>
      <c r="AV33" s="153" t="e">
        <f t="shared" si="9"/>
        <v>#DIV/0!</v>
      </c>
      <c r="AW33" s="154">
        <f t="shared" si="10"/>
        <v>0</v>
      </c>
      <c r="AX33" s="153">
        <f t="shared" si="11"/>
        <v>0</v>
      </c>
      <c r="AY33" s="53" t="e">
        <f t="shared" si="12"/>
        <v>#DIV/0!</v>
      </c>
      <c r="AZ33" s="349">
        <f>AN33</f>
        <v>0</v>
      </c>
      <c r="BA33" s="153" t="e">
        <f t="shared" si="13"/>
        <v>#DIV/0!</v>
      </c>
      <c r="BB33" s="153" t="e">
        <f t="shared" si="14"/>
        <v>#DIV/0!</v>
      </c>
      <c r="BC33" s="150" t="e">
        <f t="shared" si="15"/>
        <v>#DIV/0!</v>
      </c>
      <c r="BD33" s="148" t="e">
        <f t="shared" si="16"/>
        <v>#DIV/0!</v>
      </c>
      <c r="BE33" s="144">
        <v>5</v>
      </c>
      <c r="BF33" s="144">
        <v>27</v>
      </c>
      <c r="BG33" s="155">
        <f t="shared" si="17"/>
        <v>53.73</v>
      </c>
      <c r="BH33" s="53" t="e">
        <f t="shared" si="18"/>
        <v>#DIV/0!</v>
      </c>
      <c r="BI33" s="148">
        <f t="shared" si="19"/>
        <v>-0.01</v>
      </c>
      <c r="BJ33" s="155" t="str">
        <f t="shared" si="20"/>
        <v>27#5@0</v>
      </c>
      <c r="BK33" s="197" t="e">
        <f t="shared" si="21"/>
        <v>#DIV/0!</v>
      </c>
      <c r="BL33" s="349">
        <f>AZ33</f>
        <v>0</v>
      </c>
      <c r="BM33" s="155">
        <f t="shared" si="22"/>
        <v>-0.27500000000000002</v>
      </c>
      <c r="BN33" s="153">
        <f t="shared" si="23"/>
        <v>0</v>
      </c>
      <c r="BO33" s="153">
        <f t="shared" si="24"/>
        <v>0</v>
      </c>
      <c r="BP33" s="153">
        <f t="shared" si="25"/>
        <v>9.2317499999999999</v>
      </c>
      <c r="BQ33" s="144">
        <v>10</v>
      </c>
      <c r="BR33" s="155" t="s">
        <v>191</v>
      </c>
      <c r="BS33" s="144">
        <v>6</v>
      </c>
      <c r="BT33" s="153">
        <f t="shared" si="26"/>
        <v>28.4</v>
      </c>
      <c r="BU33" s="153">
        <f t="shared" si="27"/>
        <v>1073.5199999999998</v>
      </c>
      <c r="BV33" s="53" t="str">
        <f t="shared" si="28"/>
        <v>OK</v>
      </c>
      <c r="BW33" s="122"/>
      <c r="BX33" s="349">
        <f>BL33</f>
        <v>0</v>
      </c>
      <c r="BY33" s="153">
        <f t="shared" si="29"/>
        <v>17.04</v>
      </c>
      <c r="BZ33" s="153">
        <f t="shared" si="30"/>
        <v>644.11199999999997</v>
      </c>
      <c r="CA33" s="155" t="e">
        <f t="shared" si="31"/>
        <v>#DIV/0!</v>
      </c>
      <c r="CB33" s="153" t="e">
        <f t="shared" si="32"/>
        <v>#DIV/0!</v>
      </c>
      <c r="CC33" s="53" t="e">
        <f t="shared" si="33"/>
        <v>#DIV/0!</v>
      </c>
      <c r="CE33" s="114"/>
      <c r="CF33" s="114"/>
      <c r="CG33" s="114"/>
      <c r="CH33" s="114"/>
      <c r="CI33" s="117"/>
      <c r="CJ33" s="349">
        <f>BX33</f>
        <v>0</v>
      </c>
      <c r="CK33" s="153">
        <f t="shared" si="34"/>
        <v>0</v>
      </c>
      <c r="CL33" s="153" t="e">
        <f t="shared" si="35"/>
        <v>#DIV/0!</v>
      </c>
      <c r="CM33" s="150">
        <f t="shared" si="36"/>
        <v>0</v>
      </c>
      <c r="CN33" s="150">
        <f t="shared" si="37"/>
        <v>0</v>
      </c>
      <c r="CO33" s="53" t="str">
        <f t="shared" si="38"/>
        <v>OK</v>
      </c>
      <c r="CP33" s="158">
        <f t="shared" si="39"/>
        <v>9.2317499999999999</v>
      </c>
      <c r="CQ33" s="144">
        <v>10</v>
      </c>
      <c r="CR33" s="155" t="s">
        <v>191</v>
      </c>
      <c r="CS33" s="144">
        <v>6</v>
      </c>
      <c r="CU33" s="117"/>
      <c r="CW33" s="349"/>
      <c r="CX33" s="111">
        <f t="shared" si="40"/>
        <v>0</v>
      </c>
      <c r="CY33" s="156">
        <f t="shared" si="41"/>
        <v>0</v>
      </c>
      <c r="CZ33" s="156">
        <f t="shared" si="42"/>
        <v>0</v>
      </c>
      <c r="DA33" s="140" t="str">
        <f t="shared" si="43"/>
        <v>27#5@0</v>
      </c>
      <c r="DB33" s="140" t="str">
        <f t="shared" si="44"/>
        <v>27#5@0</v>
      </c>
    </row>
    <row r="34" spans="1:106" ht="15" customHeight="1" x14ac:dyDescent="0.25">
      <c r="A34" s="123"/>
      <c r="B34" s="124"/>
      <c r="C34" s="188"/>
      <c r="D34" s="124"/>
      <c r="E34" s="124"/>
      <c r="F34" s="124"/>
      <c r="G34" s="124"/>
      <c r="H34" s="125"/>
      <c r="I34" s="124"/>
      <c r="J34" s="124"/>
      <c r="K34" s="124"/>
      <c r="L34" s="126"/>
      <c r="M34" s="350"/>
      <c r="N34" s="143"/>
      <c r="O34" s="144"/>
      <c r="P34" s="145"/>
      <c r="Q34" s="145"/>
      <c r="R34" s="145"/>
      <c r="S34" s="145"/>
      <c r="T34" s="145"/>
      <c r="U34" s="145"/>
      <c r="V34" s="146"/>
      <c r="W34" s="147"/>
      <c r="X34" s="147"/>
      <c r="Y34" s="350"/>
      <c r="Z34" s="148"/>
      <c r="AA34" s="149"/>
      <c r="AB34" s="148"/>
      <c r="AC34" s="149"/>
      <c r="AD34" s="150"/>
      <c r="AE34" s="150"/>
      <c r="AF34" s="53"/>
      <c r="AG34" s="53"/>
      <c r="AH34" s="155"/>
      <c r="AI34" s="153"/>
      <c r="AJ34" s="153"/>
      <c r="AK34" s="152"/>
      <c r="AL34" s="150"/>
      <c r="AM34" s="150"/>
      <c r="AN34" s="350"/>
      <c r="AO34" s="153" t="e">
        <f t="shared" si="2"/>
        <v>#DIV/0!</v>
      </c>
      <c r="AP34" s="153" t="e">
        <f t="shared" si="3"/>
        <v>#DIV/0!</v>
      </c>
      <c r="AQ34" s="153" t="e">
        <f t="shared" si="4"/>
        <v>#DIV/0!</v>
      </c>
      <c r="AR34" s="153">
        <f t="shared" si="5"/>
        <v>0</v>
      </c>
      <c r="AS34" s="53" t="e">
        <f t="shared" si="6"/>
        <v>#DIV/0!</v>
      </c>
      <c r="AT34" s="153" t="e">
        <f t="shared" si="7"/>
        <v>#DIV/0!</v>
      </c>
      <c r="AU34" s="150" t="e">
        <f t="shared" si="8"/>
        <v>#DIV/0!</v>
      </c>
      <c r="AV34" s="153" t="e">
        <f t="shared" si="9"/>
        <v>#DIV/0!</v>
      </c>
      <c r="AW34" s="154">
        <f t="shared" si="10"/>
        <v>0</v>
      </c>
      <c r="AX34" s="153">
        <f t="shared" si="11"/>
        <v>0</v>
      </c>
      <c r="AY34" s="53" t="e">
        <f t="shared" si="12"/>
        <v>#DIV/0!</v>
      </c>
      <c r="AZ34" s="350"/>
      <c r="BA34" s="153" t="e">
        <f t="shared" si="13"/>
        <v>#DIV/0!</v>
      </c>
      <c r="BB34" s="153" t="e">
        <f t="shared" si="14"/>
        <v>#DIV/0!</v>
      </c>
      <c r="BC34" s="150" t="e">
        <f t="shared" si="15"/>
        <v>#DIV/0!</v>
      </c>
      <c r="BD34" s="148" t="e">
        <f t="shared" si="16"/>
        <v>#DIV/0!</v>
      </c>
      <c r="BE34" s="144">
        <v>5</v>
      </c>
      <c r="BF34" s="144">
        <v>27</v>
      </c>
      <c r="BG34" s="155">
        <f t="shared" si="17"/>
        <v>53.73</v>
      </c>
      <c r="BH34" s="53" t="e">
        <f t="shared" si="18"/>
        <v>#DIV/0!</v>
      </c>
      <c r="BI34" s="148">
        <f t="shared" si="19"/>
        <v>-0.01</v>
      </c>
      <c r="BJ34" s="155" t="str">
        <f t="shared" si="20"/>
        <v>27#5@0</v>
      </c>
      <c r="BK34" s="197" t="e">
        <f t="shared" si="21"/>
        <v>#DIV/0!</v>
      </c>
      <c r="BL34" s="350"/>
      <c r="BM34" s="155">
        <f t="shared" si="22"/>
        <v>-0.27500000000000002</v>
      </c>
      <c r="BN34" s="153">
        <f t="shared" si="23"/>
        <v>0</v>
      </c>
      <c r="BO34" s="153">
        <f t="shared" si="24"/>
        <v>0</v>
      </c>
      <c r="BP34" s="153">
        <f t="shared" si="25"/>
        <v>9.2317499999999999</v>
      </c>
      <c r="BQ34" s="144">
        <v>10</v>
      </c>
      <c r="BR34" s="155" t="s">
        <v>191</v>
      </c>
      <c r="BS34" s="144">
        <v>6</v>
      </c>
      <c r="BT34" s="153">
        <f t="shared" si="26"/>
        <v>28.4</v>
      </c>
      <c r="BU34" s="153">
        <f t="shared" si="27"/>
        <v>1073.5199999999998</v>
      </c>
      <c r="BV34" s="53" t="str">
        <f t="shared" si="28"/>
        <v>OK</v>
      </c>
      <c r="BW34" s="122"/>
      <c r="BX34" s="350"/>
      <c r="BY34" s="153">
        <f t="shared" si="29"/>
        <v>17.04</v>
      </c>
      <c r="BZ34" s="153">
        <f t="shared" si="30"/>
        <v>644.11199999999997</v>
      </c>
      <c r="CA34" s="155" t="e">
        <f t="shared" si="31"/>
        <v>#DIV/0!</v>
      </c>
      <c r="CB34" s="153" t="e">
        <f t="shared" si="32"/>
        <v>#DIV/0!</v>
      </c>
      <c r="CC34" s="53" t="e">
        <f t="shared" si="33"/>
        <v>#DIV/0!</v>
      </c>
      <c r="CE34" s="114"/>
      <c r="CF34" s="114"/>
      <c r="CG34" s="114"/>
      <c r="CH34" s="114"/>
      <c r="CI34" s="117"/>
      <c r="CJ34" s="350"/>
      <c r="CK34" s="153">
        <f t="shared" si="34"/>
        <v>0</v>
      </c>
      <c r="CL34" s="153" t="e">
        <f t="shared" si="35"/>
        <v>#DIV/0!</v>
      </c>
      <c r="CM34" s="150">
        <f t="shared" si="36"/>
        <v>0</v>
      </c>
      <c r="CN34" s="150">
        <f t="shared" si="37"/>
        <v>0</v>
      </c>
      <c r="CO34" s="53" t="str">
        <f t="shared" si="38"/>
        <v>OK</v>
      </c>
      <c r="CP34" s="158">
        <f t="shared" si="39"/>
        <v>9.2317499999999999</v>
      </c>
      <c r="CQ34" s="144">
        <v>10</v>
      </c>
      <c r="CR34" s="155" t="s">
        <v>191</v>
      </c>
      <c r="CS34" s="144">
        <v>6</v>
      </c>
      <c r="CU34" s="117"/>
      <c r="CW34" s="350"/>
      <c r="CX34" s="111">
        <f t="shared" si="40"/>
        <v>0</v>
      </c>
      <c r="CY34" s="156">
        <f t="shared" si="41"/>
        <v>0</v>
      </c>
      <c r="CZ34" s="156">
        <f t="shared" si="42"/>
        <v>0</v>
      </c>
      <c r="DA34" s="140" t="str">
        <f t="shared" si="43"/>
        <v>27#5@0</v>
      </c>
      <c r="DB34" s="140" t="str">
        <f t="shared" si="44"/>
        <v>27#5@0</v>
      </c>
    </row>
    <row r="35" spans="1:106" ht="15" customHeight="1" x14ac:dyDescent="0.25">
      <c r="A35" s="123"/>
      <c r="B35" s="124"/>
      <c r="C35" s="188"/>
      <c r="D35" s="124"/>
      <c r="E35" s="124"/>
      <c r="F35" s="124"/>
      <c r="G35" s="124"/>
      <c r="H35" s="125"/>
      <c r="I35" s="124"/>
      <c r="J35" s="124"/>
      <c r="K35" s="124"/>
      <c r="L35" s="126"/>
      <c r="M35" s="349">
        <f>Y35</f>
        <v>0</v>
      </c>
      <c r="N35" s="143"/>
      <c r="O35" s="144"/>
      <c r="P35" s="145"/>
      <c r="Q35" s="145"/>
      <c r="R35" s="145"/>
      <c r="S35" s="145"/>
      <c r="T35" s="145"/>
      <c r="U35" s="145"/>
      <c r="V35" s="146"/>
      <c r="W35" s="147"/>
      <c r="X35" s="147"/>
      <c r="Y35" s="349"/>
      <c r="Z35" s="148"/>
      <c r="AA35" s="149"/>
      <c r="AB35" s="148"/>
      <c r="AC35" s="149"/>
      <c r="AD35" s="150"/>
      <c r="AE35" s="150"/>
      <c r="AF35" s="53"/>
      <c r="AG35" s="53"/>
      <c r="AH35" s="155"/>
      <c r="AI35" s="153"/>
      <c r="AJ35" s="153"/>
      <c r="AK35" s="152"/>
      <c r="AL35" s="150"/>
      <c r="AM35" s="150"/>
      <c r="AN35" s="349">
        <f t="shared" ref="AN35" si="74">Y35</f>
        <v>0</v>
      </c>
      <c r="AO35" s="153" t="e">
        <f t="shared" si="2"/>
        <v>#DIV/0!</v>
      </c>
      <c r="AP35" s="153" t="e">
        <f t="shared" si="3"/>
        <v>#DIV/0!</v>
      </c>
      <c r="AQ35" s="153" t="e">
        <f t="shared" si="4"/>
        <v>#DIV/0!</v>
      </c>
      <c r="AR35" s="153">
        <f t="shared" si="5"/>
        <v>0</v>
      </c>
      <c r="AS35" s="53" t="e">
        <f t="shared" si="6"/>
        <v>#DIV/0!</v>
      </c>
      <c r="AT35" s="153" t="e">
        <f t="shared" si="7"/>
        <v>#DIV/0!</v>
      </c>
      <c r="AU35" s="150" t="e">
        <f t="shared" si="8"/>
        <v>#DIV/0!</v>
      </c>
      <c r="AV35" s="153" t="e">
        <f t="shared" si="9"/>
        <v>#DIV/0!</v>
      </c>
      <c r="AW35" s="154">
        <f t="shared" si="10"/>
        <v>0</v>
      </c>
      <c r="AX35" s="153">
        <f t="shared" si="11"/>
        <v>0</v>
      </c>
      <c r="AY35" s="53" t="e">
        <f t="shared" si="12"/>
        <v>#DIV/0!</v>
      </c>
      <c r="AZ35" s="349">
        <f>AN35</f>
        <v>0</v>
      </c>
      <c r="BA35" s="153" t="e">
        <f t="shared" si="13"/>
        <v>#DIV/0!</v>
      </c>
      <c r="BB35" s="153" t="e">
        <f t="shared" si="14"/>
        <v>#DIV/0!</v>
      </c>
      <c r="BC35" s="150" t="e">
        <f t="shared" si="15"/>
        <v>#DIV/0!</v>
      </c>
      <c r="BD35" s="148" t="e">
        <f t="shared" si="16"/>
        <v>#DIV/0!</v>
      </c>
      <c r="BE35" s="144">
        <v>5</v>
      </c>
      <c r="BF35" s="144">
        <v>27</v>
      </c>
      <c r="BG35" s="155">
        <f t="shared" si="17"/>
        <v>53.73</v>
      </c>
      <c r="BH35" s="53" t="e">
        <f t="shared" si="18"/>
        <v>#DIV/0!</v>
      </c>
      <c r="BI35" s="148">
        <f t="shared" si="19"/>
        <v>-0.01</v>
      </c>
      <c r="BJ35" s="155" t="str">
        <f t="shared" si="20"/>
        <v>27#5@0</v>
      </c>
      <c r="BK35" s="197" t="e">
        <f t="shared" si="21"/>
        <v>#DIV/0!</v>
      </c>
      <c r="BL35" s="349">
        <f>AZ35</f>
        <v>0</v>
      </c>
      <c r="BM35" s="155">
        <f t="shared" si="22"/>
        <v>-0.27500000000000002</v>
      </c>
      <c r="BN35" s="153">
        <f t="shared" si="23"/>
        <v>0</v>
      </c>
      <c r="BO35" s="153">
        <f t="shared" si="24"/>
        <v>0</v>
      </c>
      <c r="BP35" s="153">
        <f t="shared" si="25"/>
        <v>9.2317499999999999</v>
      </c>
      <c r="BQ35" s="144">
        <v>10</v>
      </c>
      <c r="BR35" s="155" t="s">
        <v>191</v>
      </c>
      <c r="BS35" s="144">
        <v>6</v>
      </c>
      <c r="BT35" s="153">
        <f t="shared" si="26"/>
        <v>28.4</v>
      </c>
      <c r="BU35" s="153">
        <f t="shared" si="27"/>
        <v>1073.5199999999998</v>
      </c>
      <c r="BV35" s="53" t="str">
        <f t="shared" si="28"/>
        <v>OK</v>
      </c>
      <c r="BW35" s="122"/>
      <c r="BX35" s="349">
        <f>BL35</f>
        <v>0</v>
      </c>
      <c r="BY35" s="153">
        <f t="shared" si="29"/>
        <v>17.04</v>
      </c>
      <c r="BZ35" s="153">
        <f t="shared" si="30"/>
        <v>644.11199999999997</v>
      </c>
      <c r="CA35" s="155" t="e">
        <f t="shared" si="31"/>
        <v>#DIV/0!</v>
      </c>
      <c r="CB35" s="153" t="e">
        <f t="shared" si="32"/>
        <v>#DIV/0!</v>
      </c>
      <c r="CC35" s="53" t="e">
        <f t="shared" si="33"/>
        <v>#DIV/0!</v>
      </c>
      <c r="CE35" s="114"/>
      <c r="CF35" s="114"/>
      <c r="CG35" s="114"/>
      <c r="CH35" s="114"/>
      <c r="CI35" s="117"/>
      <c r="CJ35" s="349">
        <f>BX35</f>
        <v>0</v>
      </c>
      <c r="CK35" s="153">
        <f t="shared" si="34"/>
        <v>0</v>
      </c>
      <c r="CL35" s="153" t="e">
        <f t="shared" si="35"/>
        <v>#DIV/0!</v>
      </c>
      <c r="CM35" s="150">
        <f t="shared" si="36"/>
        <v>0</v>
      </c>
      <c r="CN35" s="150">
        <f t="shared" si="37"/>
        <v>0</v>
      </c>
      <c r="CO35" s="53" t="str">
        <f t="shared" si="38"/>
        <v>OK</v>
      </c>
      <c r="CP35" s="158">
        <f t="shared" si="39"/>
        <v>9.2317499999999999</v>
      </c>
      <c r="CQ35" s="144">
        <v>10</v>
      </c>
      <c r="CR35" s="155" t="s">
        <v>191</v>
      </c>
      <c r="CS35" s="144">
        <v>6</v>
      </c>
      <c r="CU35" s="117"/>
      <c r="CW35" s="349"/>
      <c r="CX35" s="111">
        <f t="shared" si="40"/>
        <v>0</v>
      </c>
      <c r="CY35" s="156">
        <f t="shared" si="41"/>
        <v>0</v>
      </c>
      <c r="CZ35" s="156">
        <f t="shared" si="42"/>
        <v>0</v>
      </c>
      <c r="DA35" s="140" t="str">
        <f t="shared" si="43"/>
        <v>27#5@0</v>
      </c>
      <c r="DB35" s="140" t="str">
        <f t="shared" si="44"/>
        <v>27#5@0</v>
      </c>
    </row>
    <row r="36" spans="1:106" ht="15" customHeight="1" x14ac:dyDescent="0.25">
      <c r="A36" s="123"/>
      <c r="B36" s="124"/>
      <c r="C36" s="188"/>
      <c r="D36" s="124"/>
      <c r="E36" s="124"/>
      <c r="F36" s="124"/>
      <c r="G36" s="124"/>
      <c r="H36" s="125"/>
      <c r="I36" s="124"/>
      <c r="J36" s="124"/>
      <c r="K36" s="124"/>
      <c r="L36" s="126"/>
      <c r="M36" s="350"/>
      <c r="N36" s="143"/>
      <c r="O36" s="144"/>
      <c r="P36" s="145"/>
      <c r="Q36" s="145"/>
      <c r="R36" s="145"/>
      <c r="S36" s="145"/>
      <c r="T36" s="145"/>
      <c r="U36" s="145"/>
      <c r="V36" s="146"/>
      <c r="W36" s="147"/>
      <c r="X36" s="147"/>
      <c r="Y36" s="350"/>
      <c r="Z36" s="148"/>
      <c r="AA36" s="149"/>
      <c r="AB36" s="148"/>
      <c r="AC36" s="149"/>
      <c r="AD36" s="150"/>
      <c r="AE36" s="150"/>
      <c r="AF36" s="53"/>
      <c r="AG36" s="53"/>
      <c r="AH36" s="155"/>
      <c r="AI36" s="153"/>
      <c r="AJ36" s="153"/>
      <c r="AK36" s="152"/>
      <c r="AL36" s="150"/>
      <c r="AM36" s="150"/>
      <c r="AN36" s="350"/>
      <c r="AO36" s="153" t="e">
        <f t="shared" si="2"/>
        <v>#DIV/0!</v>
      </c>
      <c r="AP36" s="153" t="e">
        <f t="shared" si="3"/>
        <v>#DIV/0!</v>
      </c>
      <c r="AQ36" s="153" t="e">
        <f t="shared" si="4"/>
        <v>#DIV/0!</v>
      </c>
      <c r="AR36" s="153">
        <f t="shared" si="5"/>
        <v>0</v>
      </c>
      <c r="AS36" s="53" t="e">
        <f t="shared" si="6"/>
        <v>#DIV/0!</v>
      </c>
      <c r="AT36" s="153" t="e">
        <f t="shared" si="7"/>
        <v>#DIV/0!</v>
      </c>
      <c r="AU36" s="150" t="e">
        <f t="shared" si="8"/>
        <v>#DIV/0!</v>
      </c>
      <c r="AV36" s="153" t="e">
        <f t="shared" si="9"/>
        <v>#DIV/0!</v>
      </c>
      <c r="AW36" s="154">
        <f t="shared" si="10"/>
        <v>0</v>
      </c>
      <c r="AX36" s="153">
        <f t="shared" si="11"/>
        <v>0</v>
      </c>
      <c r="AY36" s="53" t="e">
        <f t="shared" si="12"/>
        <v>#DIV/0!</v>
      </c>
      <c r="AZ36" s="350"/>
      <c r="BA36" s="153" t="e">
        <f t="shared" si="13"/>
        <v>#DIV/0!</v>
      </c>
      <c r="BB36" s="153" t="e">
        <f t="shared" si="14"/>
        <v>#DIV/0!</v>
      </c>
      <c r="BC36" s="150" t="e">
        <f t="shared" si="15"/>
        <v>#DIV/0!</v>
      </c>
      <c r="BD36" s="148" t="e">
        <f t="shared" si="16"/>
        <v>#DIV/0!</v>
      </c>
      <c r="BE36" s="144">
        <v>5</v>
      </c>
      <c r="BF36" s="144">
        <v>27</v>
      </c>
      <c r="BG36" s="155">
        <f t="shared" si="17"/>
        <v>53.73</v>
      </c>
      <c r="BH36" s="53" t="e">
        <f t="shared" si="18"/>
        <v>#DIV/0!</v>
      </c>
      <c r="BI36" s="148">
        <f t="shared" si="19"/>
        <v>-0.01</v>
      </c>
      <c r="BJ36" s="155" t="str">
        <f t="shared" si="20"/>
        <v>27#5@0</v>
      </c>
      <c r="BK36" s="197" t="e">
        <f t="shared" si="21"/>
        <v>#DIV/0!</v>
      </c>
      <c r="BL36" s="350"/>
      <c r="BM36" s="155">
        <f t="shared" si="22"/>
        <v>-0.27500000000000002</v>
      </c>
      <c r="BN36" s="153">
        <f t="shared" si="23"/>
        <v>0</v>
      </c>
      <c r="BO36" s="153">
        <f t="shared" si="24"/>
        <v>0</v>
      </c>
      <c r="BP36" s="153">
        <f t="shared" si="25"/>
        <v>9.2317499999999999</v>
      </c>
      <c r="BQ36" s="144">
        <v>10</v>
      </c>
      <c r="BR36" s="155" t="s">
        <v>191</v>
      </c>
      <c r="BS36" s="144">
        <v>6</v>
      </c>
      <c r="BT36" s="153">
        <f t="shared" si="26"/>
        <v>28.4</v>
      </c>
      <c r="BU36" s="153">
        <f t="shared" si="27"/>
        <v>1073.5199999999998</v>
      </c>
      <c r="BV36" s="53" t="str">
        <f t="shared" si="28"/>
        <v>OK</v>
      </c>
      <c r="BW36" s="122"/>
      <c r="BX36" s="350"/>
      <c r="BY36" s="153">
        <f t="shared" si="29"/>
        <v>17.04</v>
      </c>
      <c r="BZ36" s="153">
        <f t="shared" si="30"/>
        <v>644.11199999999997</v>
      </c>
      <c r="CA36" s="155" t="e">
        <f t="shared" si="31"/>
        <v>#DIV/0!</v>
      </c>
      <c r="CB36" s="153" t="e">
        <f t="shared" si="32"/>
        <v>#DIV/0!</v>
      </c>
      <c r="CC36" s="53" t="e">
        <f t="shared" si="33"/>
        <v>#DIV/0!</v>
      </c>
      <c r="CE36" s="114"/>
      <c r="CF36" s="114"/>
      <c r="CG36" s="114"/>
      <c r="CH36" s="114"/>
      <c r="CI36" s="117"/>
      <c r="CJ36" s="350"/>
      <c r="CK36" s="153">
        <f t="shared" si="34"/>
        <v>0</v>
      </c>
      <c r="CL36" s="153" t="e">
        <f t="shared" si="35"/>
        <v>#DIV/0!</v>
      </c>
      <c r="CM36" s="150">
        <f t="shared" si="36"/>
        <v>0</v>
      </c>
      <c r="CN36" s="150">
        <f t="shared" si="37"/>
        <v>0</v>
      </c>
      <c r="CO36" s="53" t="str">
        <f t="shared" si="38"/>
        <v>OK</v>
      </c>
      <c r="CP36" s="158">
        <f t="shared" si="39"/>
        <v>9.2317499999999999</v>
      </c>
      <c r="CQ36" s="144">
        <v>10</v>
      </c>
      <c r="CR36" s="155" t="s">
        <v>191</v>
      </c>
      <c r="CS36" s="144">
        <v>6</v>
      </c>
      <c r="CU36" s="117"/>
      <c r="CW36" s="350"/>
      <c r="CX36" s="111">
        <f t="shared" si="40"/>
        <v>0</v>
      </c>
      <c r="CY36" s="156">
        <f t="shared" si="41"/>
        <v>0</v>
      </c>
      <c r="CZ36" s="156">
        <f t="shared" si="42"/>
        <v>0</v>
      </c>
      <c r="DA36" s="140" t="str">
        <f t="shared" si="43"/>
        <v>27#5@0</v>
      </c>
      <c r="DB36" s="140" t="str">
        <f t="shared" si="44"/>
        <v>27#5@0</v>
      </c>
    </row>
    <row r="37" spans="1:106" ht="15" customHeight="1" x14ac:dyDescent="0.25">
      <c r="A37" s="123"/>
      <c r="B37" s="124"/>
      <c r="C37" s="188"/>
      <c r="D37" s="124"/>
      <c r="E37" s="124"/>
      <c r="F37" s="124"/>
      <c r="G37" s="124"/>
      <c r="H37" s="125"/>
      <c r="I37" s="124"/>
      <c r="J37" s="124"/>
      <c r="K37" s="124"/>
      <c r="L37" s="126"/>
      <c r="M37" s="349">
        <f>Y37</f>
        <v>0</v>
      </c>
      <c r="N37" s="143"/>
      <c r="O37" s="144"/>
      <c r="P37" s="145"/>
      <c r="Q37" s="145"/>
      <c r="R37" s="145"/>
      <c r="S37" s="145"/>
      <c r="T37" s="145"/>
      <c r="U37" s="145"/>
      <c r="V37" s="146"/>
      <c r="W37" s="147"/>
      <c r="X37" s="147"/>
      <c r="Y37" s="349"/>
      <c r="Z37" s="148"/>
      <c r="AA37" s="149"/>
      <c r="AB37" s="148"/>
      <c r="AC37" s="149"/>
      <c r="AD37" s="150"/>
      <c r="AE37" s="150"/>
      <c r="AF37" s="53"/>
      <c r="AG37" s="53"/>
      <c r="AH37" s="155"/>
      <c r="AI37" s="153"/>
      <c r="AJ37" s="153"/>
      <c r="AK37" s="152"/>
      <c r="AL37" s="150"/>
      <c r="AM37" s="150"/>
      <c r="AN37" s="349"/>
      <c r="AO37" s="153"/>
      <c r="AP37" s="153"/>
      <c r="AQ37" s="153"/>
      <c r="AR37" s="153"/>
      <c r="AS37" s="53"/>
      <c r="AT37" s="153"/>
      <c r="AU37" s="150"/>
      <c r="AV37" s="153"/>
      <c r="AW37" s="154"/>
      <c r="AX37" s="153"/>
      <c r="AY37" s="53"/>
      <c r="AZ37" s="349"/>
      <c r="BA37" s="153"/>
      <c r="BB37" s="153"/>
      <c r="BC37" s="150"/>
      <c r="BD37" s="148"/>
      <c r="BE37" s="144"/>
      <c r="BF37" s="144"/>
      <c r="BG37" s="155"/>
      <c r="BH37" s="53"/>
      <c r="BI37" s="148"/>
      <c r="BJ37" s="155"/>
      <c r="BK37" s="197"/>
      <c r="BL37" s="349"/>
      <c r="BM37" s="155"/>
      <c r="BN37" s="153"/>
      <c r="BO37" s="153"/>
      <c r="BP37" s="153"/>
      <c r="BQ37" s="144"/>
      <c r="BR37" s="155"/>
      <c r="BS37" s="144"/>
      <c r="BT37" s="153"/>
      <c r="BU37" s="153"/>
      <c r="BV37" s="53"/>
      <c r="BW37" s="122"/>
      <c r="BX37" s="349"/>
      <c r="BY37" s="153"/>
      <c r="BZ37" s="153"/>
      <c r="CA37" s="155"/>
      <c r="CB37" s="153"/>
      <c r="CC37" s="53"/>
      <c r="CE37" s="114"/>
      <c r="CF37" s="114"/>
      <c r="CG37" s="114"/>
      <c r="CH37" s="114"/>
      <c r="CI37" s="117"/>
      <c r="CJ37" s="349"/>
      <c r="CK37" s="153"/>
      <c r="CL37" s="153"/>
      <c r="CM37" s="150"/>
      <c r="CN37" s="150"/>
      <c r="CO37" s="53"/>
      <c r="CP37" s="158"/>
      <c r="CQ37" s="144"/>
      <c r="CR37" s="155"/>
      <c r="CS37" s="144"/>
      <c r="CU37" s="117"/>
      <c r="CW37" s="349"/>
      <c r="CX37" s="111"/>
      <c r="CY37" s="156"/>
      <c r="CZ37" s="156"/>
      <c r="DA37" s="140"/>
      <c r="DB37" s="140"/>
    </row>
    <row r="38" spans="1:106" ht="15" customHeight="1" x14ac:dyDescent="0.25">
      <c r="A38" s="123"/>
      <c r="B38" s="124"/>
      <c r="C38" s="188"/>
      <c r="D38" s="124"/>
      <c r="E38" s="124"/>
      <c r="F38" s="124"/>
      <c r="G38" s="124"/>
      <c r="H38" s="125"/>
      <c r="I38" s="124"/>
      <c r="J38" s="124"/>
      <c r="K38" s="124"/>
      <c r="L38" s="126"/>
      <c r="M38" s="350"/>
      <c r="N38" s="143"/>
      <c r="O38" s="144"/>
      <c r="P38" s="145"/>
      <c r="Q38" s="145"/>
      <c r="R38" s="145"/>
      <c r="S38" s="145"/>
      <c r="T38" s="145"/>
      <c r="U38" s="145"/>
      <c r="V38" s="146"/>
      <c r="W38" s="147"/>
      <c r="X38" s="147"/>
      <c r="Y38" s="350"/>
      <c r="Z38" s="148"/>
      <c r="AA38" s="149"/>
      <c r="AB38" s="148"/>
      <c r="AC38" s="149"/>
      <c r="AD38" s="150"/>
      <c r="AE38" s="150"/>
      <c r="AF38" s="53"/>
      <c r="AG38" s="53"/>
      <c r="AH38" s="155"/>
      <c r="AI38" s="153"/>
      <c r="AJ38" s="153"/>
      <c r="AK38" s="152"/>
      <c r="AL38" s="150"/>
      <c r="AM38" s="150"/>
      <c r="AN38" s="350"/>
      <c r="AO38" s="153"/>
      <c r="AP38" s="153"/>
      <c r="AQ38" s="153"/>
      <c r="AR38" s="153"/>
      <c r="AS38" s="53"/>
      <c r="AT38" s="153"/>
      <c r="AU38" s="150"/>
      <c r="AV38" s="153"/>
      <c r="AW38" s="154"/>
      <c r="AX38" s="153"/>
      <c r="AY38" s="53"/>
      <c r="AZ38" s="350"/>
      <c r="BA38" s="153"/>
      <c r="BB38" s="153"/>
      <c r="BC38" s="150"/>
      <c r="BD38" s="148"/>
      <c r="BE38" s="144"/>
      <c r="BF38" s="144"/>
      <c r="BG38" s="155"/>
      <c r="BH38" s="53"/>
      <c r="BI38" s="148"/>
      <c r="BJ38" s="155"/>
      <c r="BK38" s="197"/>
      <c r="BL38" s="350"/>
      <c r="BM38" s="155"/>
      <c r="BN38" s="153"/>
      <c r="BO38" s="153"/>
      <c r="BP38" s="153"/>
      <c r="BQ38" s="144"/>
      <c r="BR38" s="155"/>
      <c r="BS38" s="144"/>
      <c r="BT38" s="153"/>
      <c r="BU38" s="153"/>
      <c r="BV38" s="53"/>
      <c r="BW38" s="122"/>
      <c r="BX38" s="350"/>
      <c r="BY38" s="153"/>
      <c r="BZ38" s="153"/>
      <c r="CA38" s="155"/>
      <c r="CB38" s="153"/>
      <c r="CC38" s="53"/>
      <c r="CE38" s="114"/>
      <c r="CF38" s="114"/>
      <c r="CG38" s="114"/>
      <c r="CH38" s="114"/>
      <c r="CI38" s="117"/>
      <c r="CJ38" s="350"/>
      <c r="CK38" s="153"/>
      <c r="CL38" s="153"/>
      <c r="CM38" s="150"/>
      <c r="CN38" s="150"/>
      <c r="CO38" s="53"/>
      <c r="CP38" s="158"/>
      <c r="CQ38" s="144"/>
      <c r="CR38" s="155"/>
      <c r="CS38" s="144"/>
      <c r="CU38" s="117"/>
      <c r="CW38" s="350"/>
      <c r="CX38" s="111"/>
      <c r="CY38" s="156"/>
      <c r="CZ38" s="156"/>
      <c r="DA38" s="140"/>
      <c r="DB38" s="140"/>
    </row>
    <row r="39" spans="1:106" ht="15" customHeight="1" x14ac:dyDescent="0.25">
      <c r="A39" s="123"/>
      <c r="B39" s="124"/>
      <c r="C39" s="188"/>
      <c r="D39" s="124"/>
      <c r="E39" s="124"/>
      <c r="F39" s="124"/>
      <c r="G39" s="124"/>
      <c r="H39" s="125"/>
      <c r="I39" s="124"/>
      <c r="J39" s="124"/>
      <c r="K39" s="124"/>
      <c r="L39" s="126"/>
      <c r="M39" s="349">
        <f>Y39</f>
        <v>0</v>
      </c>
      <c r="N39" s="143"/>
      <c r="O39" s="144"/>
      <c r="P39" s="145"/>
      <c r="Q39" s="145"/>
      <c r="R39" s="145"/>
      <c r="S39" s="145"/>
      <c r="T39" s="145"/>
      <c r="U39" s="145"/>
      <c r="V39" s="146"/>
      <c r="W39" s="147"/>
      <c r="X39" s="147"/>
      <c r="Y39" s="349"/>
      <c r="Z39" s="148"/>
      <c r="AA39" s="149"/>
      <c r="AB39" s="148"/>
      <c r="AC39" s="149"/>
      <c r="AD39" s="150"/>
      <c r="AE39" s="150"/>
      <c r="AF39" s="53"/>
      <c r="AG39" s="53"/>
      <c r="AH39" s="155"/>
      <c r="AI39" s="153"/>
      <c r="AJ39" s="153"/>
      <c r="AK39" s="152"/>
      <c r="AL39" s="150"/>
      <c r="AM39" s="150"/>
      <c r="AN39" s="349"/>
      <c r="AO39" s="153"/>
      <c r="AP39" s="153"/>
      <c r="AQ39" s="153"/>
      <c r="AR39" s="153"/>
      <c r="AS39" s="53"/>
      <c r="AT39" s="153"/>
      <c r="AU39" s="150"/>
      <c r="AV39" s="153"/>
      <c r="AW39" s="154"/>
      <c r="AX39" s="153"/>
      <c r="AY39" s="53"/>
      <c r="AZ39" s="349"/>
      <c r="BA39" s="153"/>
      <c r="BB39" s="153"/>
      <c r="BC39" s="150"/>
      <c r="BD39" s="148"/>
      <c r="BE39" s="144"/>
      <c r="BF39" s="144"/>
      <c r="BG39" s="155"/>
      <c r="BH39" s="53"/>
      <c r="BI39" s="148"/>
      <c r="BJ39" s="155"/>
      <c r="BK39" s="197"/>
      <c r="BL39" s="349"/>
      <c r="BM39" s="155"/>
      <c r="BN39" s="153"/>
      <c r="BO39" s="153"/>
      <c r="BP39" s="153"/>
      <c r="BQ39" s="144"/>
      <c r="BR39" s="155"/>
      <c r="BS39" s="144"/>
      <c r="BT39" s="153"/>
      <c r="BU39" s="153"/>
      <c r="BV39" s="53"/>
      <c r="BW39" s="122"/>
      <c r="BX39" s="349"/>
      <c r="BY39" s="153"/>
      <c r="BZ39" s="153"/>
      <c r="CA39" s="155"/>
      <c r="CB39" s="153"/>
      <c r="CC39" s="53"/>
      <c r="CE39" s="114"/>
      <c r="CF39" s="114"/>
      <c r="CG39" s="114"/>
      <c r="CH39" s="114"/>
      <c r="CI39" s="117"/>
      <c r="CJ39" s="349"/>
      <c r="CK39" s="153"/>
      <c r="CL39" s="153"/>
      <c r="CM39" s="150"/>
      <c r="CN39" s="150"/>
      <c r="CO39" s="53"/>
      <c r="CP39" s="158"/>
      <c r="CQ39" s="144"/>
      <c r="CR39" s="155"/>
      <c r="CS39" s="144"/>
      <c r="CU39" s="117"/>
      <c r="CW39" s="349"/>
      <c r="CX39" s="111"/>
      <c r="CY39" s="156"/>
      <c r="CZ39" s="156"/>
      <c r="DA39" s="140"/>
      <c r="DB39" s="140"/>
    </row>
    <row r="40" spans="1:106" ht="15" customHeight="1" x14ac:dyDescent="0.25">
      <c r="A40" s="123"/>
      <c r="B40" s="124"/>
      <c r="C40" s="188"/>
      <c r="D40" s="124"/>
      <c r="E40" s="124"/>
      <c r="F40" s="124"/>
      <c r="G40" s="124"/>
      <c r="H40" s="125"/>
      <c r="I40" s="124"/>
      <c r="J40" s="124"/>
      <c r="K40" s="124"/>
      <c r="L40" s="126"/>
      <c r="M40" s="350"/>
      <c r="N40" s="143"/>
      <c r="O40" s="144"/>
      <c r="P40" s="145"/>
      <c r="Q40" s="145"/>
      <c r="R40" s="145"/>
      <c r="S40" s="145"/>
      <c r="T40" s="145"/>
      <c r="U40" s="145"/>
      <c r="V40" s="146"/>
      <c r="W40" s="147"/>
      <c r="X40" s="147"/>
      <c r="Y40" s="350"/>
      <c r="Z40" s="148"/>
      <c r="AA40" s="149"/>
      <c r="AB40" s="148"/>
      <c r="AC40" s="149"/>
      <c r="AD40" s="150"/>
      <c r="AE40" s="150"/>
      <c r="AF40" s="53"/>
      <c r="AG40" s="53"/>
      <c r="AH40" s="155"/>
      <c r="AI40" s="153"/>
      <c r="AJ40" s="153"/>
      <c r="AK40" s="152"/>
      <c r="AL40" s="150"/>
      <c r="AM40" s="150"/>
      <c r="AN40" s="350"/>
      <c r="AO40" s="153"/>
      <c r="AP40" s="153"/>
      <c r="AQ40" s="153"/>
      <c r="AR40" s="153"/>
      <c r="AS40" s="53"/>
      <c r="AT40" s="153"/>
      <c r="AU40" s="150"/>
      <c r="AV40" s="153"/>
      <c r="AW40" s="154"/>
      <c r="AX40" s="153"/>
      <c r="AY40" s="53"/>
      <c r="AZ40" s="350"/>
      <c r="BA40" s="153"/>
      <c r="BB40" s="153"/>
      <c r="BC40" s="150"/>
      <c r="BD40" s="148"/>
      <c r="BE40" s="144"/>
      <c r="BF40" s="144"/>
      <c r="BG40" s="155"/>
      <c r="BH40" s="53"/>
      <c r="BI40" s="148"/>
      <c r="BJ40" s="155"/>
      <c r="BK40" s="197"/>
      <c r="BL40" s="350"/>
      <c r="BM40" s="155"/>
      <c r="BN40" s="153"/>
      <c r="BO40" s="153"/>
      <c r="BP40" s="153"/>
      <c r="BQ40" s="144"/>
      <c r="BR40" s="155"/>
      <c r="BS40" s="144"/>
      <c r="BT40" s="153"/>
      <c r="BU40" s="153"/>
      <c r="BV40" s="53"/>
      <c r="BW40" s="122"/>
      <c r="BX40" s="350"/>
      <c r="BY40" s="153"/>
      <c r="BZ40" s="153"/>
      <c r="CA40" s="155"/>
      <c r="CB40" s="153"/>
      <c r="CC40" s="53"/>
      <c r="CE40" s="114"/>
      <c r="CF40" s="114"/>
      <c r="CG40" s="114"/>
      <c r="CH40" s="114"/>
      <c r="CI40" s="117"/>
      <c r="CJ40" s="350"/>
      <c r="CK40" s="153"/>
      <c r="CL40" s="153"/>
      <c r="CM40" s="150"/>
      <c r="CN40" s="150"/>
      <c r="CO40" s="53"/>
      <c r="CP40" s="158"/>
      <c r="CQ40" s="144"/>
      <c r="CR40" s="155"/>
      <c r="CS40" s="144"/>
      <c r="CU40" s="117"/>
      <c r="CW40" s="350"/>
      <c r="CX40" s="111"/>
      <c r="CY40" s="156"/>
      <c r="CZ40" s="156"/>
      <c r="DA40" s="140"/>
      <c r="DB40" s="140"/>
    </row>
    <row r="41" spans="1:106" ht="15" customHeight="1" x14ac:dyDescent="0.25">
      <c r="A41" s="123"/>
      <c r="L41" s="126"/>
      <c r="M41" s="349">
        <f>Y41</f>
        <v>0</v>
      </c>
      <c r="N41" s="143"/>
      <c r="O41" s="144"/>
      <c r="P41" s="145"/>
      <c r="Q41" s="145"/>
      <c r="R41" s="145"/>
      <c r="S41" s="145"/>
      <c r="T41" s="145"/>
      <c r="U41" s="145"/>
      <c r="V41" s="146"/>
      <c r="W41" s="147"/>
      <c r="X41" s="147"/>
      <c r="Y41" s="349"/>
      <c r="Z41" s="148"/>
      <c r="AA41" s="149"/>
      <c r="AB41" s="148"/>
      <c r="AC41" s="149"/>
      <c r="AD41" s="150"/>
      <c r="AE41" s="150"/>
      <c r="AF41" s="53"/>
      <c r="AG41" s="53"/>
      <c r="AH41" s="155"/>
      <c r="AI41" s="153"/>
      <c r="AJ41" s="153"/>
      <c r="AK41" s="152"/>
      <c r="AL41" s="150"/>
      <c r="AM41" s="150"/>
      <c r="AN41" s="349"/>
      <c r="AO41" s="153"/>
      <c r="AP41" s="153"/>
      <c r="AQ41" s="153"/>
      <c r="AR41" s="153"/>
      <c r="AS41" s="53"/>
      <c r="AT41" s="153"/>
      <c r="AU41" s="150"/>
      <c r="AV41" s="153"/>
      <c r="AW41" s="154"/>
      <c r="AX41" s="153"/>
      <c r="AY41" s="53"/>
      <c r="AZ41" s="349"/>
      <c r="BA41" s="153"/>
      <c r="BB41" s="153"/>
      <c r="BC41" s="150"/>
      <c r="BD41" s="148"/>
      <c r="BE41" s="144"/>
      <c r="BF41" s="144"/>
      <c r="BG41" s="155"/>
      <c r="BH41" s="53"/>
      <c r="BI41" s="148"/>
      <c r="BJ41" s="155"/>
      <c r="BK41" s="197"/>
      <c r="BL41" s="349"/>
      <c r="BM41" s="155"/>
      <c r="BN41" s="153"/>
      <c r="BO41" s="153"/>
      <c r="BP41" s="153"/>
      <c r="BQ41" s="144"/>
      <c r="BR41" s="155"/>
      <c r="BS41" s="144"/>
      <c r="BT41" s="153"/>
      <c r="BU41" s="153"/>
      <c r="BV41" s="53"/>
      <c r="BW41" s="122"/>
      <c r="BX41" s="349"/>
      <c r="BY41" s="153"/>
      <c r="BZ41" s="153"/>
      <c r="CA41" s="155"/>
      <c r="CB41" s="153"/>
      <c r="CC41" s="53"/>
      <c r="CE41" s="166" t="s">
        <v>734</v>
      </c>
      <c r="CF41" s="114"/>
      <c r="CG41" s="114"/>
      <c r="CH41" s="114"/>
      <c r="CI41" s="117"/>
      <c r="CJ41" s="349"/>
      <c r="CK41" s="153"/>
      <c r="CL41" s="153"/>
      <c r="CM41" s="150"/>
      <c r="CN41" s="150"/>
      <c r="CO41" s="53"/>
      <c r="CP41" s="158"/>
      <c r="CQ41" s="144"/>
      <c r="CR41" s="155"/>
      <c r="CS41" s="144"/>
      <c r="CU41" s="117"/>
      <c r="CW41" s="349"/>
      <c r="CX41" s="111"/>
      <c r="CY41" s="156"/>
      <c r="CZ41" s="156"/>
      <c r="DA41" s="140"/>
      <c r="DB41" s="140"/>
    </row>
    <row r="42" spans="1:106" ht="15" customHeight="1" x14ac:dyDescent="0.25">
      <c r="A42" s="123"/>
      <c r="L42" s="126"/>
      <c r="M42" s="350"/>
      <c r="N42" s="143"/>
      <c r="O42" s="144"/>
      <c r="P42" s="145"/>
      <c r="Q42" s="145"/>
      <c r="R42" s="145"/>
      <c r="S42" s="145"/>
      <c r="T42" s="145"/>
      <c r="U42" s="145"/>
      <c r="V42" s="146"/>
      <c r="W42" s="147"/>
      <c r="X42" s="147"/>
      <c r="Y42" s="350"/>
      <c r="Z42" s="148"/>
      <c r="AA42" s="149"/>
      <c r="AB42" s="148"/>
      <c r="AC42" s="149"/>
      <c r="AD42" s="150"/>
      <c r="AE42" s="150"/>
      <c r="AF42" s="53"/>
      <c r="AG42" s="53"/>
      <c r="AH42" s="155"/>
      <c r="AI42" s="153"/>
      <c r="AJ42" s="153"/>
      <c r="AK42" s="152"/>
      <c r="AL42" s="150"/>
      <c r="AM42" s="150"/>
      <c r="AN42" s="350"/>
      <c r="AO42" s="153"/>
      <c r="AP42" s="153"/>
      <c r="AQ42" s="153"/>
      <c r="AR42" s="153"/>
      <c r="AS42" s="53"/>
      <c r="AT42" s="153"/>
      <c r="AU42" s="150"/>
      <c r="AV42" s="153"/>
      <c r="AW42" s="154"/>
      <c r="AX42" s="153"/>
      <c r="AY42" s="53"/>
      <c r="AZ42" s="350"/>
      <c r="BA42" s="153"/>
      <c r="BB42" s="153"/>
      <c r="BC42" s="150"/>
      <c r="BD42" s="148"/>
      <c r="BE42" s="144"/>
      <c r="BF42" s="144"/>
      <c r="BG42" s="155"/>
      <c r="BH42" s="53"/>
      <c r="BI42" s="148"/>
      <c r="BJ42" s="155"/>
      <c r="BK42" s="197"/>
      <c r="BL42" s="350"/>
      <c r="BM42" s="155"/>
      <c r="BN42" s="153"/>
      <c r="BO42" s="153"/>
      <c r="BP42" s="153"/>
      <c r="BQ42" s="144"/>
      <c r="BR42" s="155"/>
      <c r="BS42" s="144"/>
      <c r="BT42" s="153"/>
      <c r="BU42" s="153"/>
      <c r="BV42" s="53"/>
      <c r="BW42" s="122"/>
      <c r="BX42" s="350"/>
      <c r="BY42" s="153"/>
      <c r="BZ42" s="153"/>
      <c r="CA42" s="155"/>
      <c r="CB42" s="153"/>
      <c r="CC42" s="53"/>
      <c r="CE42" s="166"/>
      <c r="CF42" s="114"/>
      <c r="CG42" s="114"/>
      <c r="CH42" s="114"/>
      <c r="CI42" s="117"/>
      <c r="CJ42" s="350"/>
      <c r="CK42" s="153"/>
      <c r="CL42" s="153"/>
      <c r="CM42" s="150"/>
      <c r="CN42" s="150"/>
      <c r="CO42" s="53"/>
      <c r="CP42" s="158"/>
      <c r="CQ42" s="144"/>
      <c r="CR42" s="155"/>
      <c r="CS42" s="144"/>
      <c r="CU42" s="117"/>
      <c r="CW42" s="350"/>
      <c r="CX42" s="111"/>
      <c r="CY42" s="156"/>
      <c r="CZ42" s="156"/>
      <c r="DA42" s="140"/>
      <c r="DB42" s="140"/>
    </row>
    <row r="43" spans="1:106" ht="15" customHeight="1" x14ac:dyDescent="0.25">
      <c r="A43" s="123"/>
      <c r="B43" s="124"/>
      <c r="C43" s="188"/>
      <c r="D43" s="124"/>
      <c r="E43" s="124"/>
      <c r="F43" s="124"/>
      <c r="G43" s="124"/>
      <c r="H43" s="125"/>
      <c r="I43" s="124"/>
      <c r="J43" s="124"/>
      <c r="K43" s="124"/>
      <c r="L43" s="126"/>
      <c r="M43" s="349">
        <f>Y43</f>
        <v>0</v>
      </c>
      <c r="N43" s="143"/>
      <c r="O43" s="144"/>
      <c r="P43" s="145"/>
      <c r="Q43" s="145"/>
      <c r="R43" s="145"/>
      <c r="S43" s="145"/>
      <c r="T43" s="145"/>
      <c r="U43" s="145"/>
      <c r="V43" s="146"/>
      <c r="W43" s="147"/>
      <c r="X43" s="147"/>
      <c r="Y43" s="349"/>
      <c r="Z43" s="148"/>
      <c r="AA43" s="149"/>
      <c r="AB43" s="148"/>
      <c r="AC43" s="149"/>
      <c r="AD43" s="150"/>
      <c r="AE43" s="150"/>
      <c r="AF43" s="53"/>
      <c r="AG43" s="53"/>
      <c r="AH43" s="155"/>
      <c r="AI43" s="153"/>
      <c r="AJ43" s="153"/>
      <c r="AK43" s="152"/>
      <c r="AL43" s="150"/>
      <c r="AM43" s="150"/>
      <c r="AN43" s="349"/>
      <c r="AO43" s="153"/>
      <c r="AP43" s="153"/>
      <c r="AQ43" s="153"/>
      <c r="AR43" s="153"/>
      <c r="AS43" s="53"/>
      <c r="AT43" s="153"/>
      <c r="AU43" s="150"/>
      <c r="AV43" s="153"/>
      <c r="AW43" s="154"/>
      <c r="AX43" s="153"/>
      <c r="AY43" s="53"/>
      <c r="AZ43" s="349"/>
      <c r="BA43" s="153"/>
      <c r="BB43" s="153"/>
      <c r="BC43" s="150"/>
      <c r="BD43" s="148"/>
      <c r="BE43" s="144"/>
      <c r="BF43" s="144"/>
      <c r="BG43" s="155"/>
      <c r="BH43" s="53"/>
      <c r="BI43" s="148"/>
      <c r="BJ43" s="155"/>
      <c r="BK43" s="197"/>
      <c r="BL43" s="349"/>
      <c r="BM43" s="155"/>
      <c r="BN43" s="153"/>
      <c r="BO43" s="153"/>
      <c r="BP43" s="153"/>
      <c r="BQ43" s="144"/>
      <c r="BR43" s="155"/>
      <c r="BS43" s="144"/>
      <c r="BT43" s="153"/>
      <c r="BU43" s="153"/>
      <c r="BV43" s="53"/>
      <c r="BW43" s="122"/>
      <c r="BX43" s="349"/>
      <c r="BY43" s="153"/>
      <c r="BZ43" s="153"/>
      <c r="CA43" s="155"/>
      <c r="CB43" s="153"/>
      <c r="CC43" s="53"/>
      <c r="CE43" s="351" t="s">
        <v>735</v>
      </c>
      <c r="CF43" s="351"/>
      <c r="CG43" s="351"/>
      <c r="CH43" s="351"/>
      <c r="CI43" s="352"/>
      <c r="CJ43" s="349"/>
      <c r="CK43" s="153"/>
      <c r="CL43" s="153"/>
      <c r="CM43" s="150"/>
      <c r="CN43" s="150"/>
      <c r="CO43" s="53"/>
      <c r="CP43" s="158"/>
      <c r="CQ43" s="144"/>
      <c r="CR43" s="155"/>
      <c r="CS43" s="144"/>
      <c r="CU43" s="117"/>
      <c r="CW43" s="349"/>
      <c r="CX43" s="111"/>
      <c r="CY43" s="156"/>
      <c r="CZ43" s="156"/>
      <c r="DA43" s="140"/>
      <c r="DB43" s="140"/>
    </row>
    <row r="44" spans="1:106" ht="15" customHeight="1" x14ac:dyDescent="0.25">
      <c r="A44" s="123"/>
      <c r="B44" s="124"/>
      <c r="C44" s="188"/>
      <c r="D44" s="124"/>
      <c r="E44" s="124"/>
      <c r="F44" s="124"/>
      <c r="G44" s="124"/>
      <c r="H44" s="125"/>
      <c r="I44" s="124"/>
      <c r="J44" s="124"/>
      <c r="K44" s="124"/>
      <c r="L44" s="126"/>
      <c r="M44" s="350"/>
      <c r="N44" s="143"/>
      <c r="O44" s="144"/>
      <c r="P44" s="145"/>
      <c r="Q44" s="145"/>
      <c r="R44" s="145"/>
      <c r="S44" s="145"/>
      <c r="T44" s="145"/>
      <c r="U44" s="145"/>
      <c r="V44" s="146"/>
      <c r="W44" s="147"/>
      <c r="X44" s="147"/>
      <c r="Y44" s="350"/>
      <c r="Z44" s="148"/>
      <c r="AA44" s="149"/>
      <c r="AB44" s="148"/>
      <c r="AC44" s="149"/>
      <c r="AD44" s="150"/>
      <c r="AE44" s="150"/>
      <c r="AF44" s="53"/>
      <c r="AG44" s="53"/>
      <c r="AH44" s="155"/>
      <c r="AI44" s="153"/>
      <c r="AJ44" s="153"/>
      <c r="AK44" s="152"/>
      <c r="AL44" s="150"/>
      <c r="AM44" s="150"/>
      <c r="AN44" s="350"/>
      <c r="AO44" s="153"/>
      <c r="AP44" s="153"/>
      <c r="AQ44" s="153"/>
      <c r="AR44" s="153"/>
      <c r="AS44" s="53"/>
      <c r="AT44" s="153"/>
      <c r="AU44" s="150"/>
      <c r="AV44" s="153"/>
      <c r="AW44" s="154"/>
      <c r="AX44" s="153"/>
      <c r="AY44" s="53"/>
      <c r="AZ44" s="350"/>
      <c r="BA44" s="153"/>
      <c r="BB44" s="153"/>
      <c r="BC44" s="150"/>
      <c r="BD44" s="148"/>
      <c r="BE44" s="144"/>
      <c r="BF44" s="144"/>
      <c r="BG44" s="155"/>
      <c r="BH44" s="53"/>
      <c r="BI44" s="148"/>
      <c r="BJ44" s="155"/>
      <c r="BK44" s="197"/>
      <c r="BL44" s="350"/>
      <c r="BM44" s="155"/>
      <c r="BN44" s="153"/>
      <c r="BO44" s="153"/>
      <c r="BP44" s="153"/>
      <c r="BQ44" s="144"/>
      <c r="BR44" s="155"/>
      <c r="BS44" s="144"/>
      <c r="BT44" s="153"/>
      <c r="BU44" s="153"/>
      <c r="BV44" s="53"/>
      <c r="BW44" s="122"/>
      <c r="BX44" s="350"/>
      <c r="BY44" s="153"/>
      <c r="BZ44" s="153"/>
      <c r="CA44" s="155"/>
      <c r="CB44" s="153"/>
      <c r="CC44" s="53"/>
      <c r="CE44" s="351"/>
      <c r="CF44" s="351"/>
      <c r="CG44" s="351"/>
      <c r="CH44" s="351"/>
      <c r="CI44" s="352"/>
      <c r="CJ44" s="350"/>
      <c r="CK44" s="153"/>
      <c r="CL44" s="153"/>
      <c r="CM44" s="150"/>
      <c r="CN44" s="150"/>
      <c r="CO44" s="53"/>
      <c r="CP44" s="158"/>
      <c r="CQ44" s="144"/>
      <c r="CR44" s="155"/>
      <c r="CS44" s="144"/>
      <c r="CU44" s="117"/>
      <c r="CW44" s="350"/>
      <c r="CX44" s="111"/>
      <c r="CY44" s="156"/>
      <c r="CZ44" s="156"/>
      <c r="DA44" s="140"/>
      <c r="DB44" s="140"/>
    </row>
    <row r="45" spans="1:106" ht="15" customHeight="1" x14ac:dyDescent="0.25">
      <c r="A45" s="123"/>
      <c r="B45" s="124"/>
      <c r="C45" s="188"/>
      <c r="D45" s="124"/>
      <c r="E45" s="124"/>
      <c r="F45" s="124"/>
      <c r="G45" s="124"/>
      <c r="H45" s="125"/>
      <c r="I45" s="124"/>
      <c r="J45" s="124"/>
      <c r="K45" s="124"/>
      <c r="L45" s="126"/>
      <c r="M45" s="159"/>
      <c r="W45" s="160"/>
      <c r="X45" s="122"/>
      <c r="Y45" s="116"/>
      <c r="Z45" s="114"/>
      <c r="AA45" s="114"/>
      <c r="AB45" s="114"/>
      <c r="AC45" s="114"/>
      <c r="AD45" s="114"/>
      <c r="AJ45" s="122"/>
      <c r="AN45" s="116"/>
      <c r="AQ45" s="114"/>
      <c r="AR45" s="114"/>
      <c r="AS45" s="114"/>
      <c r="AT45" s="114"/>
      <c r="AU45" s="114"/>
      <c r="AV45" s="114"/>
      <c r="AW45" s="114"/>
      <c r="AX45" s="114"/>
      <c r="AY45" s="117"/>
      <c r="AZ45" s="116"/>
      <c r="BC45" s="114"/>
      <c r="BD45" s="114"/>
      <c r="BE45" s="114"/>
      <c r="BF45" s="114"/>
      <c r="BG45" s="114"/>
      <c r="BH45" s="114"/>
      <c r="BI45" s="114"/>
      <c r="BJ45" s="114"/>
      <c r="BK45" s="122"/>
      <c r="BL45" s="198"/>
      <c r="BS45" s="112"/>
      <c r="BT45" s="112"/>
      <c r="BU45" s="112"/>
      <c r="BV45" s="112"/>
      <c r="BW45" s="122"/>
      <c r="BX45" s="121"/>
      <c r="CI45" s="122"/>
      <c r="CU45" s="117"/>
    </row>
    <row r="46" spans="1:106" ht="15" customHeight="1" x14ac:dyDescent="0.25">
      <c r="A46" s="123"/>
      <c r="B46" s="124"/>
      <c r="C46" s="188"/>
      <c r="D46" s="124"/>
      <c r="E46" s="124"/>
      <c r="F46" s="124"/>
      <c r="G46" s="124"/>
      <c r="H46" s="125"/>
      <c r="I46" s="124"/>
      <c r="J46" s="124"/>
      <c r="K46" s="124"/>
      <c r="L46" s="126"/>
      <c r="M46" s="159"/>
      <c r="W46" s="160"/>
      <c r="X46" s="122"/>
      <c r="Y46" s="116"/>
      <c r="Z46" s="114"/>
      <c r="AA46" s="114"/>
      <c r="AB46" s="114"/>
      <c r="AC46" s="114"/>
      <c r="AD46" s="114"/>
      <c r="AJ46" s="122"/>
      <c r="AN46" s="116"/>
      <c r="AQ46" s="114"/>
      <c r="AR46" s="114"/>
      <c r="AS46" s="114"/>
      <c r="AT46" s="114"/>
      <c r="AU46" s="114"/>
      <c r="AV46" s="114"/>
      <c r="AW46" s="114"/>
      <c r="AX46" s="114"/>
      <c r="AY46" s="117"/>
      <c r="AZ46" s="116"/>
      <c r="BC46" s="114"/>
      <c r="BD46" s="114"/>
      <c r="BE46" s="114"/>
      <c r="BF46" s="114"/>
      <c r="BG46" s="114"/>
      <c r="BH46" s="114"/>
      <c r="BI46" s="114"/>
      <c r="BJ46" s="114"/>
      <c r="BK46" s="122"/>
      <c r="BL46" s="121"/>
      <c r="BS46" s="112"/>
      <c r="BT46" s="112"/>
      <c r="BU46" s="112"/>
      <c r="BV46" s="112"/>
      <c r="BW46" s="122"/>
      <c r="BX46" s="121"/>
      <c r="CI46" s="122"/>
      <c r="CU46" s="117"/>
    </row>
    <row r="47" spans="1:106" s="125" customFormat="1" ht="15" customHeight="1" x14ac:dyDescent="0.2">
      <c r="A47" s="123"/>
      <c r="B47" s="124"/>
      <c r="C47" s="188"/>
      <c r="D47" s="124"/>
      <c r="E47" s="124"/>
      <c r="F47" s="124"/>
      <c r="G47" s="124"/>
      <c r="I47" s="124"/>
      <c r="J47" s="124"/>
      <c r="K47" s="124"/>
      <c r="L47" s="126"/>
      <c r="M47" s="331" t="s">
        <v>638</v>
      </c>
      <c r="N47" s="338" t="s">
        <v>701</v>
      </c>
      <c r="O47" s="338"/>
      <c r="P47" s="338"/>
      <c r="Q47" s="338" t="s">
        <v>702</v>
      </c>
      <c r="R47" s="338"/>
      <c r="S47" s="338"/>
      <c r="T47" s="338"/>
      <c r="U47" s="338"/>
      <c r="V47" s="338"/>
      <c r="W47" s="331" t="s">
        <v>703</v>
      </c>
      <c r="X47" s="331"/>
      <c r="Y47" s="353" t="s">
        <v>638</v>
      </c>
      <c r="Z47" s="332" t="s">
        <v>651</v>
      </c>
      <c r="AA47" s="333"/>
      <c r="AB47" s="333"/>
      <c r="AC47" s="333"/>
      <c r="AD47" s="333"/>
      <c r="AE47" s="333"/>
      <c r="AF47" s="336"/>
      <c r="AG47" s="338" t="s">
        <v>760</v>
      </c>
      <c r="AH47" s="338"/>
      <c r="AI47" s="338"/>
      <c r="AJ47" s="338"/>
      <c r="AK47" s="132"/>
      <c r="AL47" s="132"/>
      <c r="AM47" s="132"/>
      <c r="AN47" s="331" t="s">
        <v>638</v>
      </c>
      <c r="AO47" s="155"/>
      <c r="AP47" s="155"/>
      <c r="AQ47" s="153"/>
      <c r="AR47" s="153"/>
      <c r="AS47" s="150"/>
      <c r="AT47" s="148"/>
      <c r="AU47" s="144"/>
      <c r="AV47" s="144"/>
      <c r="AW47" s="155"/>
      <c r="AX47" s="155"/>
      <c r="AY47" s="148"/>
      <c r="AZ47" s="331" t="s">
        <v>638</v>
      </c>
      <c r="BA47" s="338" t="s">
        <v>641</v>
      </c>
      <c r="BB47" s="338"/>
      <c r="BC47" s="338"/>
      <c r="BD47" s="338"/>
      <c r="BE47" s="338"/>
      <c r="BF47" s="338"/>
      <c r="BG47" s="338"/>
      <c r="BH47" s="338"/>
      <c r="BI47" s="338"/>
      <c r="BJ47" s="338"/>
      <c r="BK47" s="122"/>
      <c r="BL47" s="339" t="s">
        <v>642</v>
      </c>
      <c r="BM47" s="359" t="s">
        <v>643</v>
      </c>
      <c r="BN47" s="360"/>
      <c r="BO47" s="360"/>
      <c r="BP47" s="360"/>
      <c r="BQ47" s="360"/>
      <c r="BR47" s="360"/>
      <c r="BS47" s="360"/>
      <c r="BT47" s="360"/>
      <c r="BU47" s="360"/>
      <c r="BV47" s="360"/>
      <c r="BW47" s="346"/>
      <c r="BX47" s="196"/>
      <c r="CI47" s="161"/>
      <c r="CJ47" s="336" t="s">
        <v>642</v>
      </c>
      <c r="CK47" s="343" t="s">
        <v>644</v>
      </c>
      <c r="CL47" s="344"/>
      <c r="CM47" s="345"/>
      <c r="CU47" s="161"/>
    </row>
    <row r="48" spans="1:106" s="125" customFormat="1" ht="15" customHeight="1" x14ac:dyDescent="0.2">
      <c r="A48" s="123"/>
      <c r="B48" s="124"/>
      <c r="C48" s="188"/>
      <c r="D48" s="124"/>
      <c r="E48" s="124"/>
      <c r="F48" s="124"/>
      <c r="G48" s="124"/>
      <c r="I48" s="124"/>
      <c r="J48" s="124"/>
      <c r="K48" s="124"/>
      <c r="L48" s="126"/>
      <c r="M48" s="331"/>
      <c r="N48" s="338"/>
      <c r="O48" s="338"/>
      <c r="P48" s="338"/>
      <c r="Q48" s="338"/>
      <c r="R48" s="338"/>
      <c r="S48" s="338"/>
      <c r="T48" s="338"/>
      <c r="U48" s="338"/>
      <c r="V48" s="338"/>
      <c r="W48" s="331"/>
      <c r="X48" s="331"/>
      <c r="Y48" s="354"/>
      <c r="Z48" s="334"/>
      <c r="AA48" s="335"/>
      <c r="AB48" s="335"/>
      <c r="AC48" s="335"/>
      <c r="AD48" s="335"/>
      <c r="AE48" s="335"/>
      <c r="AF48" s="337"/>
      <c r="AG48" s="359" t="s">
        <v>704</v>
      </c>
      <c r="AH48" s="346"/>
      <c r="AI48" s="359" t="s">
        <v>705</v>
      </c>
      <c r="AJ48" s="346"/>
      <c r="AK48" s="135"/>
      <c r="AL48" s="135"/>
      <c r="AM48" s="135"/>
      <c r="AN48" s="331"/>
      <c r="AO48" s="338" t="s">
        <v>706</v>
      </c>
      <c r="AP48" s="338"/>
      <c r="AQ48" s="338"/>
      <c r="AR48" s="338"/>
      <c r="AS48" s="338"/>
      <c r="AT48" s="338" t="s">
        <v>700</v>
      </c>
      <c r="AU48" s="338"/>
      <c r="AV48" s="338"/>
      <c r="AW48" s="338"/>
      <c r="AX48" s="338"/>
      <c r="AY48" s="162"/>
      <c r="AZ48" s="331"/>
      <c r="BA48" s="338" t="s">
        <v>707</v>
      </c>
      <c r="BB48" s="338"/>
      <c r="BC48" s="338"/>
      <c r="BD48" s="338"/>
      <c r="BE48" s="338"/>
      <c r="BF48" s="338"/>
      <c r="BG48" s="338"/>
      <c r="BH48" s="338"/>
      <c r="BI48" s="338"/>
      <c r="BJ48" s="338"/>
      <c r="BK48" s="122"/>
      <c r="BL48" s="340"/>
      <c r="BM48" s="338" t="s">
        <v>655</v>
      </c>
      <c r="BN48" s="338"/>
      <c r="BO48" s="338"/>
      <c r="BP48" s="338"/>
      <c r="BQ48" s="338"/>
      <c r="BR48" s="338"/>
      <c r="BS48" s="338"/>
      <c r="BT48" s="338"/>
      <c r="BU48" s="338" t="s">
        <v>656</v>
      </c>
      <c r="BV48" s="338"/>
      <c r="BW48" s="338"/>
      <c r="BX48" s="196"/>
      <c r="CI48" s="161"/>
      <c r="CJ48" s="355"/>
      <c r="CK48" s="341" t="s">
        <v>656</v>
      </c>
      <c r="CL48" s="341"/>
      <c r="CM48" s="341"/>
      <c r="CU48" s="161"/>
    </row>
    <row r="49" spans="1:99" s="125" customFormat="1" ht="15" customHeight="1" x14ac:dyDescent="0.2">
      <c r="A49" s="123"/>
      <c r="B49" s="124"/>
      <c r="C49" s="188"/>
      <c r="D49" s="124"/>
      <c r="E49" s="124"/>
      <c r="F49" s="124"/>
      <c r="G49" s="124"/>
      <c r="I49" s="124"/>
      <c r="J49" s="124"/>
      <c r="K49" s="124"/>
      <c r="L49" s="126"/>
      <c r="M49" s="331"/>
      <c r="N49" s="132" t="s">
        <v>661</v>
      </c>
      <c r="O49" s="138" t="s">
        <v>662</v>
      </c>
      <c r="P49" s="141" t="s">
        <v>663</v>
      </c>
      <c r="Q49" s="338" t="s">
        <v>709</v>
      </c>
      <c r="R49" s="338" t="s">
        <v>710</v>
      </c>
      <c r="S49" s="338" t="s">
        <v>711</v>
      </c>
      <c r="T49" s="132" t="s">
        <v>712</v>
      </c>
      <c r="U49" s="132" t="s">
        <v>696</v>
      </c>
      <c r="V49" s="132" t="s">
        <v>713</v>
      </c>
      <c r="W49" s="132" t="s">
        <v>125</v>
      </c>
      <c r="X49" s="132" t="s">
        <v>312</v>
      </c>
      <c r="Y49" s="354"/>
      <c r="Z49" s="132" t="s">
        <v>672</v>
      </c>
      <c r="AA49" s="132" t="s">
        <v>673</v>
      </c>
      <c r="AB49" s="135" t="s">
        <v>674</v>
      </c>
      <c r="AC49" s="132" t="s">
        <v>675</v>
      </c>
      <c r="AD49" s="338" t="s">
        <v>676</v>
      </c>
      <c r="AE49" s="332" t="s">
        <v>714</v>
      </c>
      <c r="AF49" s="336"/>
      <c r="AG49" s="132" t="s">
        <v>715</v>
      </c>
      <c r="AH49" s="338" t="s">
        <v>716</v>
      </c>
      <c r="AI49" s="132" t="s">
        <v>715</v>
      </c>
      <c r="AJ49" s="338" t="s">
        <v>716</v>
      </c>
      <c r="AK49" s="132"/>
      <c r="AL49" s="132"/>
      <c r="AM49" s="132"/>
      <c r="AN49" s="331"/>
      <c r="AO49" s="132" t="s">
        <v>717</v>
      </c>
      <c r="AP49" s="132" t="s">
        <v>718</v>
      </c>
      <c r="AQ49" s="132" t="s">
        <v>719</v>
      </c>
      <c r="AR49" s="132" t="s">
        <v>720</v>
      </c>
      <c r="AS49" s="338" t="s">
        <v>660</v>
      </c>
      <c r="AT49" s="356" t="s">
        <v>721</v>
      </c>
      <c r="AU49" s="132" t="s">
        <v>804</v>
      </c>
      <c r="AV49" s="357" t="s">
        <v>805</v>
      </c>
      <c r="AW49" s="132" t="s">
        <v>722</v>
      </c>
      <c r="AX49" s="132" t="s">
        <v>723</v>
      </c>
      <c r="AY49" s="132" t="s">
        <v>667</v>
      </c>
      <c r="AZ49" s="331"/>
      <c r="BA49" s="142" t="s">
        <v>724</v>
      </c>
      <c r="BB49" s="142" t="s">
        <v>413</v>
      </c>
      <c r="BC49" s="341" t="s">
        <v>414</v>
      </c>
      <c r="BD49" s="142" t="s">
        <v>725</v>
      </c>
      <c r="BE49" s="341" t="s">
        <v>394</v>
      </c>
      <c r="BF49" s="341" t="s">
        <v>416</v>
      </c>
      <c r="BG49" s="142" t="s">
        <v>686</v>
      </c>
      <c r="BH49" s="341" t="s">
        <v>660</v>
      </c>
      <c r="BI49" s="142" t="s">
        <v>687</v>
      </c>
      <c r="BJ49" s="342" t="s">
        <v>688</v>
      </c>
      <c r="BK49" s="122"/>
      <c r="BL49" s="340"/>
      <c r="BM49" s="338" t="s">
        <v>689</v>
      </c>
      <c r="BN49" s="132" t="s">
        <v>690</v>
      </c>
      <c r="BO49" s="132" t="s">
        <v>171</v>
      </c>
      <c r="BP49" s="132" t="s">
        <v>171</v>
      </c>
      <c r="BQ49" s="331" t="s">
        <v>691</v>
      </c>
      <c r="BR49" s="338" t="s">
        <v>692</v>
      </c>
      <c r="BS49" s="132" t="s">
        <v>693</v>
      </c>
      <c r="BT49" s="132" t="s">
        <v>694</v>
      </c>
      <c r="BU49" s="338" t="s">
        <v>416</v>
      </c>
      <c r="BV49" s="338" t="s">
        <v>695</v>
      </c>
      <c r="BW49" s="338"/>
      <c r="BX49" s="196"/>
      <c r="CI49" s="161"/>
      <c r="CJ49" s="355"/>
      <c r="CK49" s="132" t="s">
        <v>727</v>
      </c>
      <c r="CL49" s="132" t="s">
        <v>139</v>
      </c>
      <c r="CM49" s="338" t="s">
        <v>660</v>
      </c>
      <c r="CU49" s="161"/>
    </row>
    <row r="50" spans="1:99" s="125" customFormat="1" ht="15" customHeight="1" x14ac:dyDescent="0.2">
      <c r="A50" s="123"/>
      <c r="B50" s="124"/>
      <c r="C50" s="188"/>
      <c r="D50" s="124"/>
      <c r="E50" s="124"/>
      <c r="F50" s="124"/>
      <c r="G50" s="124"/>
      <c r="I50" s="124"/>
      <c r="J50" s="124"/>
      <c r="K50" s="124"/>
      <c r="L50" s="126"/>
      <c r="M50" s="331"/>
      <c r="N50" s="132" t="s">
        <v>95</v>
      </c>
      <c r="O50" s="138" t="s">
        <v>411</v>
      </c>
      <c r="P50" s="141" t="s">
        <v>411</v>
      </c>
      <c r="Q50" s="338"/>
      <c r="R50" s="338"/>
      <c r="S50" s="338"/>
      <c r="T50" s="132" t="s">
        <v>101</v>
      </c>
      <c r="U50" s="132" t="s">
        <v>101</v>
      </c>
      <c r="V50" s="132" t="s">
        <v>728</v>
      </c>
      <c r="W50" s="132" t="s">
        <v>101</v>
      </c>
      <c r="X50" s="132" t="s">
        <v>101</v>
      </c>
      <c r="Y50" s="354"/>
      <c r="Z50" s="132" t="s">
        <v>634</v>
      </c>
      <c r="AA50" s="132" t="s">
        <v>634</v>
      </c>
      <c r="AB50" s="135" t="s">
        <v>634</v>
      </c>
      <c r="AC50" s="132" t="s">
        <v>634</v>
      </c>
      <c r="AD50" s="338"/>
      <c r="AE50" s="334"/>
      <c r="AF50" s="337"/>
      <c r="AG50" s="133" t="s">
        <v>411</v>
      </c>
      <c r="AH50" s="339"/>
      <c r="AI50" s="133" t="s">
        <v>411</v>
      </c>
      <c r="AJ50" s="339"/>
      <c r="AK50" s="133"/>
      <c r="AL50" s="133"/>
      <c r="AM50" s="133"/>
      <c r="AN50" s="331"/>
      <c r="AO50" s="132" t="s">
        <v>403</v>
      </c>
      <c r="AP50" s="132" t="s">
        <v>403</v>
      </c>
      <c r="AQ50" s="132" t="s">
        <v>101</v>
      </c>
      <c r="AR50" s="132" t="s">
        <v>95</v>
      </c>
      <c r="AS50" s="338"/>
      <c r="AT50" s="356"/>
      <c r="AU50" s="132" t="s">
        <v>101</v>
      </c>
      <c r="AV50" s="358"/>
      <c r="AW50" s="132" t="s">
        <v>101</v>
      </c>
      <c r="AX50" s="132" t="s">
        <v>101</v>
      </c>
      <c r="AY50" s="132" t="s">
        <v>101</v>
      </c>
      <c r="AZ50" s="331"/>
      <c r="BA50" s="132" t="s">
        <v>411</v>
      </c>
      <c r="BB50" s="132" t="s">
        <v>634</v>
      </c>
      <c r="BC50" s="338"/>
      <c r="BD50" s="132" t="s">
        <v>309</v>
      </c>
      <c r="BE50" s="338"/>
      <c r="BF50" s="338"/>
      <c r="BG50" s="132" t="s">
        <v>309</v>
      </c>
      <c r="BH50" s="338"/>
      <c r="BI50" s="132" t="s">
        <v>101</v>
      </c>
      <c r="BJ50" s="331"/>
      <c r="BK50" s="122"/>
      <c r="BL50" s="341"/>
      <c r="BM50" s="338"/>
      <c r="BN50" s="132" t="s">
        <v>697</v>
      </c>
      <c r="BO50" s="132" t="s">
        <v>697</v>
      </c>
      <c r="BP50" s="132" t="s">
        <v>636</v>
      </c>
      <c r="BQ50" s="331"/>
      <c r="BR50" s="338"/>
      <c r="BS50" s="132" t="s">
        <v>95</v>
      </c>
      <c r="BT50" s="132" t="s">
        <v>309</v>
      </c>
      <c r="BU50" s="338"/>
      <c r="BV50" s="338"/>
      <c r="BW50" s="338"/>
      <c r="BX50" s="196"/>
      <c r="CI50" s="161"/>
      <c r="CJ50" s="337"/>
      <c r="CK50" s="132" t="s">
        <v>309</v>
      </c>
      <c r="CL50" s="132" t="s">
        <v>95</v>
      </c>
      <c r="CM50" s="338"/>
      <c r="CU50" s="161"/>
    </row>
    <row r="51" spans="1:99" ht="15" customHeight="1" x14ac:dyDescent="0.25">
      <c r="A51" s="123"/>
      <c r="B51" s="124"/>
      <c r="C51" s="188"/>
      <c r="D51" s="124"/>
      <c r="E51" s="124"/>
      <c r="F51" s="124"/>
      <c r="G51" s="124"/>
      <c r="H51" s="125"/>
      <c r="I51" s="124"/>
      <c r="J51" s="124"/>
      <c r="K51" s="124"/>
      <c r="L51" s="126"/>
      <c r="M51" s="349" t="str">
        <f>M13</f>
        <v>Z1</v>
      </c>
      <c r="N51" s="147">
        <f t="shared" ref="N51:N52" si="75">R13+W13+X13</f>
        <v>1185.8902999999998</v>
      </c>
      <c r="O51" s="147">
        <f>S13+Q13*U51</f>
        <v>16.996700000000001</v>
      </c>
      <c r="P51" s="147">
        <f t="shared" ref="P51:P52" si="76">+T13+P13*U51</f>
        <v>622.35450000000003</v>
      </c>
      <c r="Q51" s="143">
        <f t="shared" ref="Q51:Q52" si="77">IF(O13="Central",40,IF(O13="Medianera",30,IF(O13="Esquinera",20,"Def. Posición")))</f>
        <v>40</v>
      </c>
      <c r="R51" s="163">
        <f t="shared" ref="R51:R52" si="78">MAX(W51:X51)/MIN(W51:X51)</f>
        <v>3.1428571428571432</v>
      </c>
      <c r="S51" s="163">
        <f>MAX(AA13,AC13)/MIN(AA13,AC13)</f>
        <v>1</v>
      </c>
      <c r="T51" s="155">
        <f>2*(W51+X51+2*V13)</f>
        <v>5</v>
      </c>
      <c r="U51" s="164">
        <v>2</v>
      </c>
      <c r="V51" s="165">
        <f t="shared" ref="V51:V52" si="79">W51*X51^3/12</f>
        <v>3.9302083333333324E-3</v>
      </c>
      <c r="W51" s="144">
        <v>1.1000000000000001</v>
      </c>
      <c r="X51" s="144">
        <v>0.35</v>
      </c>
      <c r="Y51" s="349" t="str">
        <f>M51</f>
        <v>Z1</v>
      </c>
      <c r="Z51" s="150">
        <f>N51/(AA13*AC13)*(1+6*AD13/AC13+6*AE13/AA13)</f>
        <v>126.20619883634886</v>
      </c>
      <c r="AA51" s="150">
        <f>N51/(AA13*AC13)*(1+6*AD13/AC13-6*AE13/AA13)</f>
        <v>123.24686278492767</v>
      </c>
      <c r="AB51" s="151">
        <f>N51/(AA13*AC13)*(1-6*AD13/AC13+6*AE13/AA13)</f>
        <v>17.846569695738573</v>
      </c>
      <c r="AC51" s="150">
        <f>N51/(AA13*AC13)*(1-6*AD13/AC13-6*AE13/AA13)</f>
        <v>14.88723364431738</v>
      </c>
      <c r="AD51" s="152">
        <f>MAX(Z51:AC51)/$T$6</f>
        <v>0.91168467445385448</v>
      </c>
      <c r="AE51" s="361" t="str">
        <f>IF(AND(AD13&lt;AC13/6,AE13&lt;AA13/6),"Zapata a compresión","Hay tensiones en la zapata")</f>
        <v>Zapata a compresión</v>
      </c>
      <c r="AF51" s="361"/>
      <c r="AG51" s="148">
        <f t="shared" ref="AG51:AG52" si="80">N51*AI13</f>
        <v>2431.0751149999992</v>
      </c>
      <c r="AH51" s="150">
        <f t="shared" ref="AH51:AH52" si="81">AG51/P51</f>
        <v>3.9062545783793627</v>
      </c>
      <c r="AI51" s="148">
        <f t="shared" ref="AI51:AI52" si="82">N51*AJ13</f>
        <v>2431.0751149999992</v>
      </c>
      <c r="AJ51" s="150">
        <f t="shared" ref="AJ51:AJ52" si="83">AI51/O51</f>
        <v>143.03218360034589</v>
      </c>
      <c r="AK51" s="204"/>
      <c r="AL51" s="204"/>
      <c r="AM51" s="204"/>
      <c r="AN51" s="349" t="str">
        <f>Y51</f>
        <v>Z1</v>
      </c>
      <c r="AO51" s="155">
        <f t="shared" ref="AO51:AO70" si="84">W51*X51</f>
        <v>0.38500000000000001</v>
      </c>
      <c r="AP51" s="155">
        <f t="shared" ref="AP51:AP70" si="85">(4*U13+W51)*(4*U13+X51)</f>
        <v>9.625</v>
      </c>
      <c r="AQ51" s="150">
        <f t="shared" ref="AQ51:AQ74" si="86">MIN(SQRT(AP51/AO51),2)</f>
        <v>2</v>
      </c>
      <c r="AR51" s="150">
        <f t="shared" ref="AR51:AR74" si="87">0.65*0.85*$O$6*AO51*AQ51*10^3</f>
        <v>11911.9</v>
      </c>
      <c r="AS51" s="53" t="str">
        <f t="shared" ref="AS51:AS70" si="88">IF(AR51&gt;=N51,"OK","N/C")</f>
        <v>OK</v>
      </c>
      <c r="AT51" s="155" t="str">
        <f t="shared" ref="AT51:AT70" si="89">IF(O13&lt;&gt;"Central","SÍ","NO")</f>
        <v>NO</v>
      </c>
      <c r="AU51" s="144">
        <v>10.125</v>
      </c>
      <c r="AV51" s="143" t="s">
        <v>730</v>
      </c>
      <c r="AW51" s="163">
        <f t="shared" ref="AW51:AW74" si="90">MAX(AU51/(IF(AV51="DES",20,IF(AV51="DMO",30,40))),0.3)</f>
        <v>0.50624999999999998</v>
      </c>
      <c r="AX51" s="144">
        <v>0.55000000000000004</v>
      </c>
      <c r="AY51" s="144">
        <v>0.3</v>
      </c>
      <c r="AZ51" s="349" t="str">
        <f>AN51</f>
        <v>Z1</v>
      </c>
      <c r="BA51" s="153">
        <f t="shared" ref="BA51:BA70" si="91">SUM(N51/(2*AC13)*(AC13/2-X51/2)^2,O51)</f>
        <v>525.42908852896323</v>
      </c>
      <c r="BB51" s="153">
        <f t="shared" ref="BB51:BB70" si="92">BA51/(0.9*AC13*V13^2)</f>
        <v>516.61753076977129</v>
      </c>
      <c r="BC51" s="150">
        <f t="shared" ref="BC51:BC74" si="93">MAX(0.85*$O$6/$O$7*(1-SQRT(1-2*BB51/(0.85*$O$6*10^3))),0.0018)</f>
        <v>1.8E-3</v>
      </c>
      <c r="BD51" s="148">
        <f t="shared" ref="BD51:BD70" si="94">+BC51*AC13*V13*100^2</f>
        <v>38.744999999999997</v>
      </c>
      <c r="BE51" s="144">
        <v>5</v>
      </c>
      <c r="BF51" s="144">
        <v>27</v>
      </c>
      <c r="BG51" s="155">
        <f t="shared" ref="BG51:BG74" si="95">VLOOKUP(BE51,$N$91:$T$102,7,)*BF51</f>
        <v>53.73</v>
      </c>
      <c r="BH51" s="53" t="str">
        <f t="shared" ref="BH51:BH74" si="96">IF(BG51&gt;=BD51,"OK","N/C")</f>
        <v>OK</v>
      </c>
      <c r="BI51" s="148">
        <f t="shared" ref="BI51:BI70" si="97">ROUND((AC13-2*0.075)/BF51,2)</f>
        <v>0.15</v>
      </c>
      <c r="BJ51" s="155" t="str">
        <f t="shared" ref="BJ51:BJ74" si="98">BF51&amp;"#"&amp;BE51&amp;"@"&amp;ROUNDDOWN(BI51*100/5,0)*5</f>
        <v>27#5@15</v>
      </c>
      <c r="BK51" s="197">
        <f t="shared" ref="BK51:BK74" si="99">BD51/BG51</f>
        <v>0.72110552763819091</v>
      </c>
      <c r="BL51" s="349" t="str">
        <f>AZ51</f>
        <v>Z1</v>
      </c>
      <c r="BM51" s="153">
        <f t="shared" ref="BM51:BM70" si="100">(1+0.5*AA13/AC13)/1.5</f>
        <v>1</v>
      </c>
      <c r="BN51" s="157">
        <v>0.85</v>
      </c>
      <c r="BO51" s="153">
        <f t="shared" ref="BO51:BO74" si="101">BM51*BN51/0.67</f>
        <v>1.2686567164179103</v>
      </c>
      <c r="BP51" s="153">
        <f t="shared" ref="BP51:BP74" si="102">BO51*9.81*(100)^3/(10^3)</f>
        <v>12445.5223880597</v>
      </c>
      <c r="BQ51" s="155" t="s">
        <v>699</v>
      </c>
      <c r="BR51" s="155">
        <f t="shared" ref="BR51:BR74" si="103">IF(BQ51="Empotrado",0.75,1)</f>
        <v>0.75</v>
      </c>
      <c r="BS51" s="153">
        <f t="shared" ref="BS51:BS70" si="104">IF(AT51="SÍ",(N51*(AA13-W51)/2-P51)/(BM13+U13+BP51*BR51^2*BM13^2*AA13^3*AC13/(36*10^3*$O$8*V51)),0)</f>
        <v>0</v>
      </c>
      <c r="BT51" s="153">
        <f t="shared" ref="BT51:BT74" si="105">BP13</f>
        <v>9.2317499999999999</v>
      </c>
      <c r="BU51" s="144">
        <v>6</v>
      </c>
      <c r="BV51" s="155" t="s">
        <v>191</v>
      </c>
      <c r="BW51" s="144">
        <v>6</v>
      </c>
      <c r="BX51" s="121"/>
      <c r="CI51" s="122"/>
      <c r="CJ51" s="349" t="str">
        <f>CJ13</f>
        <v>Z1</v>
      </c>
      <c r="CK51" s="153">
        <f t="shared" ref="CK51:CK74" si="106">CQ13*VLOOKUP(CS13,$N$91:$T$102,7,)</f>
        <v>28.4</v>
      </c>
      <c r="CL51" s="153">
        <f t="shared" ref="CL51:CL74" si="107">0.9*$O$7*CK51*10^3/(100^2)</f>
        <v>1073.5199999999998</v>
      </c>
      <c r="CM51" s="53" t="str">
        <f t="shared" ref="CM51:CM74" si="108">IF(AND(CL51&gt;=CL13,CK51&gt;=CP13),"OK","N/C")</f>
        <v>OK</v>
      </c>
      <c r="CU51" s="117"/>
    </row>
    <row r="52" spans="1:99" ht="15" customHeight="1" x14ac:dyDescent="0.25">
      <c r="A52" s="123"/>
      <c r="B52" s="124"/>
      <c r="C52" s="188"/>
      <c r="D52" s="124"/>
      <c r="E52" s="124"/>
      <c r="F52" s="124"/>
      <c r="G52" s="124"/>
      <c r="H52" s="125"/>
      <c r="I52" s="124"/>
      <c r="J52" s="124"/>
      <c r="K52" s="124"/>
      <c r="L52" s="126"/>
      <c r="M52" s="350"/>
      <c r="N52" s="147">
        <f t="shared" si="75"/>
        <v>1133.0167999999999</v>
      </c>
      <c r="O52" s="147">
        <f t="shared" ref="O52:O53" si="109">S14+Q14*U52</f>
        <v>-12.700200000000002</v>
      </c>
      <c r="P52" s="147">
        <f t="shared" si="76"/>
        <v>-353.31690000000003</v>
      </c>
      <c r="Q52" s="143">
        <f t="shared" si="77"/>
        <v>40</v>
      </c>
      <c r="R52" s="163">
        <f t="shared" si="78"/>
        <v>3.1428571428571432</v>
      </c>
      <c r="S52" s="163">
        <f t="shared" ref="S52:S53" si="110">MAX(AA14,AC14)/MIN(AA14,AC14)</f>
        <v>1</v>
      </c>
      <c r="T52" s="155">
        <f>2*(W52+X52+2*V14)</f>
        <v>5</v>
      </c>
      <c r="U52" s="164">
        <v>2</v>
      </c>
      <c r="V52" s="165">
        <f t="shared" si="79"/>
        <v>3.9302083333333324E-3</v>
      </c>
      <c r="W52" s="144">
        <v>1.1000000000000001</v>
      </c>
      <c r="X52" s="144">
        <v>0.35</v>
      </c>
      <c r="Y52" s="350"/>
      <c r="Z52" s="150">
        <f t="shared" ref="Z52:Z53" si="111">N52/(AA14*AC14)*(1+6*AD14/AC14+6*AE14/AA14)</f>
        <v>35.537300387400066</v>
      </c>
      <c r="AA52" s="150">
        <f t="shared" ref="AA52:AA53" si="112">N52/(AA14*AC14)*(1+6*AD14/AC14-6*AE14/AA14)</f>
        <v>37.748562557130619</v>
      </c>
      <c r="AB52" s="151">
        <f t="shared" ref="AB52:AB53" si="113">N52/(AA14*AC14)*(1-6*AD14/AC14+6*AE14/AA14)</f>
        <v>97.054150113898515</v>
      </c>
      <c r="AC52" s="150">
        <f t="shared" ref="AC52:AC53" si="114">N52/(AA14*AC14)*(1-6*AD14/AC14-6*AE14/AA14)</f>
        <v>99.26541228362909</v>
      </c>
      <c r="AD52" s="152">
        <f t="shared" ref="AD52:AD53" si="115">MAX(Z52:AC52)/$T$6</f>
        <v>0.71707060284477353</v>
      </c>
      <c r="AE52" s="361" t="str">
        <f t="shared" ref="AE52:AE53" si="116">IF(AND(AD14&lt;AC14/6,AE14&lt;AA14/6),"Zapata a compresión","Hay tensiones en la zapata")</f>
        <v>Zapata a compresión</v>
      </c>
      <c r="AF52" s="361"/>
      <c r="AG52" s="148">
        <f t="shared" si="80"/>
        <v>2322.6844399999995</v>
      </c>
      <c r="AH52" s="150">
        <f t="shared" si="81"/>
        <v>-6.5739409578200174</v>
      </c>
      <c r="AI52" s="148">
        <f t="shared" si="82"/>
        <v>2322.6844399999995</v>
      </c>
      <c r="AJ52" s="150">
        <f t="shared" si="83"/>
        <v>-182.88565849356695</v>
      </c>
      <c r="AK52" s="205"/>
      <c r="AL52" s="205"/>
      <c r="AM52" s="205"/>
      <c r="AN52" s="350"/>
      <c r="AO52" s="155">
        <f t="shared" si="84"/>
        <v>0.38500000000000001</v>
      </c>
      <c r="AP52" s="155">
        <f t="shared" si="85"/>
        <v>9.625</v>
      </c>
      <c r="AQ52" s="150">
        <f t="shared" si="86"/>
        <v>2</v>
      </c>
      <c r="AR52" s="150">
        <f t="shared" si="87"/>
        <v>11911.9</v>
      </c>
      <c r="AS52" s="53" t="str">
        <f t="shared" si="88"/>
        <v>OK</v>
      </c>
      <c r="AT52" s="155" t="str">
        <f t="shared" si="89"/>
        <v>NO</v>
      </c>
      <c r="AU52" s="144">
        <v>10.125</v>
      </c>
      <c r="AV52" s="143" t="s">
        <v>730</v>
      </c>
      <c r="AW52" s="163">
        <f t="shared" si="90"/>
        <v>0.50624999999999998</v>
      </c>
      <c r="AX52" s="144">
        <v>0.55000000000000004</v>
      </c>
      <c r="AY52" s="144">
        <v>0.3</v>
      </c>
      <c r="AZ52" s="350"/>
      <c r="BA52" s="153">
        <f t="shared" si="91"/>
        <v>473.06348140243892</v>
      </c>
      <c r="BB52" s="153">
        <f t="shared" si="92"/>
        <v>465.13010603144016</v>
      </c>
      <c r="BC52" s="150">
        <f t="shared" si="93"/>
        <v>1.8E-3</v>
      </c>
      <c r="BD52" s="148">
        <f t="shared" si="94"/>
        <v>38.744999999999997</v>
      </c>
      <c r="BE52" s="144">
        <v>5</v>
      </c>
      <c r="BF52" s="144">
        <v>27</v>
      </c>
      <c r="BG52" s="155">
        <f t="shared" si="95"/>
        <v>53.73</v>
      </c>
      <c r="BH52" s="53" t="str">
        <f t="shared" si="96"/>
        <v>OK</v>
      </c>
      <c r="BI52" s="148">
        <f t="shared" si="97"/>
        <v>0.15</v>
      </c>
      <c r="BJ52" s="155" t="str">
        <f t="shared" si="98"/>
        <v>27#5@15</v>
      </c>
      <c r="BK52" s="197">
        <f t="shared" si="99"/>
        <v>0.72110552763819091</v>
      </c>
      <c r="BL52" s="350"/>
      <c r="BM52" s="153">
        <f t="shared" si="100"/>
        <v>1</v>
      </c>
      <c r="BN52" s="157">
        <v>0.85</v>
      </c>
      <c r="BO52" s="153">
        <f t="shared" si="101"/>
        <v>1.2686567164179103</v>
      </c>
      <c r="BP52" s="153">
        <f t="shared" si="102"/>
        <v>12445.5223880597</v>
      </c>
      <c r="BQ52" s="155" t="s">
        <v>699</v>
      </c>
      <c r="BR52" s="155">
        <f t="shared" si="103"/>
        <v>0.75</v>
      </c>
      <c r="BS52" s="153">
        <f t="shared" si="104"/>
        <v>0</v>
      </c>
      <c r="BT52" s="153">
        <f t="shared" si="105"/>
        <v>9.2317499999999999</v>
      </c>
      <c r="BU52" s="144">
        <v>6</v>
      </c>
      <c r="BV52" s="155" t="s">
        <v>191</v>
      </c>
      <c r="BW52" s="144">
        <v>6</v>
      </c>
      <c r="BX52" s="121"/>
      <c r="CI52" s="122"/>
      <c r="CJ52" s="350"/>
      <c r="CK52" s="153">
        <f t="shared" si="106"/>
        <v>28.4</v>
      </c>
      <c r="CL52" s="153">
        <f t="shared" si="107"/>
        <v>1073.5199999999998</v>
      </c>
      <c r="CM52" s="53" t="str">
        <f t="shared" si="108"/>
        <v>OK</v>
      </c>
      <c r="CU52" s="117"/>
    </row>
    <row r="53" spans="1:99" ht="15" customHeight="1" x14ac:dyDescent="0.25">
      <c r="A53" s="123"/>
      <c r="B53" s="124"/>
      <c r="C53" s="188"/>
      <c r="D53" s="124"/>
      <c r="E53" s="124"/>
      <c r="F53" s="124"/>
      <c r="G53" s="124"/>
      <c r="H53" s="125"/>
      <c r="I53" s="124"/>
      <c r="J53" s="124"/>
      <c r="K53" s="124"/>
      <c r="L53" s="126"/>
      <c r="M53" s="349" t="str">
        <f>M15</f>
        <v>Z1</v>
      </c>
      <c r="N53" s="147">
        <f t="shared" ref="N53:N64" si="117">R15+W15+X15</f>
        <v>886.36279999999988</v>
      </c>
      <c r="O53" s="147">
        <f t="shared" si="109"/>
        <v>0.91400000000000015</v>
      </c>
      <c r="P53" s="147">
        <f t="shared" ref="P53:P64" si="118">+T15+P15*U53</f>
        <v>53.255800000000001</v>
      </c>
      <c r="Q53" s="143">
        <f t="shared" ref="Q53:Q64" si="119">IF(O15="Central",40,IF(O15="Medianera",30,IF(O15="Esquinera",20,"Def. Posición")))</f>
        <v>40</v>
      </c>
      <c r="R53" s="163">
        <f t="shared" ref="R53:R64" si="120">MAX(W53:X53)/MIN(W53:X53)</f>
        <v>3.1428571428571432</v>
      </c>
      <c r="S53" s="163">
        <f t="shared" si="110"/>
        <v>1</v>
      </c>
      <c r="T53" s="155">
        <f t="shared" ref="T53:T64" si="121">2*(W53+X53+2*V15)</f>
        <v>5</v>
      </c>
      <c r="U53" s="164">
        <v>2</v>
      </c>
      <c r="V53" s="165">
        <f t="shared" ref="V53:V64" si="122">W53*X53^3/12</f>
        <v>3.9302083333333324E-3</v>
      </c>
      <c r="W53" s="144">
        <v>1.1000000000000001</v>
      </c>
      <c r="X53" s="144">
        <v>0.35</v>
      </c>
      <c r="Y53" s="349" t="str">
        <f t="shared" ref="Y53" si="123">M53</f>
        <v>Z1</v>
      </c>
      <c r="Z53" s="150">
        <f t="shared" si="111"/>
        <v>57.444121240260593</v>
      </c>
      <c r="AA53" s="150">
        <f t="shared" si="112"/>
        <v>57.284982516214221</v>
      </c>
      <c r="AB53" s="151">
        <f t="shared" si="113"/>
        <v>48.171626644999343</v>
      </c>
      <c r="AC53" s="150">
        <f t="shared" si="114"/>
        <v>48.012487920952971</v>
      </c>
      <c r="AD53" s="152">
        <f t="shared" si="115"/>
        <v>0.41496317498733898</v>
      </c>
      <c r="AE53" s="361" t="str">
        <f t="shared" si="116"/>
        <v>Zapata a compresión</v>
      </c>
      <c r="AF53" s="361"/>
      <c r="AG53" s="148">
        <f t="shared" ref="AG53:AG64" si="124">N53*AI15</f>
        <v>1817.0437399999996</v>
      </c>
      <c r="AH53" s="150">
        <f t="shared" ref="AH53:AH64" si="125">AG53/P53</f>
        <v>34.119170869651747</v>
      </c>
      <c r="AI53" s="148">
        <f t="shared" ref="AI53:AI64" si="126">N53*AJ15</f>
        <v>1817.0437399999996</v>
      </c>
      <c r="AJ53" s="150">
        <f t="shared" ref="AJ53:AJ64" si="127">AI53/O53</f>
        <v>1988.012844638949</v>
      </c>
      <c r="AK53" s="204"/>
      <c r="AL53" s="204"/>
      <c r="AM53" s="204"/>
      <c r="AN53" s="349" t="str">
        <f>Y53</f>
        <v>Z1</v>
      </c>
      <c r="AO53" s="155">
        <f t="shared" si="84"/>
        <v>0.38500000000000001</v>
      </c>
      <c r="AP53" s="155">
        <f t="shared" si="85"/>
        <v>9.625</v>
      </c>
      <c r="AQ53" s="150">
        <f t="shared" si="86"/>
        <v>2</v>
      </c>
      <c r="AR53" s="150">
        <f t="shared" si="87"/>
        <v>11911.9</v>
      </c>
      <c r="AS53" s="53" t="str">
        <f t="shared" si="88"/>
        <v>OK</v>
      </c>
      <c r="AT53" s="155" t="str">
        <f t="shared" si="89"/>
        <v>NO</v>
      </c>
      <c r="AU53" s="144">
        <v>10.125</v>
      </c>
      <c r="AV53" s="143" t="s">
        <v>730</v>
      </c>
      <c r="AW53" s="163">
        <f t="shared" si="90"/>
        <v>0.50624999999999998</v>
      </c>
      <c r="AX53" s="144">
        <v>0.55000000000000004</v>
      </c>
      <c r="AY53" s="144">
        <v>0.3</v>
      </c>
      <c r="AZ53" s="349" t="str">
        <f>AN53</f>
        <v>Z1</v>
      </c>
      <c r="BA53" s="153">
        <f t="shared" si="91"/>
        <v>380.9285388719511</v>
      </c>
      <c r="BB53" s="153">
        <f t="shared" si="92"/>
        <v>374.54028611687022</v>
      </c>
      <c r="BC53" s="150">
        <f t="shared" si="93"/>
        <v>1.8E-3</v>
      </c>
      <c r="BD53" s="148">
        <f t="shared" si="94"/>
        <v>38.744999999999997</v>
      </c>
      <c r="BE53" s="144">
        <v>5</v>
      </c>
      <c r="BF53" s="144">
        <v>27</v>
      </c>
      <c r="BG53" s="155">
        <f t="shared" si="95"/>
        <v>53.73</v>
      </c>
      <c r="BH53" s="53" t="str">
        <f t="shared" si="96"/>
        <v>OK</v>
      </c>
      <c r="BI53" s="148">
        <f t="shared" si="97"/>
        <v>0.15</v>
      </c>
      <c r="BJ53" s="155" t="str">
        <f t="shared" si="98"/>
        <v>27#5@15</v>
      </c>
      <c r="BK53" s="197">
        <f t="shared" si="99"/>
        <v>0.72110552763819091</v>
      </c>
      <c r="BL53" s="349" t="str">
        <f>AZ53</f>
        <v>Z1</v>
      </c>
      <c r="BM53" s="153">
        <f t="shared" si="100"/>
        <v>1</v>
      </c>
      <c r="BN53" s="157">
        <v>0.85</v>
      </c>
      <c r="BO53" s="153">
        <f t="shared" si="101"/>
        <v>1.2686567164179103</v>
      </c>
      <c r="BP53" s="153">
        <f t="shared" si="102"/>
        <v>12445.5223880597</v>
      </c>
      <c r="BQ53" s="155" t="s">
        <v>699</v>
      </c>
      <c r="BR53" s="155">
        <f t="shared" si="103"/>
        <v>0.75</v>
      </c>
      <c r="BS53" s="153">
        <f t="shared" si="104"/>
        <v>0</v>
      </c>
      <c r="BT53" s="153">
        <f t="shared" si="105"/>
        <v>9.2317499999999999</v>
      </c>
      <c r="BU53" s="144">
        <v>6</v>
      </c>
      <c r="BV53" s="155" t="s">
        <v>191</v>
      </c>
      <c r="BW53" s="144">
        <v>6</v>
      </c>
      <c r="BX53" s="121"/>
      <c r="CI53" s="122"/>
      <c r="CJ53" s="349" t="str">
        <f>CJ15</f>
        <v>Z1</v>
      </c>
      <c r="CK53" s="153">
        <f t="shared" si="106"/>
        <v>28.4</v>
      </c>
      <c r="CL53" s="153">
        <f t="shared" si="107"/>
        <v>1073.5199999999998</v>
      </c>
      <c r="CM53" s="53" t="str">
        <f t="shared" si="108"/>
        <v>OK</v>
      </c>
      <c r="CU53" s="117"/>
    </row>
    <row r="54" spans="1:99" ht="15" customHeight="1" x14ac:dyDescent="0.25">
      <c r="A54" s="123"/>
      <c r="B54" s="124"/>
      <c r="C54" s="188"/>
      <c r="D54" s="124"/>
      <c r="E54" s="124"/>
      <c r="F54" s="124"/>
      <c r="G54" s="124"/>
      <c r="H54" s="125"/>
      <c r="I54" s="124"/>
      <c r="J54" s="124"/>
      <c r="K54" s="124"/>
      <c r="L54" s="126"/>
      <c r="M54" s="350"/>
      <c r="N54" s="147">
        <f t="shared" si="117"/>
        <v>879.75109999999984</v>
      </c>
      <c r="O54" s="147">
        <f t="shared" ref="O54:O64" si="128">S16+Q16*U54</f>
        <v>0.90739999999999998</v>
      </c>
      <c r="P54" s="147">
        <f t="shared" si="118"/>
        <v>53.408500000000004</v>
      </c>
      <c r="Q54" s="143">
        <f t="shared" si="119"/>
        <v>40</v>
      </c>
      <c r="R54" s="163">
        <f t="shared" si="120"/>
        <v>3.1428571428571432</v>
      </c>
      <c r="S54" s="163">
        <f t="shared" ref="S54:S64" si="129">MAX(AA16,AC16)/MIN(AA16,AC16)</f>
        <v>1</v>
      </c>
      <c r="T54" s="155">
        <f t="shared" si="121"/>
        <v>5</v>
      </c>
      <c r="U54" s="164">
        <v>2</v>
      </c>
      <c r="V54" s="165">
        <f t="shared" si="122"/>
        <v>3.9302083333333324E-3</v>
      </c>
      <c r="W54" s="144">
        <v>1.1000000000000001</v>
      </c>
      <c r="X54" s="144">
        <v>0.35</v>
      </c>
      <c r="Y54" s="350"/>
      <c r="Z54" s="150">
        <f t="shared" ref="Z54:Z64" si="130">N54/(AA16*AC16)*(1+6*AD16/AC16+6*AE16/AA16)</f>
        <v>57.063520697610301</v>
      </c>
      <c r="AA54" s="150">
        <f t="shared" ref="AA54:AA64" si="131">N54/(AA16*AC16)*(1+6*AD16/AC16-6*AE16/AA16)</f>
        <v>56.905531115334952</v>
      </c>
      <c r="AB54" s="151">
        <f t="shared" ref="AB54:AB64" si="132">N54/(AA16*AC16)*(1-6*AD16/AC16+6*AE16/AA16)</f>
        <v>47.764439140465164</v>
      </c>
      <c r="AC54" s="150">
        <f t="shared" ref="AC54:AC64" si="133">N54/(AA16*AC16)*(1-6*AD16/AC16-6*AE16/AA16)</f>
        <v>47.606449558189802</v>
      </c>
      <c r="AD54" s="152">
        <f t="shared" ref="AD54:AD64" si="134">MAX(Z54:AC54)/$T$6</f>
        <v>0.41221380383899286</v>
      </c>
      <c r="AE54" s="361" t="str">
        <f t="shared" ref="AE54:AE64" si="135">IF(AND(AD16&lt;AC16/6,AE16&lt;AA16/6),"Zapata a compresión","Hay tensiones en la zapata")</f>
        <v>Zapata a compresión</v>
      </c>
      <c r="AF54" s="361"/>
      <c r="AG54" s="148">
        <f t="shared" si="124"/>
        <v>1803.4897549999996</v>
      </c>
      <c r="AH54" s="150">
        <f t="shared" si="125"/>
        <v>33.767841354840513</v>
      </c>
      <c r="AI54" s="148">
        <f t="shared" si="126"/>
        <v>1803.4897549999996</v>
      </c>
      <c r="AJ54" s="150">
        <f t="shared" si="127"/>
        <v>1987.5355466167066</v>
      </c>
      <c r="AK54" s="205"/>
      <c r="AL54" s="205"/>
      <c r="AM54" s="205"/>
      <c r="AN54" s="350"/>
      <c r="AO54" s="155">
        <f t="shared" si="84"/>
        <v>0.38500000000000001</v>
      </c>
      <c r="AP54" s="155">
        <f t="shared" si="85"/>
        <v>9.625</v>
      </c>
      <c r="AQ54" s="150">
        <f t="shared" si="86"/>
        <v>2</v>
      </c>
      <c r="AR54" s="150">
        <f t="shared" si="87"/>
        <v>11911.9</v>
      </c>
      <c r="AS54" s="53" t="str">
        <f t="shared" si="88"/>
        <v>OK</v>
      </c>
      <c r="AT54" s="155" t="str">
        <f t="shared" si="89"/>
        <v>NO</v>
      </c>
      <c r="AU54" s="144">
        <v>10.125</v>
      </c>
      <c r="AV54" s="143" t="s">
        <v>730</v>
      </c>
      <c r="AW54" s="163">
        <f t="shared" si="90"/>
        <v>0.50624999999999998</v>
      </c>
      <c r="AX54" s="144">
        <v>0.55000000000000004</v>
      </c>
      <c r="AY54" s="144">
        <v>0.3</v>
      </c>
      <c r="AZ54" s="350"/>
      <c r="BA54" s="153">
        <f t="shared" si="91"/>
        <v>378.0872732850608</v>
      </c>
      <c r="BB54" s="153">
        <f t="shared" si="92"/>
        <v>371.74666915921398</v>
      </c>
      <c r="BC54" s="150">
        <f t="shared" si="93"/>
        <v>1.8E-3</v>
      </c>
      <c r="BD54" s="148">
        <f t="shared" si="94"/>
        <v>38.744999999999997</v>
      </c>
      <c r="BE54" s="144">
        <v>5</v>
      </c>
      <c r="BF54" s="144">
        <v>27</v>
      </c>
      <c r="BG54" s="155">
        <f t="shared" si="95"/>
        <v>53.73</v>
      </c>
      <c r="BH54" s="53" t="str">
        <f t="shared" si="96"/>
        <v>OK</v>
      </c>
      <c r="BI54" s="148">
        <f t="shared" si="97"/>
        <v>0.15</v>
      </c>
      <c r="BJ54" s="155" t="str">
        <f t="shared" si="98"/>
        <v>27#5@15</v>
      </c>
      <c r="BK54" s="197">
        <f t="shared" si="99"/>
        <v>0.72110552763819091</v>
      </c>
      <c r="BL54" s="350"/>
      <c r="BM54" s="153">
        <f t="shared" si="100"/>
        <v>1</v>
      </c>
      <c r="BN54" s="157">
        <v>0.85</v>
      </c>
      <c r="BO54" s="153">
        <f t="shared" si="101"/>
        <v>1.2686567164179103</v>
      </c>
      <c r="BP54" s="153">
        <f t="shared" si="102"/>
        <v>12445.5223880597</v>
      </c>
      <c r="BQ54" s="155" t="s">
        <v>699</v>
      </c>
      <c r="BR54" s="155">
        <f t="shared" si="103"/>
        <v>0.75</v>
      </c>
      <c r="BS54" s="153">
        <f t="shared" si="104"/>
        <v>0</v>
      </c>
      <c r="BT54" s="153">
        <f t="shared" si="105"/>
        <v>9.2317499999999999</v>
      </c>
      <c r="BU54" s="144">
        <v>6</v>
      </c>
      <c r="BV54" s="155" t="s">
        <v>191</v>
      </c>
      <c r="BW54" s="144">
        <v>6</v>
      </c>
      <c r="BX54" s="121"/>
      <c r="CI54" s="122"/>
      <c r="CJ54" s="350"/>
      <c r="CK54" s="153">
        <f t="shared" si="106"/>
        <v>28.4</v>
      </c>
      <c r="CL54" s="153">
        <f t="shared" si="107"/>
        <v>1073.5199999999998</v>
      </c>
      <c r="CM54" s="53" t="str">
        <f t="shared" si="108"/>
        <v>OK</v>
      </c>
      <c r="CU54" s="117"/>
    </row>
    <row r="55" spans="1:99" ht="15" customHeight="1" x14ac:dyDescent="0.25">
      <c r="A55" s="123"/>
      <c r="B55" s="124"/>
      <c r="C55" s="188"/>
      <c r="D55" s="124"/>
      <c r="E55" s="124"/>
      <c r="F55" s="124"/>
      <c r="G55" s="124"/>
      <c r="H55" s="125"/>
      <c r="I55" s="124"/>
      <c r="J55" s="124"/>
      <c r="K55" s="124"/>
      <c r="L55" s="126"/>
      <c r="M55" s="349" t="str">
        <f>M17</f>
        <v>Z1</v>
      </c>
      <c r="N55" s="147">
        <f t="shared" si="117"/>
        <v>879.75109999999984</v>
      </c>
      <c r="O55" s="147">
        <f t="shared" si="128"/>
        <v>0.90739999999999998</v>
      </c>
      <c r="P55" s="147">
        <f t="shared" si="118"/>
        <v>53.408500000000004</v>
      </c>
      <c r="Q55" s="143">
        <f t="shared" si="119"/>
        <v>40</v>
      </c>
      <c r="R55" s="163">
        <f t="shared" si="120"/>
        <v>3.1428571428571432</v>
      </c>
      <c r="S55" s="163">
        <f t="shared" si="129"/>
        <v>1</v>
      </c>
      <c r="T55" s="155">
        <f t="shared" si="121"/>
        <v>5</v>
      </c>
      <c r="U55" s="164">
        <v>2</v>
      </c>
      <c r="V55" s="165">
        <f t="shared" si="122"/>
        <v>3.9302083333333324E-3</v>
      </c>
      <c r="W55" s="144">
        <v>1.1000000000000001</v>
      </c>
      <c r="X55" s="144">
        <v>0.35</v>
      </c>
      <c r="Y55" s="349" t="str">
        <f t="shared" ref="Y55" si="136">M55</f>
        <v>Z1</v>
      </c>
      <c r="Z55" s="150">
        <f t="shared" si="130"/>
        <v>57.063520697610301</v>
      </c>
      <c r="AA55" s="150">
        <f t="shared" si="131"/>
        <v>56.905531115334952</v>
      </c>
      <c r="AB55" s="151">
        <f t="shared" si="132"/>
        <v>47.764439140465164</v>
      </c>
      <c r="AC55" s="150">
        <f t="shared" si="133"/>
        <v>47.606449558189802</v>
      </c>
      <c r="AD55" s="152">
        <f t="shared" si="134"/>
        <v>0.41221380383899286</v>
      </c>
      <c r="AE55" s="361" t="str">
        <f t="shared" si="135"/>
        <v>Zapata a compresión</v>
      </c>
      <c r="AF55" s="361"/>
      <c r="AG55" s="148">
        <f t="shared" si="124"/>
        <v>1803.4897549999996</v>
      </c>
      <c r="AH55" s="150">
        <f t="shared" si="125"/>
        <v>33.767841354840513</v>
      </c>
      <c r="AI55" s="148">
        <f t="shared" si="126"/>
        <v>1803.4897549999996</v>
      </c>
      <c r="AJ55" s="150">
        <f t="shared" si="127"/>
        <v>1987.5355466167066</v>
      </c>
      <c r="AK55" s="204"/>
      <c r="AL55" s="204"/>
      <c r="AM55" s="204"/>
      <c r="AN55" s="349" t="str">
        <f>Y55</f>
        <v>Z1</v>
      </c>
      <c r="AO55" s="155">
        <f t="shared" si="84"/>
        <v>0.38500000000000001</v>
      </c>
      <c r="AP55" s="155">
        <f t="shared" si="85"/>
        <v>9.625</v>
      </c>
      <c r="AQ55" s="150">
        <f t="shared" si="86"/>
        <v>2</v>
      </c>
      <c r="AR55" s="150">
        <f t="shared" si="87"/>
        <v>11911.9</v>
      </c>
      <c r="AS55" s="53" t="str">
        <f t="shared" si="88"/>
        <v>OK</v>
      </c>
      <c r="AT55" s="155" t="str">
        <f t="shared" si="89"/>
        <v>NO</v>
      </c>
      <c r="AU55" s="144">
        <v>10.125</v>
      </c>
      <c r="AV55" s="143" t="s">
        <v>730</v>
      </c>
      <c r="AW55" s="163">
        <f t="shared" si="90"/>
        <v>0.50624999999999998</v>
      </c>
      <c r="AX55" s="144">
        <v>0.55000000000000004</v>
      </c>
      <c r="AY55" s="144">
        <v>0.3</v>
      </c>
      <c r="AZ55" s="349" t="str">
        <f>AN55</f>
        <v>Z1</v>
      </c>
      <c r="BA55" s="153">
        <f t="shared" si="91"/>
        <v>378.0872732850608</v>
      </c>
      <c r="BB55" s="153">
        <f t="shared" si="92"/>
        <v>371.74666915921398</v>
      </c>
      <c r="BC55" s="150">
        <f t="shared" si="93"/>
        <v>1.8E-3</v>
      </c>
      <c r="BD55" s="148">
        <f t="shared" si="94"/>
        <v>38.744999999999997</v>
      </c>
      <c r="BE55" s="144">
        <v>5</v>
      </c>
      <c r="BF55" s="144">
        <v>27</v>
      </c>
      <c r="BG55" s="155">
        <f t="shared" si="95"/>
        <v>53.73</v>
      </c>
      <c r="BH55" s="53" t="str">
        <f t="shared" si="96"/>
        <v>OK</v>
      </c>
      <c r="BI55" s="148">
        <f t="shared" si="97"/>
        <v>0.15</v>
      </c>
      <c r="BJ55" s="155" t="str">
        <f t="shared" si="98"/>
        <v>27#5@15</v>
      </c>
      <c r="BK55" s="197">
        <f t="shared" si="99"/>
        <v>0.72110552763819091</v>
      </c>
      <c r="BL55" s="349" t="str">
        <f>AZ55</f>
        <v>Z1</v>
      </c>
      <c r="BM55" s="153">
        <f t="shared" si="100"/>
        <v>1</v>
      </c>
      <c r="BN55" s="157">
        <v>0.85</v>
      </c>
      <c r="BO55" s="153">
        <f t="shared" si="101"/>
        <v>1.2686567164179103</v>
      </c>
      <c r="BP55" s="153">
        <f t="shared" si="102"/>
        <v>12445.5223880597</v>
      </c>
      <c r="BQ55" s="155" t="s">
        <v>699</v>
      </c>
      <c r="BR55" s="155">
        <f t="shared" si="103"/>
        <v>0.75</v>
      </c>
      <c r="BS55" s="153">
        <f t="shared" si="104"/>
        <v>0</v>
      </c>
      <c r="BT55" s="153">
        <f t="shared" si="105"/>
        <v>9.2317499999999999</v>
      </c>
      <c r="BU55" s="144">
        <v>6</v>
      </c>
      <c r="BV55" s="155" t="s">
        <v>191</v>
      </c>
      <c r="BW55" s="144">
        <v>6</v>
      </c>
      <c r="BX55" s="121"/>
      <c r="CI55" s="122"/>
      <c r="CJ55" s="349" t="str">
        <f>CJ17</f>
        <v>Z1</v>
      </c>
      <c r="CK55" s="153">
        <f t="shared" si="106"/>
        <v>28.4</v>
      </c>
      <c r="CL55" s="153">
        <f t="shared" si="107"/>
        <v>1073.5199999999998</v>
      </c>
      <c r="CM55" s="53" t="str">
        <f t="shared" si="108"/>
        <v>OK</v>
      </c>
      <c r="CU55" s="117"/>
    </row>
    <row r="56" spans="1:99" ht="15" customHeight="1" x14ac:dyDescent="0.25">
      <c r="A56" s="123"/>
      <c r="B56" s="124"/>
      <c r="C56" s="188"/>
      <c r="D56" s="124"/>
      <c r="E56" s="124"/>
      <c r="F56" s="124"/>
      <c r="G56" s="124"/>
      <c r="H56" s="125"/>
      <c r="I56" s="124"/>
      <c r="J56" s="124"/>
      <c r="K56" s="124"/>
      <c r="L56" s="126"/>
      <c r="M56" s="350"/>
      <c r="N56" s="147">
        <f t="shared" si="117"/>
        <v>879.75109999999984</v>
      </c>
      <c r="O56" s="147">
        <f t="shared" si="128"/>
        <v>0.90739999999999998</v>
      </c>
      <c r="P56" s="147">
        <f t="shared" si="118"/>
        <v>53.408500000000004</v>
      </c>
      <c r="Q56" s="143">
        <f t="shared" si="119"/>
        <v>40</v>
      </c>
      <c r="R56" s="163">
        <f t="shared" si="120"/>
        <v>3.1428571428571432</v>
      </c>
      <c r="S56" s="163">
        <f t="shared" si="129"/>
        <v>1</v>
      </c>
      <c r="T56" s="155">
        <f t="shared" si="121"/>
        <v>5</v>
      </c>
      <c r="U56" s="164">
        <v>2</v>
      </c>
      <c r="V56" s="165">
        <f t="shared" si="122"/>
        <v>3.9302083333333324E-3</v>
      </c>
      <c r="W56" s="144">
        <v>1.1000000000000001</v>
      </c>
      <c r="X56" s="144">
        <v>0.35</v>
      </c>
      <c r="Y56" s="350"/>
      <c r="Z56" s="150">
        <f t="shared" si="130"/>
        <v>57.063520697610301</v>
      </c>
      <c r="AA56" s="150">
        <f t="shared" si="131"/>
        <v>56.905531115334952</v>
      </c>
      <c r="AB56" s="151">
        <f t="shared" si="132"/>
        <v>47.764439140465164</v>
      </c>
      <c r="AC56" s="150">
        <f t="shared" si="133"/>
        <v>47.606449558189802</v>
      </c>
      <c r="AD56" s="152">
        <f t="shared" si="134"/>
        <v>0.41221380383899286</v>
      </c>
      <c r="AE56" s="361" t="str">
        <f t="shared" si="135"/>
        <v>Zapata a compresión</v>
      </c>
      <c r="AF56" s="361"/>
      <c r="AG56" s="148">
        <f t="shared" si="124"/>
        <v>1803.4897549999996</v>
      </c>
      <c r="AH56" s="150">
        <f t="shared" si="125"/>
        <v>33.767841354840513</v>
      </c>
      <c r="AI56" s="148">
        <f t="shared" si="126"/>
        <v>1803.4897549999996</v>
      </c>
      <c r="AJ56" s="150">
        <f t="shared" si="127"/>
        <v>1987.5355466167066</v>
      </c>
      <c r="AK56" s="205"/>
      <c r="AL56" s="205"/>
      <c r="AM56" s="205"/>
      <c r="AN56" s="350"/>
      <c r="AO56" s="155">
        <f t="shared" si="84"/>
        <v>0.38500000000000001</v>
      </c>
      <c r="AP56" s="155">
        <f t="shared" si="85"/>
        <v>9.625</v>
      </c>
      <c r="AQ56" s="150">
        <f t="shared" si="86"/>
        <v>2</v>
      </c>
      <c r="AR56" s="150">
        <f t="shared" si="87"/>
        <v>11911.9</v>
      </c>
      <c r="AS56" s="53" t="str">
        <f t="shared" si="88"/>
        <v>OK</v>
      </c>
      <c r="AT56" s="155" t="str">
        <f t="shared" si="89"/>
        <v>NO</v>
      </c>
      <c r="AU56" s="144">
        <v>10.125</v>
      </c>
      <c r="AV56" s="143" t="s">
        <v>730</v>
      </c>
      <c r="AW56" s="163">
        <f t="shared" si="90"/>
        <v>0.50624999999999998</v>
      </c>
      <c r="AX56" s="144">
        <v>0.55000000000000004</v>
      </c>
      <c r="AY56" s="144">
        <v>0.3</v>
      </c>
      <c r="AZ56" s="350"/>
      <c r="BA56" s="153">
        <f t="shared" si="91"/>
        <v>378.0872732850608</v>
      </c>
      <c r="BB56" s="153">
        <f t="shared" si="92"/>
        <v>371.74666915921398</v>
      </c>
      <c r="BC56" s="150">
        <f t="shared" si="93"/>
        <v>1.8E-3</v>
      </c>
      <c r="BD56" s="148">
        <f t="shared" si="94"/>
        <v>38.744999999999997</v>
      </c>
      <c r="BE56" s="144">
        <v>5</v>
      </c>
      <c r="BF56" s="144">
        <v>27</v>
      </c>
      <c r="BG56" s="155">
        <f t="shared" si="95"/>
        <v>53.73</v>
      </c>
      <c r="BH56" s="53" t="str">
        <f t="shared" si="96"/>
        <v>OK</v>
      </c>
      <c r="BI56" s="148">
        <f t="shared" si="97"/>
        <v>0.15</v>
      </c>
      <c r="BJ56" s="155" t="str">
        <f t="shared" si="98"/>
        <v>27#5@15</v>
      </c>
      <c r="BK56" s="197">
        <f t="shared" si="99"/>
        <v>0.72110552763819091</v>
      </c>
      <c r="BL56" s="350"/>
      <c r="BM56" s="153">
        <f t="shared" si="100"/>
        <v>1</v>
      </c>
      <c r="BN56" s="157">
        <v>0.85</v>
      </c>
      <c r="BO56" s="153">
        <f t="shared" si="101"/>
        <v>1.2686567164179103</v>
      </c>
      <c r="BP56" s="153">
        <f t="shared" si="102"/>
        <v>12445.5223880597</v>
      </c>
      <c r="BQ56" s="155" t="s">
        <v>699</v>
      </c>
      <c r="BR56" s="155">
        <f t="shared" si="103"/>
        <v>0.75</v>
      </c>
      <c r="BS56" s="153">
        <f t="shared" si="104"/>
        <v>0</v>
      </c>
      <c r="BT56" s="153">
        <f t="shared" si="105"/>
        <v>9.2317499999999999</v>
      </c>
      <c r="BU56" s="144">
        <v>6</v>
      </c>
      <c r="BV56" s="155" t="s">
        <v>191</v>
      </c>
      <c r="BW56" s="144">
        <v>6</v>
      </c>
      <c r="BX56" s="121"/>
      <c r="CI56" s="122"/>
      <c r="CJ56" s="350"/>
      <c r="CK56" s="153">
        <f t="shared" si="106"/>
        <v>28.4</v>
      </c>
      <c r="CL56" s="153">
        <f t="shared" si="107"/>
        <v>1073.5199999999998</v>
      </c>
      <c r="CM56" s="53" t="str">
        <f t="shared" si="108"/>
        <v>OK</v>
      </c>
      <c r="CU56" s="117"/>
    </row>
    <row r="57" spans="1:99" ht="15" customHeight="1" x14ac:dyDescent="0.25">
      <c r="A57" s="123"/>
      <c r="B57" s="124"/>
      <c r="C57" s="188"/>
      <c r="D57" s="124"/>
      <c r="E57" s="124"/>
      <c r="F57" s="124"/>
      <c r="G57" s="124"/>
      <c r="H57" s="125"/>
      <c r="I57" s="124"/>
      <c r="J57" s="124"/>
      <c r="K57" s="124"/>
      <c r="L57" s="126"/>
      <c r="M57" s="349" t="str">
        <f>M19</f>
        <v>Z1</v>
      </c>
      <c r="N57" s="147">
        <f t="shared" si="117"/>
        <v>914.99999999999977</v>
      </c>
      <c r="O57" s="147">
        <f t="shared" si="128"/>
        <v>20.705399999999997</v>
      </c>
      <c r="P57" s="147">
        <f t="shared" si="118"/>
        <v>703.85620000000006</v>
      </c>
      <c r="Q57" s="143">
        <f t="shared" si="119"/>
        <v>40</v>
      </c>
      <c r="R57" s="163">
        <f t="shared" si="120"/>
        <v>3.1428571428571432</v>
      </c>
      <c r="S57" s="163">
        <f t="shared" si="129"/>
        <v>1</v>
      </c>
      <c r="T57" s="155">
        <f t="shared" si="121"/>
        <v>5</v>
      </c>
      <c r="U57" s="164">
        <v>2</v>
      </c>
      <c r="V57" s="165">
        <f t="shared" si="122"/>
        <v>3.9302083333333324E-3</v>
      </c>
      <c r="W57" s="144">
        <v>1.1000000000000001</v>
      </c>
      <c r="X57" s="144">
        <v>0.35</v>
      </c>
      <c r="Y57" s="349" t="str">
        <f t="shared" ref="Y57" si="137">M57</f>
        <v>Z1</v>
      </c>
      <c r="Z57" s="150">
        <f t="shared" si="130"/>
        <v>117.50946155743532</v>
      </c>
      <c r="AA57" s="150">
        <f t="shared" si="131"/>
        <v>113.90439488689948</v>
      </c>
      <c r="AB57" s="151">
        <f t="shared" si="132"/>
        <v>-5.0406233223545946</v>
      </c>
      <c r="AC57" s="150">
        <f t="shared" si="133"/>
        <v>-8.6456899928904249</v>
      </c>
      <c r="AD57" s="152">
        <f t="shared" si="134"/>
        <v>0.84886143622909749</v>
      </c>
      <c r="AE57" s="361" t="str">
        <f t="shared" si="135"/>
        <v>Hay tensiones en la zapata</v>
      </c>
      <c r="AF57" s="361"/>
      <c r="AG57" s="148">
        <f t="shared" si="124"/>
        <v>1875.7499999999993</v>
      </c>
      <c r="AH57" s="150">
        <f t="shared" si="125"/>
        <v>2.6649619624008416</v>
      </c>
      <c r="AI57" s="148">
        <f t="shared" si="126"/>
        <v>1875.7499999999993</v>
      </c>
      <c r="AJ57" s="150">
        <f t="shared" si="127"/>
        <v>90.592309252658708</v>
      </c>
      <c r="AK57" s="204"/>
      <c r="AL57" s="204"/>
      <c r="AM57" s="204"/>
      <c r="AN57" s="349" t="str">
        <f>Y57</f>
        <v>Z1</v>
      </c>
      <c r="AO57" s="155">
        <f t="shared" si="84"/>
        <v>0.38500000000000001</v>
      </c>
      <c r="AP57" s="155">
        <f t="shared" si="85"/>
        <v>9.625</v>
      </c>
      <c r="AQ57" s="150">
        <f t="shared" si="86"/>
        <v>2</v>
      </c>
      <c r="AR57" s="150">
        <f t="shared" si="87"/>
        <v>11911.9</v>
      </c>
      <c r="AS57" s="53" t="str">
        <f t="shared" si="88"/>
        <v>OK</v>
      </c>
      <c r="AT57" s="155" t="str">
        <f t="shared" si="89"/>
        <v>NO</v>
      </c>
      <c r="AU57" s="144">
        <v>10.125</v>
      </c>
      <c r="AV57" s="143" t="s">
        <v>730</v>
      </c>
      <c r="AW57" s="163">
        <f t="shared" si="90"/>
        <v>0.50624999999999998</v>
      </c>
      <c r="AX57" s="144">
        <v>0.55000000000000004</v>
      </c>
      <c r="AY57" s="144">
        <v>0.3</v>
      </c>
      <c r="AZ57" s="349" t="str">
        <f>AN57</f>
        <v>Z1</v>
      </c>
      <c r="BA57" s="153">
        <f t="shared" si="91"/>
        <v>412.99770182926812</v>
      </c>
      <c r="BB57" s="153">
        <f t="shared" si="92"/>
        <v>406.07164237894227</v>
      </c>
      <c r="BC57" s="150">
        <f t="shared" si="93"/>
        <v>1.8E-3</v>
      </c>
      <c r="BD57" s="148">
        <f t="shared" si="94"/>
        <v>38.744999999999997</v>
      </c>
      <c r="BE57" s="144">
        <v>5</v>
      </c>
      <c r="BF57" s="144">
        <v>17</v>
      </c>
      <c r="BG57" s="155">
        <f t="shared" si="95"/>
        <v>33.83</v>
      </c>
      <c r="BH57" s="53" t="str">
        <f t="shared" si="96"/>
        <v>N/C</v>
      </c>
      <c r="BI57" s="148">
        <f t="shared" si="97"/>
        <v>0.23</v>
      </c>
      <c r="BJ57" s="155" t="str">
        <f t="shared" si="98"/>
        <v>17#5@20</v>
      </c>
      <c r="BK57" s="197">
        <f t="shared" si="99"/>
        <v>1.1452852497783033</v>
      </c>
      <c r="BL57" s="349" t="str">
        <f>AZ57</f>
        <v>Z1</v>
      </c>
      <c r="BM57" s="153">
        <f t="shared" si="100"/>
        <v>1</v>
      </c>
      <c r="BN57" s="157">
        <v>0.85</v>
      </c>
      <c r="BO57" s="153">
        <f t="shared" si="101"/>
        <v>1.2686567164179103</v>
      </c>
      <c r="BP57" s="153">
        <f t="shared" si="102"/>
        <v>12445.5223880597</v>
      </c>
      <c r="BQ57" s="155" t="s">
        <v>699</v>
      </c>
      <c r="BR57" s="155">
        <f t="shared" si="103"/>
        <v>0.75</v>
      </c>
      <c r="BS57" s="153">
        <f t="shared" si="104"/>
        <v>0</v>
      </c>
      <c r="BT57" s="153">
        <f t="shared" si="105"/>
        <v>9.2317499999999999</v>
      </c>
      <c r="BU57" s="144">
        <v>6</v>
      </c>
      <c r="BV57" s="155" t="s">
        <v>191</v>
      </c>
      <c r="BW57" s="144">
        <v>6</v>
      </c>
      <c r="BX57" s="121"/>
      <c r="CI57" s="122"/>
      <c r="CJ57" s="349" t="str">
        <f>CJ19</f>
        <v>Z1</v>
      </c>
      <c r="CK57" s="153">
        <f t="shared" si="106"/>
        <v>28.4</v>
      </c>
      <c r="CL57" s="153">
        <f t="shared" si="107"/>
        <v>1073.5199999999998</v>
      </c>
      <c r="CM57" s="53" t="str">
        <f t="shared" si="108"/>
        <v>OK</v>
      </c>
      <c r="CU57" s="117"/>
    </row>
    <row r="58" spans="1:99" ht="15" customHeight="1" x14ac:dyDescent="0.25">
      <c r="A58" s="123"/>
      <c r="L58" s="126"/>
      <c r="M58" s="350"/>
      <c r="N58" s="147">
        <f t="shared" si="117"/>
        <v>844.50209999999981</v>
      </c>
      <c r="O58" s="147">
        <f t="shared" si="128"/>
        <v>-18.890899999999998</v>
      </c>
      <c r="P58" s="147">
        <f t="shared" si="118"/>
        <v>-597.03899999999999</v>
      </c>
      <c r="Q58" s="143">
        <f t="shared" si="119"/>
        <v>40</v>
      </c>
      <c r="R58" s="163">
        <f t="shared" si="120"/>
        <v>3.1428571428571432</v>
      </c>
      <c r="S58" s="163">
        <f t="shared" si="129"/>
        <v>1</v>
      </c>
      <c r="T58" s="155">
        <f t="shared" si="121"/>
        <v>5</v>
      </c>
      <c r="U58" s="164">
        <v>2</v>
      </c>
      <c r="V58" s="165">
        <f t="shared" si="122"/>
        <v>3.9302083333333324E-3</v>
      </c>
      <c r="W58" s="144">
        <v>1.1000000000000001</v>
      </c>
      <c r="X58" s="144">
        <v>0.35</v>
      </c>
      <c r="Y58" s="350"/>
      <c r="Z58" s="150">
        <f t="shared" si="130"/>
        <v>-3.382434816674178</v>
      </c>
      <c r="AA58" s="150">
        <f t="shared" si="131"/>
        <v>-9.329507697220038E-2</v>
      </c>
      <c r="AB58" s="151">
        <f t="shared" si="132"/>
        <v>100.56945212634756</v>
      </c>
      <c r="AC58" s="150">
        <f t="shared" si="133"/>
        <v>103.85859186604955</v>
      </c>
      <c r="AD58" s="152">
        <f t="shared" si="134"/>
        <v>0.75025068013825935</v>
      </c>
      <c r="AE58" s="361" t="str">
        <f t="shared" si="135"/>
        <v>Zapata a compresión</v>
      </c>
      <c r="AF58" s="361"/>
      <c r="AG58" s="148">
        <f t="shared" si="124"/>
        <v>1731.2293049999994</v>
      </c>
      <c r="AH58" s="150">
        <f t="shared" si="125"/>
        <v>-2.8996921557888169</v>
      </c>
      <c r="AI58" s="148">
        <f t="shared" si="126"/>
        <v>1731.2293049999994</v>
      </c>
      <c r="AJ58" s="150">
        <f t="shared" si="127"/>
        <v>-91.643558803445018</v>
      </c>
      <c r="AK58" s="205"/>
      <c r="AL58" s="205"/>
      <c r="AM58" s="205"/>
      <c r="AN58" s="350"/>
      <c r="AO58" s="155">
        <f t="shared" si="84"/>
        <v>0.38500000000000001</v>
      </c>
      <c r="AP58" s="155">
        <f t="shared" si="85"/>
        <v>9.625</v>
      </c>
      <c r="AQ58" s="150">
        <f t="shared" si="86"/>
        <v>2</v>
      </c>
      <c r="AR58" s="150">
        <f t="shared" si="87"/>
        <v>11911.9</v>
      </c>
      <c r="AS58" s="53" t="str">
        <f t="shared" si="88"/>
        <v>OK</v>
      </c>
      <c r="AT58" s="155" t="str">
        <f t="shared" si="89"/>
        <v>NO</v>
      </c>
      <c r="AU58" s="144">
        <v>10.125</v>
      </c>
      <c r="AV58" s="143" t="s">
        <v>730</v>
      </c>
      <c r="AW58" s="163">
        <f t="shared" si="90"/>
        <v>0.50624999999999998</v>
      </c>
      <c r="AX58" s="144">
        <v>0.55000000000000004</v>
      </c>
      <c r="AY58" s="144">
        <v>0.3</v>
      </c>
      <c r="AZ58" s="350"/>
      <c r="BA58" s="153">
        <f t="shared" si="91"/>
        <v>343.17650186737791</v>
      </c>
      <c r="BB58" s="153">
        <f t="shared" si="92"/>
        <v>337.42135881607129</v>
      </c>
      <c r="BC58" s="150">
        <f t="shared" si="93"/>
        <v>1.8E-3</v>
      </c>
      <c r="BD58" s="148">
        <f t="shared" si="94"/>
        <v>38.744999999999997</v>
      </c>
      <c r="BE58" s="144">
        <v>5</v>
      </c>
      <c r="BF58" s="144">
        <v>17</v>
      </c>
      <c r="BG58" s="155">
        <f t="shared" si="95"/>
        <v>33.83</v>
      </c>
      <c r="BH58" s="53" t="str">
        <f t="shared" si="96"/>
        <v>N/C</v>
      </c>
      <c r="BI58" s="148">
        <f t="shared" si="97"/>
        <v>0.23</v>
      </c>
      <c r="BJ58" s="155" t="str">
        <f t="shared" si="98"/>
        <v>17#5@20</v>
      </c>
      <c r="BK58" s="197">
        <f t="shared" si="99"/>
        <v>1.1452852497783033</v>
      </c>
      <c r="BL58" s="350"/>
      <c r="BM58" s="153">
        <f t="shared" si="100"/>
        <v>1</v>
      </c>
      <c r="BN58" s="157">
        <v>0.85</v>
      </c>
      <c r="BO58" s="153">
        <f t="shared" si="101"/>
        <v>1.2686567164179103</v>
      </c>
      <c r="BP58" s="153">
        <f t="shared" si="102"/>
        <v>12445.5223880597</v>
      </c>
      <c r="BQ58" s="155" t="s">
        <v>699</v>
      </c>
      <c r="BR58" s="155">
        <f t="shared" si="103"/>
        <v>0.75</v>
      </c>
      <c r="BS58" s="153">
        <f t="shared" si="104"/>
        <v>0</v>
      </c>
      <c r="BT58" s="153">
        <f t="shared" si="105"/>
        <v>9.2317499999999999</v>
      </c>
      <c r="BU58" s="144">
        <v>6</v>
      </c>
      <c r="BV58" s="155" t="s">
        <v>191</v>
      </c>
      <c r="BW58" s="144">
        <v>6</v>
      </c>
      <c r="BX58" s="121"/>
      <c r="CI58" s="122"/>
      <c r="CJ58" s="350"/>
      <c r="CK58" s="153">
        <f t="shared" si="106"/>
        <v>28.4</v>
      </c>
      <c r="CL58" s="153">
        <f t="shared" si="107"/>
        <v>1073.5199999999998</v>
      </c>
      <c r="CM58" s="53" t="str">
        <f t="shared" si="108"/>
        <v>OK</v>
      </c>
      <c r="CU58" s="117"/>
    </row>
    <row r="59" spans="1:99" ht="15" customHeight="1" x14ac:dyDescent="0.25">
      <c r="A59" s="123"/>
      <c r="L59" s="126"/>
      <c r="M59" s="349" t="str">
        <f>M21</f>
        <v>Z1</v>
      </c>
      <c r="N59" s="147">
        <f t="shared" si="117"/>
        <v>914.99999999999977</v>
      </c>
      <c r="O59" s="147">
        <f t="shared" si="128"/>
        <v>20.705399999999997</v>
      </c>
      <c r="P59" s="147">
        <f t="shared" si="118"/>
        <v>703.85620000000006</v>
      </c>
      <c r="Q59" s="143">
        <f t="shared" si="119"/>
        <v>40</v>
      </c>
      <c r="R59" s="163">
        <f t="shared" si="120"/>
        <v>3.1428571428571432</v>
      </c>
      <c r="S59" s="163">
        <f t="shared" si="129"/>
        <v>1</v>
      </c>
      <c r="T59" s="155">
        <f t="shared" si="121"/>
        <v>5</v>
      </c>
      <c r="U59" s="164">
        <v>2</v>
      </c>
      <c r="V59" s="165">
        <f t="shared" si="122"/>
        <v>3.9302083333333324E-3</v>
      </c>
      <c r="W59" s="144">
        <v>1.1000000000000001</v>
      </c>
      <c r="X59" s="144">
        <v>0.35</v>
      </c>
      <c r="Y59" s="349" t="str">
        <f t="shared" ref="Y59" si="138">M59</f>
        <v>Z1</v>
      </c>
      <c r="Z59" s="150">
        <f t="shared" si="130"/>
        <v>117.50946155743532</v>
      </c>
      <c r="AA59" s="150">
        <f t="shared" si="131"/>
        <v>113.90439488689948</v>
      </c>
      <c r="AB59" s="151">
        <f t="shared" si="132"/>
        <v>-5.0406233223545946</v>
      </c>
      <c r="AC59" s="150">
        <f t="shared" si="133"/>
        <v>-8.6456899928904249</v>
      </c>
      <c r="AD59" s="152">
        <f t="shared" si="134"/>
        <v>0.84886143622909749</v>
      </c>
      <c r="AE59" s="361" t="str">
        <f t="shared" si="135"/>
        <v>Hay tensiones en la zapata</v>
      </c>
      <c r="AF59" s="361"/>
      <c r="AG59" s="148">
        <f t="shared" si="124"/>
        <v>1875.7499999999993</v>
      </c>
      <c r="AH59" s="150">
        <f t="shared" si="125"/>
        <v>2.6649619624008416</v>
      </c>
      <c r="AI59" s="148">
        <f t="shared" si="126"/>
        <v>1875.7499999999993</v>
      </c>
      <c r="AJ59" s="150">
        <f t="shared" si="127"/>
        <v>90.592309252658708</v>
      </c>
      <c r="AK59" s="204"/>
      <c r="AL59" s="204"/>
      <c r="AM59" s="204"/>
      <c r="AN59" s="349" t="str">
        <f>Y59</f>
        <v>Z1</v>
      </c>
      <c r="AO59" s="155">
        <f t="shared" si="84"/>
        <v>0.38500000000000001</v>
      </c>
      <c r="AP59" s="155">
        <f t="shared" si="85"/>
        <v>9.625</v>
      </c>
      <c r="AQ59" s="150">
        <f t="shared" si="86"/>
        <v>2</v>
      </c>
      <c r="AR59" s="150">
        <f t="shared" si="87"/>
        <v>11911.9</v>
      </c>
      <c r="AS59" s="53" t="str">
        <f t="shared" si="88"/>
        <v>OK</v>
      </c>
      <c r="AT59" s="155" t="str">
        <f t="shared" si="89"/>
        <v>NO</v>
      </c>
      <c r="AU59" s="144">
        <v>10.125</v>
      </c>
      <c r="AV59" s="143" t="s">
        <v>730</v>
      </c>
      <c r="AW59" s="163">
        <f t="shared" si="90"/>
        <v>0.50624999999999998</v>
      </c>
      <c r="AX59" s="144">
        <v>0.55000000000000004</v>
      </c>
      <c r="AY59" s="144">
        <v>0.3</v>
      </c>
      <c r="AZ59" s="349" t="str">
        <f>AN59</f>
        <v>Z1</v>
      </c>
      <c r="BA59" s="153">
        <f t="shared" si="91"/>
        <v>412.99770182926812</v>
      </c>
      <c r="BB59" s="153">
        <f t="shared" si="92"/>
        <v>406.07164237894227</v>
      </c>
      <c r="BC59" s="150">
        <f t="shared" si="93"/>
        <v>1.8E-3</v>
      </c>
      <c r="BD59" s="148">
        <f t="shared" si="94"/>
        <v>38.744999999999997</v>
      </c>
      <c r="BE59" s="144">
        <v>5</v>
      </c>
      <c r="BF59" s="144">
        <v>18</v>
      </c>
      <c r="BG59" s="155">
        <f t="shared" si="95"/>
        <v>35.82</v>
      </c>
      <c r="BH59" s="53" t="str">
        <f t="shared" si="96"/>
        <v>N/C</v>
      </c>
      <c r="BI59" s="148">
        <f t="shared" si="97"/>
        <v>0.22</v>
      </c>
      <c r="BJ59" s="155" t="str">
        <f t="shared" si="98"/>
        <v>18#5@20</v>
      </c>
      <c r="BK59" s="197">
        <f t="shared" si="99"/>
        <v>1.0816582914572863</v>
      </c>
      <c r="BL59" s="349" t="str">
        <f>AZ59</f>
        <v>Z1</v>
      </c>
      <c r="BM59" s="153">
        <f t="shared" si="100"/>
        <v>1</v>
      </c>
      <c r="BN59" s="157">
        <v>0.85</v>
      </c>
      <c r="BO59" s="153">
        <f t="shared" si="101"/>
        <v>1.2686567164179103</v>
      </c>
      <c r="BP59" s="153">
        <f t="shared" si="102"/>
        <v>12445.5223880597</v>
      </c>
      <c r="BQ59" s="155" t="s">
        <v>699</v>
      </c>
      <c r="BR59" s="155">
        <f t="shared" si="103"/>
        <v>0.75</v>
      </c>
      <c r="BS59" s="153">
        <f t="shared" si="104"/>
        <v>0</v>
      </c>
      <c r="BT59" s="153">
        <f t="shared" si="105"/>
        <v>9.2317499999999999</v>
      </c>
      <c r="BU59" s="144">
        <v>6</v>
      </c>
      <c r="BV59" s="155" t="s">
        <v>191</v>
      </c>
      <c r="BW59" s="144">
        <v>6</v>
      </c>
      <c r="BX59" s="121"/>
      <c r="CI59" s="122"/>
      <c r="CJ59" s="349" t="str">
        <f>CJ21</f>
        <v>Z1</v>
      </c>
      <c r="CK59" s="153">
        <f t="shared" si="106"/>
        <v>28.4</v>
      </c>
      <c r="CL59" s="153">
        <f t="shared" si="107"/>
        <v>1073.5199999999998</v>
      </c>
      <c r="CM59" s="53" t="str">
        <f t="shared" si="108"/>
        <v>OK</v>
      </c>
      <c r="CU59" s="117"/>
    </row>
    <row r="60" spans="1:99" ht="15" customHeight="1" x14ac:dyDescent="0.25">
      <c r="A60" s="123"/>
      <c r="B60" s="124"/>
      <c r="C60" s="188"/>
      <c r="D60" s="124"/>
      <c r="E60" s="124"/>
      <c r="F60" s="124"/>
      <c r="G60" s="124"/>
      <c r="H60" s="125"/>
      <c r="I60" s="124"/>
      <c r="J60" s="124"/>
      <c r="K60" s="124"/>
      <c r="L60" s="126"/>
      <c r="M60" s="350"/>
      <c r="N60" s="147">
        <f t="shared" si="117"/>
        <v>844.50209999999981</v>
      </c>
      <c r="O60" s="147">
        <f t="shared" si="128"/>
        <v>-18.890899999999998</v>
      </c>
      <c r="P60" s="147">
        <f t="shared" si="118"/>
        <v>-597.03899999999999</v>
      </c>
      <c r="Q60" s="143">
        <f t="shared" si="119"/>
        <v>40</v>
      </c>
      <c r="R60" s="163">
        <f t="shared" si="120"/>
        <v>3.1428571428571432</v>
      </c>
      <c r="S60" s="163">
        <f t="shared" si="129"/>
        <v>1</v>
      </c>
      <c r="T60" s="155">
        <f t="shared" si="121"/>
        <v>5</v>
      </c>
      <c r="U60" s="164">
        <v>2</v>
      </c>
      <c r="V60" s="165">
        <f t="shared" si="122"/>
        <v>3.9302083333333324E-3</v>
      </c>
      <c r="W60" s="144">
        <v>1.1000000000000001</v>
      </c>
      <c r="X60" s="144">
        <v>0.35</v>
      </c>
      <c r="Y60" s="350"/>
      <c r="Z60" s="150">
        <f t="shared" si="130"/>
        <v>-3.382434816674178</v>
      </c>
      <c r="AA60" s="150">
        <f t="shared" si="131"/>
        <v>-9.329507697220038E-2</v>
      </c>
      <c r="AB60" s="151">
        <f t="shared" si="132"/>
        <v>100.56945212634756</v>
      </c>
      <c r="AC60" s="150">
        <f t="shared" si="133"/>
        <v>103.85859186604955</v>
      </c>
      <c r="AD60" s="152">
        <f t="shared" si="134"/>
        <v>0.75025068013825935</v>
      </c>
      <c r="AE60" s="361" t="str">
        <f t="shared" si="135"/>
        <v>Zapata a compresión</v>
      </c>
      <c r="AF60" s="361"/>
      <c r="AG60" s="148">
        <f t="shared" si="124"/>
        <v>1731.2293049999994</v>
      </c>
      <c r="AH60" s="150">
        <f t="shared" si="125"/>
        <v>-2.8996921557888169</v>
      </c>
      <c r="AI60" s="148">
        <f t="shared" si="126"/>
        <v>1731.2293049999994</v>
      </c>
      <c r="AJ60" s="150">
        <f t="shared" si="127"/>
        <v>-91.643558803445018</v>
      </c>
      <c r="AK60" s="205"/>
      <c r="AL60" s="205"/>
      <c r="AM60" s="205"/>
      <c r="AN60" s="350"/>
      <c r="AO60" s="155">
        <f t="shared" si="84"/>
        <v>0.38500000000000001</v>
      </c>
      <c r="AP60" s="155">
        <f t="shared" si="85"/>
        <v>9.625</v>
      </c>
      <c r="AQ60" s="150">
        <f t="shared" si="86"/>
        <v>2</v>
      </c>
      <c r="AR60" s="150">
        <f t="shared" si="87"/>
        <v>11911.9</v>
      </c>
      <c r="AS60" s="53" t="str">
        <f t="shared" si="88"/>
        <v>OK</v>
      </c>
      <c r="AT60" s="155" t="str">
        <f t="shared" si="89"/>
        <v>NO</v>
      </c>
      <c r="AU60" s="144">
        <v>10.125</v>
      </c>
      <c r="AV60" s="143" t="s">
        <v>730</v>
      </c>
      <c r="AW60" s="163">
        <f t="shared" si="90"/>
        <v>0.50624999999999998</v>
      </c>
      <c r="AX60" s="144">
        <v>0.55000000000000004</v>
      </c>
      <c r="AY60" s="144">
        <v>0.3</v>
      </c>
      <c r="AZ60" s="350"/>
      <c r="BA60" s="153">
        <f t="shared" si="91"/>
        <v>343.17650186737791</v>
      </c>
      <c r="BB60" s="153">
        <f t="shared" si="92"/>
        <v>337.42135881607129</v>
      </c>
      <c r="BC60" s="150">
        <f t="shared" si="93"/>
        <v>1.8E-3</v>
      </c>
      <c r="BD60" s="148">
        <f t="shared" si="94"/>
        <v>38.744999999999997</v>
      </c>
      <c r="BE60" s="144">
        <v>5</v>
      </c>
      <c r="BF60" s="144">
        <v>18</v>
      </c>
      <c r="BG60" s="155">
        <f t="shared" si="95"/>
        <v>35.82</v>
      </c>
      <c r="BH60" s="53" t="str">
        <f t="shared" si="96"/>
        <v>N/C</v>
      </c>
      <c r="BI60" s="148">
        <f t="shared" si="97"/>
        <v>0.22</v>
      </c>
      <c r="BJ60" s="155" t="str">
        <f t="shared" si="98"/>
        <v>18#5@20</v>
      </c>
      <c r="BK60" s="197">
        <f t="shared" si="99"/>
        <v>1.0816582914572863</v>
      </c>
      <c r="BL60" s="350"/>
      <c r="BM60" s="153">
        <f t="shared" si="100"/>
        <v>1</v>
      </c>
      <c r="BN60" s="157">
        <v>0.85</v>
      </c>
      <c r="BO60" s="153">
        <f t="shared" si="101"/>
        <v>1.2686567164179103</v>
      </c>
      <c r="BP60" s="153">
        <f t="shared" si="102"/>
        <v>12445.5223880597</v>
      </c>
      <c r="BQ60" s="155" t="s">
        <v>699</v>
      </c>
      <c r="BR60" s="155">
        <f t="shared" si="103"/>
        <v>0.75</v>
      </c>
      <c r="BS60" s="153">
        <f t="shared" si="104"/>
        <v>0</v>
      </c>
      <c r="BT60" s="153">
        <f t="shared" si="105"/>
        <v>9.2317499999999999</v>
      </c>
      <c r="BU60" s="144">
        <v>6</v>
      </c>
      <c r="BV60" s="155" t="s">
        <v>191</v>
      </c>
      <c r="BW60" s="144">
        <v>6</v>
      </c>
      <c r="BX60" s="121"/>
      <c r="CI60" s="122"/>
      <c r="CJ60" s="350"/>
      <c r="CK60" s="153">
        <f t="shared" si="106"/>
        <v>28.4</v>
      </c>
      <c r="CL60" s="153">
        <f t="shared" si="107"/>
        <v>1073.5199999999998</v>
      </c>
      <c r="CM60" s="53" t="str">
        <f t="shared" si="108"/>
        <v>OK</v>
      </c>
      <c r="CU60" s="117"/>
    </row>
    <row r="61" spans="1:99" ht="15" customHeight="1" x14ac:dyDescent="0.25">
      <c r="A61" s="123"/>
      <c r="B61" s="124"/>
      <c r="C61" s="188"/>
      <c r="D61" s="124"/>
      <c r="E61" s="124"/>
      <c r="F61" s="124"/>
      <c r="G61" s="124"/>
      <c r="H61" s="125"/>
      <c r="I61" s="124"/>
      <c r="J61" s="124"/>
      <c r="K61" s="124"/>
      <c r="L61" s="126"/>
      <c r="M61" s="349" t="str">
        <f>M23</f>
        <v>Z1</v>
      </c>
      <c r="N61" s="147">
        <f t="shared" si="117"/>
        <v>910.47639999999978</v>
      </c>
      <c r="O61" s="147">
        <f t="shared" si="128"/>
        <v>62.548000000000002</v>
      </c>
      <c r="P61" s="147">
        <f t="shared" si="118"/>
        <v>251.17930000000001</v>
      </c>
      <c r="Q61" s="143">
        <f t="shared" si="119"/>
        <v>40</v>
      </c>
      <c r="R61" s="163">
        <f t="shared" si="120"/>
        <v>3.1428571428571432</v>
      </c>
      <c r="S61" s="163">
        <f t="shared" si="129"/>
        <v>1</v>
      </c>
      <c r="T61" s="155">
        <f t="shared" si="121"/>
        <v>5</v>
      </c>
      <c r="U61" s="164">
        <v>2</v>
      </c>
      <c r="V61" s="165">
        <f t="shared" si="122"/>
        <v>3.9302083333333324E-3</v>
      </c>
      <c r="W61" s="144">
        <v>1.1000000000000001</v>
      </c>
      <c r="X61" s="144">
        <v>0.35</v>
      </c>
      <c r="Y61" s="349" t="str">
        <f t="shared" ref="Y61" si="139">M61</f>
        <v>Z1</v>
      </c>
      <c r="Z61" s="150">
        <f t="shared" si="130"/>
        <v>81.474688991744188</v>
      </c>
      <c r="AA61" s="150">
        <f t="shared" si="131"/>
        <v>70.584307250330085</v>
      </c>
      <c r="AB61" s="151">
        <f t="shared" si="132"/>
        <v>37.741260863887625</v>
      </c>
      <c r="AC61" s="150">
        <f t="shared" si="133"/>
        <v>26.850879122473543</v>
      </c>
      <c r="AD61" s="152">
        <f t="shared" si="134"/>
        <v>0.58855449252524406</v>
      </c>
      <c r="AE61" s="361" t="str">
        <f t="shared" si="135"/>
        <v>Zapata a compresión</v>
      </c>
      <c r="AF61" s="361"/>
      <c r="AG61" s="148">
        <f t="shared" si="124"/>
        <v>1866.4766199999995</v>
      </c>
      <c r="AH61" s="150">
        <f t="shared" si="125"/>
        <v>7.4308536571285906</v>
      </c>
      <c r="AI61" s="148">
        <f t="shared" si="126"/>
        <v>1866.4766199999995</v>
      </c>
      <c r="AJ61" s="150">
        <f t="shared" si="127"/>
        <v>29.840708256059337</v>
      </c>
      <c r="AK61" s="204"/>
      <c r="AL61" s="204"/>
      <c r="AM61" s="204"/>
      <c r="AN61" s="349" t="str">
        <f>Y61</f>
        <v>Z1</v>
      </c>
      <c r="AO61" s="155">
        <f t="shared" si="84"/>
        <v>0.38500000000000001</v>
      </c>
      <c r="AP61" s="155">
        <f t="shared" si="85"/>
        <v>9.625</v>
      </c>
      <c r="AQ61" s="150">
        <f t="shared" si="86"/>
        <v>2</v>
      </c>
      <c r="AR61" s="150">
        <f t="shared" si="87"/>
        <v>11911.9</v>
      </c>
      <c r="AS61" s="53" t="str">
        <f t="shared" si="88"/>
        <v>OK</v>
      </c>
      <c r="AT61" s="155" t="str">
        <f t="shared" si="89"/>
        <v>NO</v>
      </c>
      <c r="AU61" s="144">
        <v>10.125</v>
      </c>
      <c r="AV61" s="143" t="s">
        <v>730</v>
      </c>
      <c r="AW61" s="163">
        <f t="shared" si="90"/>
        <v>0.50624999999999998</v>
      </c>
      <c r="AX61" s="144">
        <v>0.55000000000000004</v>
      </c>
      <c r="AY61" s="144">
        <v>0.3</v>
      </c>
      <c r="AZ61" s="349" t="str">
        <f>AN61</f>
        <v>Z1</v>
      </c>
      <c r="BA61" s="153">
        <f t="shared" si="91"/>
        <v>452.90087728658523</v>
      </c>
      <c r="BB61" s="153">
        <f t="shared" si="92"/>
        <v>445.30563308232485</v>
      </c>
      <c r="BC61" s="150">
        <f t="shared" si="93"/>
        <v>1.8E-3</v>
      </c>
      <c r="BD61" s="148">
        <f t="shared" si="94"/>
        <v>38.744999999999997</v>
      </c>
      <c r="BE61" s="144">
        <v>5</v>
      </c>
      <c r="BF61" s="144">
        <v>17</v>
      </c>
      <c r="BG61" s="155">
        <f t="shared" si="95"/>
        <v>33.83</v>
      </c>
      <c r="BH61" s="53" t="str">
        <f t="shared" si="96"/>
        <v>N/C</v>
      </c>
      <c r="BI61" s="148">
        <f t="shared" si="97"/>
        <v>0.23</v>
      </c>
      <c r="BJ61" s="155" t="str">
        <f t="shared" si="98"/>
        <v>17#5@20</v>
      </c>
      <c r="BK61" s="197">
        <f t="shared" si="99"/>
        <v>1.1452852497783033</v>
      </c>
      <c r="BL61" s="349" t="str">
        <f>AZ61</f>
        <v>Z1</v>
      </c>
      <c r="BM61" s="153">
        <f t="shared" si="100"/>
        <v>1</v>
      </c>
      <c r="BN61" s="157">
        <v>0.85</v>
      </c>
      <c r="BO61" s="153">
        <f t="shared" si="101"/>
        <v>1.2686567164179103</v>
      </c>
      <c r="BP61" s="153">
        <f t="shared" si="102"/>
        <v>12445.5223880597</v>
      </c>
      <c r="BQ61" s="155" t="s">
        <v>699</v>
      </c>
      <c r="BR61" s="155">
        <f t="shared" si="103"/>
        <v>0.75</v>
      </c>
      <c r="BS61" s="153">
        <f t="shared" si="104"/>
        <v>0</v>
      </c>
      <c r="BT61" s="153">
        <f t="shared" si="105"/>
        <v>9.2317499999999999</v>
      </c>
      <c r="BU61" s="144">
        <v>6</v>
      </c>
      <c r="BV61" s="155" t="s">
        <v>191</v>
      </c>
      <c r="BW61" s="144">
        <v>6</v>
      </c>
      <c r="BX61" s="121"/>
      <c r="CI61" s="122"/>
      <c r="CJ61" s="349" t="str">
        <f>CJ23</f>
        <v>Z1</v>
      </c>
      <c r="CK61" s="153">
        <f t="shared" si="106"/>
        <v>28.4</v>
      </c>
      <c r="CL61" s="153">
        <f t="shared" si="107"/>
        <v>1073.5199999999998</v>
      </c>
      <c r="CM61" s="53" t="str">
        <f t="shared" si="108"/>
        <v>OK</v>
      </c>
      <c r="CU61" s="117"/>
    </row>
    <row r="62" spans="1:99" ht="15" customHeight="1" x14ac:dyDescent="0.25">
      <c r="A62" s="123"/>
      <c r="B62" s="124"/>
      <c r="C62" s="188"/>
      <c r="D62" s="124"/>
      <c r="E62" s="124"/>
      <c r="F62" s="124"/>
      <c r="G62" s="124"/>
      <c r="H62" s="125"/>
      <c r="I62" s="124"/>
      <c r="J62" s="124"/>
      <c r="K62" s="124"/>
      <c r="L62" s="126"/>
      <c r="M62" s="350"/>
      <c r="N62" s="147">
        <f t="shared" si="117"/>
        <v>849.0256999999998</v>
      </c>
      <c r="O62" s="147">
        <f t="shared" si="128"/>
        <v>-60.733499999999999</v>
      </c>
      <c r="P62" s="147">
        <f t="shared" si="118"/>
        <v>-144.3621</v>
      </c>
      <c r="Q62" s="143">
        <f t="shared" si="119"/>
        <v>40</v>
      </c>
      <c r="R62" s="163">
        <f t="shared" si="120"/>
        <v>3.1428571428571432</v>
      </c>
      <c r="S62" s="163">
        <f t="shared" si="129"/>
        <v>1</v>
      </c>
      <c r="T62" s="155">
        <f t="shared" si="121"/>
        <v>5</v>
      </c>
      <c r="U62" s="164">
        <v>2</v>
      </c>
      <c r="V62" s="165">
        <f t="shared" si="122"/>
        <v>3.9302083333333324E-3</v>
      </c>
      <c r="W62" s="144">
        <v>1.1000000000000001</v>
      </c>
      <c r="X62" s="144">
        <v>0.35</v>
      </c>
      <c r="Y62" s="350"/>
      <c r="Z62" s="150">
        <f t="shared" si="130"/>
        <v>32.652337749016979</v>
      </c>
      <c r="AA62" s="150">
        <f t="shared" si="131"/>
        <v>43.226792559597214</v>
      </c>
      <c r="AB62" s="151">
        <f t="shared" si="132"/>
        <v>57.787567940105333</v>
      </c>
      <c r="AC62" s="150">
        <f t="shared" si="133"/>
        <v>68.362022750685568</v>
      </c>
      <c r="AD62" s="152">
        <f t="shared" si="134"/>
        <v>0.49383159489084899</v>
      </c>
      <c r="AE62" s="361" t="str">
        <f t="shared" si="135"/>
        <v>Zapata a compresión</v>
      </c>
      <c r="AF62" s="361"/>
      <c r="AG62" s="148">
        <f t="shared" si="124"/>
        <v>1740.5026849999995</v>
      </c>
      <c r="AH62" s="150">
        <f t="shared" si="125"/>
        <v>-12.056507109552989</v>
      </c>
      <c r="AI62" s="148">
        <f t="shared" si="126"/>
        <v>1740.5026849999995</v>
      </c>
      <c r="AJ62" s="150">
        <f t="shared" si="127"/>
        <v>-28.6580336223007</v>
      </c>
      <c r="AK62" s="205"/>
      <c r="AL62" s="205"/>
      <c r="AM62" s="205"/>
      <c r="AN62" s="350"/>
      <c r="AO62" s="155">
        <f t="shared" si="84"/>
        <v>0.38500000000000001</v>
      </c>
      <c r="AP62" s="155">
        <f t="shared" si="85"/>
        <v>9.625</v>
      </c>
      <c r="AQ62" s="150">
        <f t="shared" si="86"/>
        <v>2</v>
      </c>
      <c r="AR62" s="150">
        <f t="shared" si="87"/>
        <v>11911.9</v>
      </c>
      <c r="AS62" s="53" t="str">
        <f t="shared" si="88"/>
        <v>OK</v>
      </c>
      <c r="AT62" s="155" t="str">
        <f t="shared" si="89"/>
        <v>NO</v>
      </c>
      <c r="AU62" s="144">
        <v>10.125</v>
      </c>
      <c r="AV62" s="143" t="s">
        <v>730</v>
      </c>
      <c r="AW62" s="163">
        <f t="shared" si="90"/>
        <v>0.50624999999999998</v>
      </c>
      <c r="AX62" s="144">
        <v>0.55000000000000004</v>
      </c>
      <c r="AY62" s="144">
        <v>0.3</v>
      </c>
      <c r="AZ62" s="350"/>
      <c r="BA62" s="153">
        <f t="shared" si="91"/>
        <v>303.27332641006086</v>
      </c>
      <c r="BB62" s="153">
        <f t="shared" si="92"/>
        <v>298.18736811268883</v>
      </c>
      <c r="BC62" s="150">
        <f t="shared" si="93"/>
        <v>1.8E-3</v>
      </c>
      <c r="BD62" s="148">
        <f t="shared" si="94"/>
        <v>38.744999999999997</v>
      </c>
      <c r="BE62" s="144">
        <v>5</v>
      </c>
      <c r="BF62" s="144">
        <v>17</v>
      </c>
      <c r="BG62" s="155">
        <f t="shared" si="95"/>
        <v>33.83</v>
      </c>
      <c r="BH62" s="53" t="str">
        <f t="shared" si="96"/>
        <v>N/C</v>
      </c>
      <c r="BI62" s="148">
        <f t="shared" si="97"/>
        <v>0.23</v>
      </c>
      <c r="BJ62" s="155" t="str">
        <f t="shared" si="98"/>
        <v>17#5@20</v>
      </c>
      <c r="BK62" s="197">
        <f t="shared" si="99"/>
        <v>1.1452852497783033</v>
      </c>
      <c r="BL62" s="350"/>
      <c r="BM62" s="153">
        <f t="shared" si="100"/>
        <v>1</v>
      </c>
      <c r="BN62" s="157">
        <v>0.85</v>
      </c>
      <c r="BO62" s="153">
        <f t="shared" si="101"/>
        <v>1.2686567164179103</v>
      </c>
      <c r="BP62" s="153">
        <f t="shared" si="102"/>
        <v>12445.5223880597</v>
      </c>
      <c r="BQ62" s="155" t="s">
        <v>699</v>
      </c>
      <c r="BR62" s="155">
        <f t="shared" si="103"/>
        <v>0.75</v>
      </c>
      <c r="BS62" s="153">
        <f t="shared" si="104"/>
        <v>0</v>
      </c>
      <c r="BT62" s="153">
        <f t="shared" si="105"/>
        <v>9.2317499999999999</v>
      </c>
      <c r="BU62" s="144">
        <v>6</v>
      </c>
      <c r="BV62" s="155" t="s">
        <v>191</v>
      </c>
      <c r="BW62" s="144">
        <v>6</v>
      </c>
      <c r="BX62" s="121"/>
      <c r="CI62" s="122"/>
      <c r="CJ62" s="350"/>
      <c r="CK62" s="153">
        <f t="shared" si="106"/>
        <v>28.4</v>
      </c>
      <c r="CL62" s="153">
        <f t="shared" si="107"/>
        <v>1073.5199999999998</v>
      </c>
      <c r="CM62" s="53" t="str">
        <f t="shared" si="108"/>
        <v>OK</v>
      </c>
      <c r="CU62" s="117"/>
    </row>
    <row r="63" spans="1:99" ht="15" customHeight="1" x14ac:dyDescent="0.25">
      <c r="A63" s="123"/>
      <c r="B63" s="124"/>
      <c r="C63" s="188"/>
      <c r="D63" s="124"/>
      <c r="E63" s="124"/>
      <c r="F63" s="124"/>
      <c r="G63" s="124"/>
      <c r="H63" s="125"/>
      <c r="I63" s="124"/>
      <c r="J63" s="124"/>
      <c r="K63" s="124"/>
      <c r="L63" s="126"/>
      <c r="M63" s="349" t="str">
        <f>M25</f>
        <v>Z1</v>
      </c>
      <c r="N63" s="147">
        <f t="shared" si="117"/>
        <v>910.47639999999978</v>
      </c>
      <c r="O63" s="147">
        <f t="shared" si="128"/>
        <v>62.548000000000002</v>
      </c>
      <c r="P63" s="147">
        <f t="shared" si="118"/>
        <v>251.17930000000001</v>
      </c>
      <c r="Q63" s="143">
        <f t="shared" si="119"/>
        <v>40</v>
      </c>
      <c r="R63" s="163">
        <f t="shared" si="120"/>
        <v>3.1428571428571432</v>
      </c>
      <c r="S63" s="163">
        <f t="shared" si="129"/>
        <v>1</v>
      </c>
      <c r="T63" s="155">
        <f t="shared" si="121"/>
        <v>5</v>
      </c>
      <c r="U63" s="164">
        <v>2</v>
      </c>
      <c r="V63" s="165">
        <f t="shared" si="122"/>
        <v>3.9302083333333324E-3</v>
      </c>
      <c r="W63" s="144">
        <v>1.1000000000000001</v>
      </c>
      <c r="X63" s="144">
        <v>0.35</v>
      </c>
      <c r="Y63" s="349" t="str">
        <f t="shared" ref="Y63" si="140">M63</f>
        <v>Z1</v>
      </c>
      <c r="Z63" s="150">
        <f t="shared" si="130"/>
        <v>81.474688991744188</v>
      </c>
      <c r="AA63" s="150">
        <f t="shared" si="131"/>
        <v>70.584307250330085</v>
      </c>
      <c r="AB63" s="151">
        <f t="shared" si="132"/>
        <v>37.741260863887625</v>
      </c>
      <c r="AC63" s="150">
        <f t="shared" si="133"/>
        <v>26.850879122473543</v>
      </c>
      <c r="AD63" s="152">
        <f t="shared" si="134"/>
        <v>0.58855449252524406</v>
      </c>
      <c r="AE63" s="361" t="str">
        <f t="shared" si="135"/>
        <v>Zapata a compresión</v>
      </c>
      <c r="AF63" s="361"/>
      <c r="AG63" s="148">
        <f t="shared" si="124"/>
        <v>1866.4766199999995</v>
      </c>
      <c r="AH63" s="150">
        <f t="shared" si="125"/>
        <v>7.4308536571285906</v>
      </c>
      <c r="AI63" s="148">
        <f t="shared" si="126"/>
        <v>1866.4766199999995</v>
      </c>
      <c r="AJ63" s="150">
        <f t="shared" si="127"/>
        <v>29.840708256059337</v>
      </c>
      <c r="AK63" s="204"/>
      <c r="AL63" s="204"/>
      <c r="AM63" s="204"/>
      <c r="AN63" s="349" t="str">
        <f>Y63</f>
        <v>Z1</v>
      </c>
      <c r="AO63" s="155">
        <f t="shared" si="84"/>
        <v>0.38500000000000001</v>
      </c>
      <c r="AP63" s="155">
        <f t="shared" si="85"/>
        <v>9.625</v>
      </c>
      <c r="AQ63" s="150">
        <f t="shared" si="86"/>
        <v>2</v>
      </c>
      <c r="AR63" s="150">
        <f t="shared" si="87"/>
        <v>11911.9</v>
      </c>
      <c r="AS63" s="53" t="str">
        <f t="shared" si="88"/>
        <v>OK</v>
      </c>
      <c r="AT63" s="155" t="str">
        <f t="shared" si="89"/>
        <v>NO</v>
      </c>
      <c r="AU63" s="144">
        <v>10.125</v>
      </c>
      <c r="AV63" s="143" t="s">
        <v>730</v>
      </c>
      <c r="AW63" s="163">
        <f t="shared" si="90"/>
        <v>0.50624999999999998</v>
      </c>
      <c r="AX63" s="144">
        <v>0.55000000000000004</v>
      </c>
      <c r="AY63" s="144">
        <v>0.3</v>
      </c>
      <c r="AZ63" s="349" t="str">
        <f>AN63</f>
        <v>Z1</v>
      </c>
      <c r="BA63" s="153">
        <f t="shared" si="91"/>
        <v>452.90087728658523</v>
      </c>
      <c r="BB63" s="153">
        <f t="shared" si="92"/>
        <v>445.30563308232485</v>
      </c>
      <c r="BC63" s="150">
        <f t="shared" si="93"/>
        <v>1.8E-3</v>
      </c>
      <c r="BD63" s="148">
        <f t="shared" si="94"/>
        <v>38.744999999999997</v>
      </c>
      <c r="BE63" s="144">
        <v>5</v>
      </c>
      <c r="BF63" s="144">
        <v>17</v>
      </c>
      <c r="BG63" s="155">
        <f t="shared" si="95"/>
        <v>33.83</v>
      </c>
      <c r="BH63" s="53" t="str">
        <f t="shared" si="96"/>
        <v>N/C</v>
      </c>
      <c r="BI63" s="148">
        <f t="shared" si="97"/>
        <v>0.23</v>
      </c>
      <c r="BJ63" s="155" t="str">
        <f t="shared" si="98"/>
        <v>17#5@20</v>
      </c>
      <c r="BK63" s="197">
        <f t="shared" si="99"/>
        <v>1.1452852497783033</v>
      </c>
      <c r="BL63" s="349" t="str">
        <f>AZ63</f>
        <v>Z1</v>
      </c>
      <c r="BM63" s="153">
        <f t="shared" si="100"/>
        <v>1</v>
      </c>
      <c r="BN63" s="157">
        <v>0.85</v>
      </c>
      <c r="BO63" s="153">
        <f t="shared" si="101"/>
        <v>1.2686567164179103</v>
      </c>
      <c r="BP63" s="153">
        <f t="shared" si="102"/>
        <v>12445.5223880597</v>
      </c>
      <c r="BQ63" s="155" t="s">
        <v>699</v>
      </c>
      <c r="BR63" s="155">
        <f t="shared" si="103"/>
        <v>0.75</v>
      </c>
      <c r="BS63" s="153">
        <f t="shared" si="104"/>
        <v>0</v>
      </c>
      <c r="BT63" s="153">
        <f t="shared" si="105"/>
        <v>9.2317499999999999</v>
      </c>
      <c r="BU63" s="144">
        <v>6</v>
      </c>
      <c r="BV63" s="155" t="s">
        <v>191</v>
      </c>
      <c r="BW63" s="144">
        <v>6</v>
      </c>
      <c r="BX63" s="121"/>
      <c r="CI63" s="122"/>
      <c r="CJ63" s="349" t="str">
        <f>CJ25</f>
        <v>Z1</v>
      </c>
      <c r="CK63" s="153">
        <f t="shared" si="106"/>
        <v>28.4</v>
      </c>
      <c r="CL63" s="153">
        <f t="shared" si="107"/>
        <v>1073.5199999999998</v>
      </c>
      <c r="CM63" s="53" t="str">
        <f t="shared" si="108"/>
        <v>OK</v>
      </c>
      <c r="CU63" s="117"/>
    </row>
    <row r="64" spans="1:99" ht="15" customHeight="1" x14ac:dyDescent="0.25">
      <c r="A64" s="123"/>
      <c r="B64" s="124"/>
      <c r="C64" s="188"/>
      <c r="D64" s="124"/>
      <c r="E64" s="124"/>
      <c r="F64" s="124"/>
      <c r="G64" s="124"/>
      <c r="H64" s="125"/>
      <c r="I64" s="124"/>
      <c r="J64" s="124"/>
      <c r="K64" s="124"/>
      <c r="L64" s="126"/>
      <c r="M64" s="350"/>
      <c r="N64" s="147">
        <f t="shared" si="117"/>
        <v>849.0256999999998</v>
      </c>
      <c r="O64" s="147">
        <f t="shared" si="128"/>
        <v>-60.733499999999999</v>
      </c>
      <c r="P64" s="147">
        <f t="shared" si="118"/>
        <v>-144.3621</v>
      </c>
      <c r="Q64" s="143">
        <f t="shared" si="119"/>
        <v>40</v>
      </c>
      <c r="R64" s="163">
        <f t="shared" si="120"/>
        <v>3.1428571428571432</v>
      </c>
      <c r="S64" s="163">
        <f t="shared" si="129"/>
        <v>1</v>
      </c>
      <c r="T64" s="155">
        <f t="shared" si="121"/>
        <v>5</v>
      </c>
      <c r="U64" s="164">
        <v>2</v>
      </c>
      <c r="V64" s="165">
        <f t="shared" si="122"/>
        <v>3.9302083333333324E-3</v>
      </c>
      <c r="W64" s="144">
        <v>1.1000000000000001</v>
      </c>
      <c r="X64" s="144">
        <v>0.35</v>
      </c>
      <c r="Y64" s="350"/>
      <c r="Z64" s="150">
        <f t="shared" si="130"/>
        <v>32.652337749016979</v>
      </c>
      <c r="AA64" s="150">
        <f t="shared" si="131"/>
        <v>43.226792559597214</v>
      </c>
      <c r="AB64" s="151">
        <f t="shared" si="132"/>
        <v>57.787567940105333</v>
      </c>
      <c r="AC64" s="150">
        <f t="shared" si="133"/>
        <v>68.362022750685568</v>
      </c>
      <c r="AD64" s="152">
        <f t="shared" si="134"/>
        <v>0.49383159489084899</v>
      </c>
      <c r="AE64" s="361" t="str">
        <f t="shared" si="135"/>
        <v>Zapata a compresión</v>
      </c>
      <c r="AF64" s="361"/>
      <c r="AG64" s="148">
        <f t="shared" si="124"/>
        <v>1740.5026849999995</v>
      </c>
      <c r="AH64" s="150">
        <f t="shared" si="125"/>
        <v>-12.056507109552989</v>
      </c>
      <c r="AI64" s="148">
        <f t="shared" si="126"/>
        <v>1740.5026849999995</v>
      </c>
      <c r="AJ64" s="150">
        <f t="shared" si="127"/>
        <v>-28.6580336223007</v>
      </c>
      <c r="AK64" s="205"/>
      <c r="AL64" s="205"/>
      <c r="AM64" s="205"/>
      <c r="AN64" s="350"/>
      <c r="AO64" s="155">
        <f t="shared" si="84"/>
        <v>0.38500000000000001</v>
      </c>
      <c r="AP64" s="155">
        <f t="shared" si="85"/>
        <v>9.625</v>
      </c>
      <c r="AQ64" s="150">
        <f t="shared" si="86"/>
        <v>2</v>
      </c>
      <c r="AR64" s="150">
        <f t="shared" si="87"/>
        <v>11911.9</v>
      </c>
      <c r="AS64" s="53" t="str">
        <f t="shared" si="88"/>
        <v>OK</v>
      </c>
      <c r="AT64" s="155" t="str">
        <f t="shared" si="89"/>
        <v>NO</v>
      </c>
      <c r="AU64" s="144">
        <v>10.125</v>
      </c>
      <c r="AV64" s="143" t="s">
        <v>730</v>
      </c>
      <c r="AW64" s="163">
        <f t="shared" si="90"/>
        <v>0.50624999999999998</v>
      </c>
      <c r="AX64" s="144">
        <v>0.55000000000000004</v>
      </c>
      <c r="AY64" s="144">
        <v>0.3</v>
      </c>
      <c r="AZ64" s="350"/>
      <c r="BA64" s="153">
        <f t="shared" si="91"/>
        <v>303.27332641006086</v>
      </c>
      <c r="BB64" s="153">
        <f t="shared" si="92"/>
        <v>298.18736811268883</v>
      </c>
      <c r="BC64" s="150">
        <f t="shared" si="93"/>
        <v>1.8E-3</v>
      </c>
      <c r="BD64" s="148">
        <f t="shared" si="94"/>
        <v>38.744999999999997</v>
      </c>
      <c r="BE64" s="144">
        <v>5</v>
      </c>
      <c r="BF64" s="144">
        <v>17</v>
      </c>
      <c r="BG64" s="155">
        <f t="shared" si="95"/>
        <v>33.83</v>
      </c>
      <c r="BH64" s="53" t="str">
        <f t="shared" si="96"/>
        <v>N/C</v>
      </c>
      <c r="BI64" s="148">
        <f t="shared" si="97"/>
        <v>0.23</v>
      </c>
      <c r="BJ64" s="155" t="str">
        <f t="shared" si="98"/>
        <v>17#5@20</v>
      </c>
      <c r="BK64" s="197">
        <f t="shared" si="99"/>
        <v>1.1452852497783033</v>
      </c>
      <c r="BL64" s="350"/>
      <c r="BM64" s="153">
        <f t="shared" si="100"/>
        <v>1</v>
      </c>
      <c r="BN64" s="157">
        <v>0.85</v>
      </c>
      <c r="BO64" s="153">
        <f t="shared" si="101"/>
        <v>1.2686567164179103</v>
      </c>
      <c r="BP64" s="153">
        <f t="shared" si="102"/>
        <v>12445.5223880597</v>
      </c>
      <c r="BQ64" s="155" t="s">
        <v>699</v>
      </c>
      <c r="BR64" s="155">
        <f t="shared" si="103"/>
        <v>0.75</v>
      </c>
      <c r="BS64" s="153">
        <f t="shared" si="104"/>
        <v>0</v>
      </c>
      <c r="BT64" s="153">
        <f t="shared" si="105"/>
        <v>9.2317499999999999</v>
      </c>
      <c r="BU64" s="144">
        <v>6</v>
      </c>
      <c r="BV64" s="155" t="s">
        <v>191</v>
      </c>
      <c r="BW64" s="144">
        <v>6</v>
      </c>
      <c r="BX64" s="121"/>
      <c r="CI64" s="122"/>
      <c r="CJ64" s="350"/>
      <c r="CK64" s="153">
        <f t="shared" si="106"/>
        <v>28.4</v>
      </c>
      <c r="CL64" s="153">
        <f t="shared" si="107"/>
        <v>1073.5199999999998</v>
      </c>
      <c r="CM64" s="53" t="str">
        <f t="shared" si="108"/>
        <v>OK</v>
      </c>
      <c r="CU64" s="117"/>
    </row>
    <row r="65" spans="1:99" ht="15" customHeight="1" x14ac:dyDescent="0.25">
      <c r="A65" s="123"/>
      <c r="B65" s="124"/>
      <c r="C65" s="188"/>
      <c r="D65" s="124"/>
      <c r="E65" s="124"/>
      <c r="F65" s="124"/>
      <c r="G65" s="124"/>
      <c r="H65" s="125"/>
      <c r="I65" s="124"/>
      <c r="J65" s="124"/>
      <c r="K65" s="124"/>
      <c r="L65" s="126"/>
      <c r="M65" s="349">
        <f>M27</f>
        <v>0</v>
      </c>
      <c r="N65" s="147"/>
      <c r="O65" s="147"/>
      <c r="P65" s="147"/>
      <c r="Q65" s="143"/>
      <c r="R65" s="163"/>
      <c r="S65" s="163"/>
      <c r="T65" s="155"/>
      <c r="U65" s="164"/>
      <c r="V65" s="165"/>
      <c r="W65" s="144"/>
      <c r="X65" s="144"/>
      <c r="Y65" s="349"/>
      <c r="Z65" s="150"/>
      <c r="AA65" s="150"/>
      <c r="AB65" s="151"/>
      <c r="AC65" s="150"/>
      <c r="AD65" s="152"/>
      <c r="AE65" s="361"/>
      <c r="AF65" s="361"/>
      <c r="AG65" s="148"/>
      <c r="AH65" s="150"/>
      <c r="AI65" s="148"/>
      <c r="AJ65" s="150"/>
      <c r="AK65" s="204"/>
      <c r="AL65" s="204"/>
      <c r="AM65" s="204"/>
      <c r="AN65" s="349">
        <f>Y65</f>
        <v>0</v>
      </c>
      <c r="AO65" s="155">
        <f t="shared" si="84"/>
        <v>0</v>
      </c>
      <c r="AP65" s="155">
        <f t="shared" si="85"/>
        <v>0</v>
      </c>
      <c r="AQ65" s="150" t="e">
        <f t="shared" si="86"/>
        <v>#DIV/0!</v>
      </c>
      <c r="AR65" s="150" t="e">
        <f t="shared" si="87"/>
        <v>#DIV/0!</v>
      </c>
      <c r="AS65" s="53" t="e">
        <f t="shared" si="88"/>
        <v>#DIV/0!</v>
      </c>
      <c r="AT65" s="155" t="str">
        <f t="shared" si="89"/>
        <v>SÍ</v>
      </c>
      <c r="AU65" s="144">
        <v>10.125</v>
      </c>
      <c r="AV65" s="143" t="s">
        <v>730</v>
      </c>
      <c r="AW65" s="163">
        <f t="shared" si="90"/>
        <v>0.50624999999999998</v>
      </c>
      <c r="AX65" s="144">
        <v>0.55000000000000004</v>
      </c>
      <c r="AY65" s="144">
        <v>0.3</v>
      </c>
      <c r="AZ65" s="349">
        <f>AN65</f>
        <v>0</v>
      </c>
      <c r="BA65" s="153" t="e">
        <f t="shared" si="91"/>
        <v>#DIV/0!</v>
      </c>
      <c r="BB65" s="153" t="e">
        <f t="shared" si="92"/>
        <v>#DIV/0!</v>
      </c>
      <c r="BC65" s="150" t="e">
        <f t="shared" si="93"/>
        <v>#DIV/0!</v>
      </c>
      <c r="BD65" s="148" t="e">
        <f t="shared" si="94"/>
        <v>#DIV/0!</v>
      </c>
      <c r="BE65" s="144">
        <v>5</v>
      </c>
      <c r="BF65" s="144">
        <v>18</v>
      </c>
      <c r="BG65" s="155">
        <f t="shared" si="95"/>
        <v>35.82</v>
      </c>
      <c r="BH65" s="53" t="e">
        <f t="shared" si="96"/>
        <v>#DIV/0!</v>
      </c>
      <c r="BI65" s="148">
        <f t="shared" si="97"/>
        <v>-0.01</v>
      </c>
      <c r="BJ65" s="155" t="str">
        <f t="shared" si="98"/>
        <v>18#5@0</v>
      </c>
      <c r="BK65" s="197" t="e">
        <f t="shared" si="99"/>
        <v>#DIV/0!</v>
      </c>
      <c r="BL65" s="349">
        <f>AZ65</f>
        <v>0</v>
      </c>
      <c r="BM65" s="153" t="e">
        <f t="shared" si="100"/>
        <v>#DIV/0!</v>
      </c>
      <c r="BN65" s="157">
        <v>0.85</v>
      </c>
      <c r="BO65" s="153" t="e">
        <f t="shared" si="101"/>
        <v>#DIV/0!</v>
      </c>
      <c r="BP65" s="153" t="e">
        <f t="shared" si="102"/>
        <v>#DIV/0!</v>
      </c>
      <c r="BQ65" s="155" t="s">
        <v>699</v>
      </c>
      <c r="BR65" s="155">
        <f t="shared" si="103"/>
        <v>0.75</v>
      </c>
      <c r="BS65" s="153" t="e">
        <f t="shared" si="104"/>
        <v>#DIV/0!</v>
      </c>
      <c r="BT65" s="153">
        <f t="shared" si="105"/>
        <v>9.2317499999999999</v>
      </c>
      <c r="BU65" s="144">
        <v>6</v>
      </c>
      <c r="BV65" s="155" t="s">
        <v>191</v>
      </c>
      <c r="BW65" s="144">
        <v>6</v>
      </c>
      <c r="BX65" s="121"/>
      <c r="CI65" s="122"/>
      <c r="CJ65" s="349">
        <f>CJ27</f>
        <v>0</v>
      </c>
      <c r="CK65" s="153">
        <f t="shared" si="106"/>
        <v>28.4</v>
      </c>
      <c r="CL65" s="153">
        <f t="shared" si="107"/>
        <v>1073.5199999999998</v>
      </c>
      <c r="CM65" s="53" t="e">
        <f t="shared" si="108"/>
        <v>#DIV/0!</v>
      </c>
      <c r="CU65" s="117"/>
    </row>
    <row r="66" spans="1:99" ht="15" customHeight="1" x14ac:dyDescent="0.25">
      <c r="A66" s="123"/>
      <c r="B66" s="124"/>
      <c r="C66" s="188"/>
      <c r="D66" s="124"/>
      <c r="E66" s="124"/>
      <c r="F66" s="124"/>
      <c r="G66" s="124"/>
      <c r="H66" s="125"/>
      <c r="I66" s="124"/>
      <c r="J66" s="124"/>
      <c r="K66" s="124"/>
      <c r="L66" s="126"/>
      <c r="M66" s="350"/>
      <c r="N66" s="147"/>
      <c r="O66" s="147"/>
      <c r="P66" s="147"/>
      <c r="Q66" s="143"/>
      <c r="R66" s="163"/>
      <c r="S66" s="163"/>
      <c r="T66" s="155"/>
      <c r="U66" s="164"/>
      <c r="V66" s="165"/>
      <c r="W66" s="144"/>
      <c r="X66" s="144"/>
      <c r="Y66" s="350"/>
      <c r="Z66" s="150"/>
      <c r="AA66" s="150"/>
      <c r="AB66" s="151"/>
      <c r="AC66" s="150"/>
      <c r="AD66" s="152"/>
      <c r="AE66" s="361"/>
      <c r="AF66" s="361"/>
      <c r="AG66" s="148"/>
      <c r="AH66" s="150"/>
      <c r="AI66" s="148"/>
      <c r="AJ66" s="150"/>
      <c r="AK66" s="205"/>
      <c r="AL66" s="205"/>
      <c r="AM66" s="205"/>
      <c r="AN66" s="350"/>
      <c r="AO66" s="155">
        <f t="shared" si="84"/>
        <v>0</v>
      </c>
      <c r="AP66" s="155">
        <f t="shared" si="85"/>
        <v>0</v>
      </c>
      <c r="AQ66" s="150" t="e">
        <f t="shared" si="86"/>
        <v>#DIV/0!</v>
      </c>
      <c r="AR66" s="150" t="e">
        <f t="shared" si="87"/>
        <v>#DIV/0!</v>
      </c>
      <c r="AS66" s="53" t="e">
        <f t="shared" si="88"/>
        <v>#DIV/0!</v>
      </c>
      <c r="AT66" s="155" t="str">
        <f t="shared" si="89"/>
        <v>SÍ</v>
      </c>
      <c r="AU66" s="144">
        <v>10.125</v>
      </c>
      <c r="AV66" s="143" t="s">
        <v>730</v>
      </c>
      <c r="AW66" s="163">
        <f t="shared" si="90"/>
        <v>0.50624999999999998</v>
      </c>
      <c r="AX66" s="144">
        <v>0.55000000000000004</v>
      </c>
      <c r="AY66" s="144">
        <v>0.3</v>
      </c>
      <c r="AZ66" s="350"/>
      <c r="BA66" s="153" t="e">
        <f t="shared" si="91"/>
        <v>#DIV/0!</v>
      </c>
      <c r="BB66" s="153" t="e">
        <f t="shared" si="92"/>
        <v>#DIV/0!</v>
      </c>
      <c r="BC66" s="150" t="e">
        <f t="shared" si="93"/>
        <v>#DIV/0!</v>
      </c>
      <c r="BD66" s="148" t="e">
        <f t="shared" si="94"/>
        <v>#DIV/0!</v>
      </c>
      <c r="BE66" s="144">
        <v>5</v>
      </c>
      <c r="BF66" s="144">
        <v>18</v>
      </c>
      <c r="BG66" s="155">
        <f t="shared" si="95"/>
        <v>35.82</v>
      </c>
      <c r="BH66" s="53" t="e">
        <f t="shared" si="96"/>
        <v>#DIV/0!</v>
      </c>
      <c r="BI66" s="148">
        <f t="shared" si="97"/>
        <v>-0.01</v>
      </c>
      <c r="BJ66" s="155" t="str">
        <f t="shared" si="98"/>
        <v>18#5@0</v>
      </c>
      <c r="BK66" s="197" t="e">
        <f t="shared" si="99"/>
        <v>#DIV/0!</v>
      </c>
      <c r="BL66" s="350"/>
      <c r="BM66" s="153" t="e">
        <f t="shared" si="100"/>
        <v>#DIV/0!</v>
      </c>
      <c r="BN66" s="157">
        <v>0.85</v>
      </c>
      <c r="BO66" s="153" t="e">
        <f t="shared" si="101"/>
        <v>#DIV/0!</v>
      </c>
      <c r="BP66" s="153" t="e">
        <f t="shared" si="102"/>
        <v>#DIV/0!</v>
      </c>
      <c r="BQ66" s="155" t="s">
        <v>699</v>
      </c>
      <c r="BR66" s="155">
        <f t="shared" si="103"/>
        <v>0.75</v>
      </c>
      <c r="BS66" s="153" t="e">
        <f t="shared" si="104"/>
        <v>#DIV/0!</v>
      </c>
      <c r="BT66" s="153">
        <f t="shared" si="105"/>
        <v>9.2317499999999999</v>
      </c>
      <c r="BU66" s="144">
        <v>6</v>
      </c>
      <c r="BV66" s="155" t="s">
        <v>191</v>
      </c>
      <c r="BW66" s="144">
        <v>6</v>
      </c>
      <c r="BX66" s="121"/>
      <c r="CI66" s="122"/>
      <c r="CJ66" s="350"/>
      <c r="CK66" s="153">
        <f t="shared" si="106"/>
        <v>28.4</v>
      </c>
      <c r="CL66" s="153">
        <f t="shared" si="107"/>
        <v>1073.5199999999998</v>
      </c>
      <c r="CM66" s="53" t="e">
        <f t="shared" si="108"/>
        <v>#DIV/0!</v>
      </c>
      <c r="CU66" s="117"/>
    </row>
    <row r="67" spans="1:99" ht="15" customHeight="1" x14ac:dyDescent="0.25">
      <c r="A67" s="123"/>
      <c r="B67" s="124"/>
      <c r="C67" s="188"/>
      <c r="D67" s="124"/>
      <c r="E67" s="124"/>
      <c r="F67" s="124"/>
      <c r="G67" s="124"/>
      <c r="H67" s="125"/>
      <c r="I67" s="124"/>
      <c r="J67" s="124"/>
      <c r="K67" s="124"/>
      <c r="L67" s="126"/>
      <c r="M67" s="349">
        <f>M29</f>
        <v>0</v>
      </c>
      <c r="N67" s="147"/>
      <c r="O67" s="147"/>
      <c r="P67" s="147"/>
      <c r="Q67" s="143"/>
      <c r="R67" s="163"/>
      <c r="S67" s="163"/>
      <c r="T67" s="155"/>
      <c r="U67" s="164"/>
      <c r="V67" s="165"/>
      <c r="W67" s="144"/>
      <c r="X67" s="144"/>
      <c r="Y67" s="349"/>
      <c r="Z67" s="150"/>
      <c r="AA67" s="150"/>
      <c r="AB67" s="151"/>
      <c r="AC67" s="150"/>
      <c r="AD67" s="152"/>
      <c r="AE67" s="361"/>
      <c r="AF67" s="361"/>
      <c r="AG67" s="148"/>
      <c r="AH67" s="150"/>
      <c r="AI67" s="148"/>
      <c r="AJ67" s="150"/>
      <c r="AK67" s="204"/>
      <c r="AL67" s="204"/>
      <c r="AM67" s="204"/>
      <c r="AN67" s="349">
        <f>Y67</f>
        <v>0</v>
      </c>
      <c r="AO67" s="155">
        <f t="shared" si="84"/>
        <v>0</v>
      </c>
      <c r="AP67" s="155">
        <f t="shared" si="85"/>
        <v>0</v>
      </c>
      <c r="AQ67" s="150" t="e">
        <f t="shared" si="86"/>
        <v>#DIV/0!</v>
      </c>
      <c r="AR67" s="150" t="e">
        <f t="shared" si="87"/>
        <v>#DIV/0!</v>
      </c>
      <c r="AS67" s="53" t="e">
        <f t="shared" si="88"/>
        <v>#DIV/0!</v>
      </c>
      <c r="AT67" s="155" t="str">
        <f t="shared" si="89"/>
        <v>SÍ</v>
      </c>
      <c r="AU67" s="144">
        <v>10.125</v>
      </c>
      <c r="AV67" s="143" t="s">
        <v>730</v>
      </c>
      <c r="AW67" s="163">
        <f t="shared" si="90"/>
        <v>0.50624999999999998</v>
      </c>
      <c r="AX67" s="144">
        <v>0.55000000000000004</v>
      </c>
      <c r="AY67" s="144">
        <v>0.3</v>
      </c>
      <c r="AZ67" s="349">
        <f>AN67</f>
        <v>0</v>
      </c>
      <c r="BA67" s="153" t="e">
        <f t="shared" si="91"/>
        <v>#DIV/0!</v>
      </c>
      <c r="BB67" s="153" t="e">
        <f t="shared" si="92"/>
        <v>#DIV/0!</v>
      </c>
      <c r="BC67" s="150" t="e">
        <f t="shared" si="93"/>
        <v>#DIV/0!</v>
      </c>
      <c r="BD67" s="148" t="e">
        <f t="shared" si="94"/>
        <v>#DIV/0!</v>
      </c>
      <c r="BE67" s="144">
        <v>5</v>
      </c>
      <c r="BF67" s="144">
        <v>17</v>
      </c>
      <c r="BG67" s="155">
        <f t="shared" si="95"/>
        <v>33.83</v>
      </c>
      <c r="BH67" s="53" t="e">
        <f t="shared" si="96"/>
        <v>#DIV/0!</v>
      </c>
      <c r="BI67" s="148">
        <f t="shared" si="97"/>
        <v>-0.01</v>
      </c>
      <c r="BJ67" s="155" t="str">
        <f t="shared" si="98"/>
        <v>17#5@0</v>
      </c>
      <c r="BK67" s="197" t="e">
        <f t="shared" si="99"/>
        <v>#DIV/0!</v>
      </c>
      <c r="BL67" s="349">
        <f>AZ67</f>
        <v>0</v>
      </c>
      <c r="BM67" s="153" t="e">
        <f t="shared" si="100"/>
        <v>#DIV/0!</v>
      </c>
      <c r="BN67" s="157">
        <v>0.85</v>
      </c>
      <c r="BO67" s="153" t="e">
        <f t="shared" si="101"/>
        <v>#DIV/0!</v>
      </c>
      <c r="BP67" s="153" t="e">
        <f t="shared" si="102"/>
        <v>#DIV/0!</v>
      </c>
      <c r="BQ67" s="155" t="s">
        <v>699</v>
      </c>
      <c r="BR67" s="155">
        <f t="shared" si="103"/>
        <v>0.75</v>
      </c>
      <c r="BS67" s="153" t="e">
        <f t="shared" si="104"/>
        <v>#DIV/0!</v>
      </c>
      <c r="BT67" s="153">
        <f t="shared" si="105"/>
        <v>9.2317499999999999</v>
      </c>
      <c r="BU67" s="144">
        <v>6</v>
      </c>
      <c r="BV67" s="155" t="s">
        <v>191</v>
      </c>
      <c r="BW67" s="144">
        <v>6</v>
      </c>
      <c r="BX67" s="121"/>
      <c r="CI67" s="122"/>
      <c r="CJ67" s="349">
        <f>CJ29</f>
        <v>0</v>
      </c>
      <c r="CK67" s="153">
        <f t="shared" si="106"/>
        <v>28.4</v>
      </c>
      <c r="CL67" s="153">
        <f t="shared" si="107"/>
        <v>1073.5199999999998</v>
      </c>
      <c r="CM67" s="53" t="e">
        <f t="shared" si="108"/>
        <v>#DIV/0!</v>
      </c>
      <c r="CU67" s="117"/>
    </row>
    <row r="68" spans="1:99" ht="15" customHeight="1" x14ac:dyDescent="0.25">
      <c r="A68" s="123"/>
      <c r="B68" s="124"/>
      <c r="C68" s="188"/>
      <c r="D68" s="124"/>
      <c r="E68" s="124"/>
      <c r="F68" s="124"/>
      <c r="G68" s="124"/>
      <c r="H68" s="125"/>
      <c r="I68" s="124"/>
      <c r="J68" s="124"/>
      <c r="K68" s="124"/>
      <c r="L68" s="126"/>
      <c r="M68" s="350"/>
      <c r="N68" s="147"/>
      <c r="O68" s="147"/>
      <c r="P68" s="147"/>
      <c r="Q68" s="143"/>
      <c r="R68" s="163"/>
      <c r="S68" s="163"/>
      <c r="T68" s="155"/>
      <c r="U68" s="164"/>
      <c r="V68" s="165"/>
      <c r="W68" s="144"/>
      <c r="X68" s="144"/>
      <c r="Y68" s="350"/>
      <c r="Z68" s="150"/>
      <c r="AA68" s="150"/>
      <c r="AB68" s="151"/>
      <c r="AC68" s="150"/>
      <c r="AD68" s="152"/>
      <c r="AE68" s="361"/>
      <c r="AF68" s="361"/>
      <c r="AG68" s="148"/>
      <c r="AH68" s="150"/>
      <c r="AI68" s="148"/>
      <c r="AJ68" s="150"/>
      <c r="AK68" s="205"/>
      <c r="AL68" s="205"/>
      <c r="AM68" s="205"/>
      <c r="AN68" s="350"/>
      <c r="AO68" s="155">
        <f t="shared" si="84"/>
        <v>0</v>
      </c>
      <c r="AP68" s="155">
        <f t="shared" si="85"/>
        <v>0</v>
      </c>
      <c r="AQ68" s="150" t="e">
        <f t="shared" si="86"/>
        <v>#DIV/0!</v>
      </c>
      <c r="AR68" s="150" t="e">
        <f t="shared" si="87"/>
        <v>#DIV/0!</v>
      </c>
      <c r="AS68" s="53" t="e">
        <f t="shared" si="88"/>
        <v>#DIV/0!</v>
      </c>
      <c r="AT68" s="155" t="str">
        <f t="shared" si="89"/>
        <v>SÍ</v>
      </c>
      <c r="AU68" s="144">
        <v>10.125</v>
      </c>
      <c r="AV68" s="143" t="s">
        <v>730</v>
      </c>
      <c r="AW68" s="163">
        <f t="shared" si="90"/>
        <v>0.50624999999999998</v>
      </c>
      <c r="AX68" s="144">
        <v>0.55000000000000004</v>
      </c>
      <c r="AY68" s="144">
        <v>0.3</v>
      </c>
      <c r="AZ68" s="350"/>
      <c r="BA68" s="153" t="e">
        <f t="shared" si="91"/>
        <v>#DIV/0!</v>
      </c>
      <c r="BB68" s="153" t="e">
        <f t="shared" si="92"/>
        <v>#DIV/0!</v>
      </c>
      <c r="BC68" s="150" t="e">
        <f t="shared" si="93"/>
        <v>#DIV/0!</v>
      </c>
      <c r="BD68" s="148" t="e">
        <f t="shared" si="94"/>
        <v>#DIV/0!</v>
      </c>
      <c r="BE68" s="144">
        <v>5</v>
      </c>
      <c r="BF68" s="144">
        <v>17</v>
      </c>
      <c r="BG68" s="155">
        <f t="shared" si="95"/>
        <v>33.83</v>
      </c>
      <c r="BH68" s="53" t="e">
        <f t="shared" si="96"/>
        <v>#DIV/0!</v>
      </c>
      <c r="BI68" s="148">
        <f t="shared" si="97"/>
        <v>-0.01</v>
      </c>
      <c r="BJ68" s="155" t="str">
        <f t="shared" si="98"/>
        <v>17#5@0</v>
      </c>
      <c r="BK68" s="197" t="e">
        <f t="shared" si="99"/>
        <v>#DIV/0!</v>
      </c>
      <c r="BL68" s="350"/>
      <c r="BM68" s="153" t="e">
        <f t="shared" si="100"/>
        <v>#DIV/0!</v>
      </c>
      <c r="BN68" s="157">
        <v>0.85</v>
      </c>
      <c r="BO68" s="153" t="e">
        <f t="shared" si="101"/>
        <v>#DIV/0!</v>
      </c>
      <c r="BP68" s="153" t="e">
        <f t="shared" si="102"/>
        <v>#DIV/0!</v>
      </c>
      <c r="BQ68" s="155" t="s">
        <v>699</v>
      </c>
      <c r="BR68" s="155">
        <f t="shared" si="103"/>
        <v>0.75</v>
      </c>
      <c r="BS68" s="153" t="e">
        <f t="shared" si="104"/>
        <v>#DIV/0!</v>
      </c>
      <c r="BT68" s="153">
        <f t="shared" si="105"/>
        <v>9.2317499999999999</v>
      </c>
      <c r="BU68" s="144">
        <v>6</v>
      </c>
      <c r="BV68" s="155" t="s">
        <v>191</v>
      </c>
      <c r="BW68" s="144">
        <v>6</v>
      </c>
      <c r="BX68" s="121"/>
      <c r="CI68" s="122"/>
      <c r="CJ68" s="350"/>
      <c r="CK68" s="153">
        <f t="shared" si="106"/>
        <v>28.4</v>
      </c>
      <c r="CL68" s="153">
        <f t="shared" si="107"/>
        <v>1073.5199999999998</v>
      </c>
      <c r="CM68" s="53" t="e">
        <f t="shared" si="108"/>
        <v>#DIV/0!</v>
      </c>
      <c r="CU68" s="117"/>
    </row>
    <row r="69" spans="1:99" ht="15" customHeight="1" x14ac:dyDescent="0.25">
      <c r="A69" s="123"/>
      <c r="B69" s="124"/>
      <c r="C69" s="188"/>
      <c r="D69" s="124"/>
      <c r="E69" s="124"/>
      <c r="F69" s="124"/>
      <c r="G69" s="124"/>
      <c r="H69" s="125"/>
      <c r="I69" s="124"/>
      <c r="J69" s="124"/>
      <c r="K69" s="124"/>
      <c r="L69" s="126"/>
      <c r="M69" s="349">
        <f>M31</f>
        <v>0</v>
      </c>
      <c r="N69" s="147"/>
      <c r="O69" s="147"/>
      <c r="P69" s="147"/>
      <c r="Q69" s="143"/>
      <c r="R69" s="163"/>
      <c r="S69" s="163"/>
      <c r="T69" s="155"/>
      <c r="U69" s="164"/>
      <c r="V69" s="165"/>
      <c r="W69" s="144"/>
      <c r="X69" s="144"/>
      <c r="Y69" s="349"/>
      <c r="Z69" s="150"/>
      <c r="AA69" s="150"/>
      <c r="AB69" s="151"/>
      <c r="AC69" s="150"/>
      <c r="AD69" s="152"/>
      <c r="AE69" s="361"/>
      <c r="AF69" s="361"/>
      <c r="AG69" s="148"/>
      <c r="AH69" s="150"/>
      <c r="AI69" s="148"/>
      <c r="AJ69" s="150"/>
      <c r="AK69" s="204"/>
      <c r="AL69" s="204"/>
      <c r="AM69" s="204"/>
      <c r="AN69" s="349">
        <f>Y69</f>
        <v>0</v>
      </c>
      <c r="AO69" s="155">
        <f t="shared" si="84"/>
        <v>0</v>
      </c>
      <c r="AP69" s="155">
        <f t="shared" si="85"/>
        <v>0</v>
      </c>
      <c r="AQ69" s="150" t="e">
        <f t="shared" si="86"/>
        <v>#DIV/0!</v>
      </c>
      <c r="AR69" s="150" t="e">
        <f t="shared" si="87"/>
        <v>#DIV/0!</v>
      </c>
      <c r="AS69" s="53" t="e">
        <f t="shared" si="88"/>
        <v>#DIV/0!</v>
      </c>
      <c r="AT69" s="155" t="str">
        <f t="shared" si="89"/>
        <v>SÍ</v>
      </c>
      <c r="AU69" s="144">
        <v>10.125</v>
      </c>
      <c r="AV69" s="143" t="s">
        <v>730</v>
      </c>
      <c r="AW69" s="163">
        <f t="shared" si="90"/>
        <v>0.50624999999999998</v>
      </c>
      <c r="AX69" s="144">
        <v>0.55000000000000004</v>
      </c>
      <c r="AY69" s="144">
        <v>0.3</v>
      </c>
      <c r="AZ69" s="349">
        <f>AN69</f>
        <v>0</v>
      </c>
      <c r="BA69" s="153" t="e">
        <f t="shared" si="91"/>
        <v>#DIV/0!</v>
      </c>
      <c r="BB69" s="153" t="e">
        <f t="shared" si="92"/>
        <v>#DIV/0!</v>
      </c>
      <c r="BC69" s="150" t="e">
        <f t="shared" si="93"/>
        <v>#DIV/0!</v>
      </c>
      <c r="BD69" s="148" t="e">
        <f t="shared" si="94"/>
        <v>#DIV/0!</v>
      </c>
      <c r="BE69" s="144">
        <v>5</v>
      </c>
      <c r="BF69" s="144">
        <v>27</v>
      </c>
      <c r="BG69" s="155">
        <f t="shared" si="95"/>
        <v>53.73</v>
      </c>
      <c r="BH69" s="53" t="e">
        <f t="shared" si="96"/>
        <v>#DIV/0!</v>
      </c>
      <c r="BI69" s="148">
        <f t="shared" si="97"/>
        <v>-0.01</v>
      </c>
      <c r="BJ69" s="155" t="str">
        <f t="shared" si="98"/>
        <v>27#5@0</v>
      </c>
      <c r="BK69" s="197" t="e">
        <f t="shared" si="99"/>
        <v>#DIV/0!</v>
      </c>
      <c r="BL69" s="349">
        <f>AZ69</f>
        <v>0</v>
      </c>
      <c r="BM69" s="153" t="e">
        <f t="shared" si="100"/>
        <v>#DIV/0!</v>
      </c>
      <c r="BN69" s="157">
        <v>0.85</v>
      </c>
      <c r="BO69" s="153" t="e">
        <f t="shared" si="101"/>
        <v>#DIV/0!</v>
      </c>
      <c r="BP69" s="153" t="e">
        <f t="shared" si="102"/>
        <v>#DIV/0!</v>
      </c>
      <c r="BQ69" s="155" t="s">
        <v>699</v>
      </c>
      <c r="BR69" s="155">
        <f t="shared" si="103"/>
        <v>0.75</v>
      </c>
      <c r="BS69" s="153" t="e">
        <f t="shared" si="104"/>
        <v>#DIV/0!</v>
      </c>
      <c r="BT69" s="153">
        <f t="shared" si="105"/>
        <v>9.2317499999999999</v>
      </c>
      <c r="BU69" s="144">
        <v>6</v>
      </c>
      <c r="BV69" s="155" t="s">
        <v>191</v>
      </c>
      <c r="BW69" s="144">
        <v>6</v>
      </c>
      <c r="BX69" s="121"/>
      <c r="CI69" s="122"/>
      <c r="CJ69" s="349">
        <f>CJ31</f>
        <v>0</v>
      </c>
      <c r="CK69" s="153">
        <f t="shared" si="106"/>
        <v>28.4</v>
      </c>
      <c r="CL69" s="153">
        <f t="shared" si="107"/>
        <v>1073.5199999999998</v>
      </c>
      <c r="CM69" s="53" t="e">
        <f t="shared" si="108"/>
        <v>#DIV/0!</v>
      </c>
      <c r="CU69" s="117"/>
    </row>
    <row r="70" spans="1:99" ht="15" customHeight="1" x14ac:dyDescent="0.25">
      <c r="A70" s="123"/>
      <c r="B70" s="362" t="s">
        <v>733</v>
      </c>
      <c r="C70" s="362"/>
      <c r="D70" s="362"/>
      <c r="E70" s="362"/>
      <c r="F70" s="362"/>
      <c r="G70" s="362"/>
      <c r="H70" s="362"/>
      <c r="I70" s="362"/>
      <c r="J70" s="362"/>
      <c r="K70" s="362"/>
      <c r="L70" s="126"/>
      <c r="M70" s="350"/>
      <c r="N70" s="147"/>
      <c r="O70" s="147"/>
      <c r="P70" s="147"/>
      <c r="Q70" s="143"/>
      <c r="R70" s="163"/>
      <c r="S70" s="163"/>
      <c r="T70" s="155"/>
      <c r="U70" s="164"/>
      <c r="V70" s="165"/>
      <c r="W70" s="144"/>
      <c r="X70" s="144"/>
      <c r="Y70" s="350"/>
      <c r="Z70" s="150"/>
      <c r="AA70" s="150"/>
      <c r="AB70" s="151"/>
      <c r="AC70" s="150"/>
      <c r="AD70" s="152"/>
      <c r="AE70" s="361"/>
      <c r="AF70" s="361"/>
      <c r="AG70" s="148"/>
      <c r="AH70" s="150"/>
      <c r="AI70" s="148"/>
      <c r="AJ70" s="150"/>
      <c r="AK70" s="205"/>
      <c r="AL70" s="205"/>
      <c r="AM70" s="205"/>
      <c r="AN70" s="350"/>
      <c r="AO70" s="155">
        <f t="shared" si="84"/>
        <v>0</v>
      </c>
      <c r="AP70" s="155">
        <f t="shared" si="85"/>
        <v>0</v>
      </c>
      <c r="AQ70" s="150" t="e">
        <f t="shared" si="86"/>
        <v>#DIV/0!</v>
      </c>
      <c r="AR70" s="150" t="e">
        <f t="shared" si="87"/>
        <v>#DIV/0!</v>
      </c>
      <c r="AS70" s="53" t="e">
        <f t="shared" si="88"/>
        <v>#DIV/0!</v>
      </c>
      <c r="AT70" s="155" t="str">
        <f t="shared" si="89"/>
        <v>SÍ</v>
      </c>
      <c r="AU70" s="144">
        <v>10.125</v>
      </c>
      <c r="AV70" s="143" t="s">
        <v>730</v>
      </c>
      <c r="AW70" s="163">
        <f t="shared" si="90"/>
        <v>0.50624999999999998</v>
      </c>
      <c r="AX70" s="144">
        <v>0.55000000000000004</v>
      </c>
      <c r="AY70" s="144">
        <v>0.3</v>
      </c>
      <c r="AZ70" s="350"/>
      <c r="BA70" s="153" t="e">
        <f t="shared" si="91"/>
        <v>#DIV/0!</v>
      </c>
      <c r="BB70" s="153" t="e">
        <f t="shared" si="92"/>
        <v>#DIV/0!</v>
      </c>
      <c r="BC70" s="150" t="e">
        <f t="shared" si="93"/>
        <v>#DIV/0!</v>
      </c>
      <c r="BD70" s="148" t="e">
        <f t="shared" si="94"/>
        <v>#DIV/0!</v>
      </c>
      <c r="BE70" s="144">
        <v>5</v>
      </c>
      <c r="BF70" s="144">
        <v>27</v>
      </c>
      <c r="BG70" s="155">
        <f t="shared" si="95"/>
        <v>53.73</v>
      </c>
      <c r="BH70" s="53" t="e">
        <f t="shared" si="96"/>
        <v>#DIV/0!</v>
      </c>
      <c r="BI70" s="148">
        <f t="shared" si="97"/>
        <v>-0.01</v>
      </c>
      <c r="BJ70" s="155" t="str">
        <f t="shared" si="98"/>
        <v>27#5@0</v>
      </c>
      <c r="BK70" s="197" t="e">
        <f t="shared" si="99"/>
        <v>#DIV/0!</v>
      </c>
      <c r="BL70" s="350"/>
      <c r="BM70" s="153" t="e">
        <f t="shared" si="100"/>
        <v>#DIV/0!</v>
      </c>
      <c r="BN70" s="157">
        <v>0.85</v>
      </c>
      <c r="BO70" s="153" t="e">
        <f t="shared" si="101"/>
        <v>#DIV/0!</v>
      </c>
      <c r="BP70" s="153" t="e">
        <f t="shared" si="102"/>
        <v>#DIV/0!</v>
      </c>
      <c r="BQ70" s="155" t="s">
        <v>699</v>
      </c>
      <c r="BR70" s="155">
        <f t="shared" si="103"/>
        <v>0.75</v>
      </c>
      <c r="BS70" s="153" t="e">
        <f t="shared" si="104"/>
        <v>#DIV/0!</v>
      </c>
      <c r="BT70" s="153">
        <f t="shared" si="105"/>
        <v>9.2317499999999999</v>
      </c>
      <c r="BU70" s="144">
        <v>6</v>
      </c>
      <c r="BV70" s="155" t="s">
        <v>191</v>
      </c>
      <c r="BW70" s="144">
        <v>6</v>
      </c>
      <c r="BX70" s="121"/>
      <c r="CI70" s="122"/>
      <c r="CJ70" s="350"/>
      <c r="CK70" s="153">
        <f t="shared" si="106"/>
        <v>28.4</v>
      </c>
      <c r="CL70" s="153">
        <f t="shared" si="107"/>
        <v>1073.5199999999998</v>
      </c>
      <c r="CM70" s="53" t="e">
        <f t="shared" si="108"/>
        <v>#DIV/0!</v>
      </c>
      <c r="CU70" s="117"/>
    </row>
    <row r="71" spans="1:99" ht="15" customHeight="1" x14ac:dyDescent="0.25">
      <c r="A71" s="123"/>
      <c r="B71" s="362"/>
      <c r="C71" s="362"/>
      <c r="D71" s="362"/>
      <c r="E71" s="362"/>
      <c r="F71" s="362"/>
      <c r="G71" s="362"/>
      <c r="H71" s="362"/>
      <c r="I71" s="362"/>
      <c r="J71" s="362"/>
      <c r="K71" s="362"/>
      <c r="L71" s="126"/>
      <c r="M71" s="349">
        <f>M33</f>
        <v>0</v>
      </c>
      <c r="N71" s="147"/>
      <c r="O71" s="147"/>
      <c r="P71" s="147"/>
      <c r="Q71" s="143"/>
      <c r="R71" s="163"/>
      <c r="S71" s="163"/>
      <c r="T71" s="155"/>
      <c r="U71" s="164"/>
      <c r="V71" s="165"/>
      <c r="W71" s="144"/>
      <c r="X71" s="144"/>
      <c r="Y71" s="349"/>
      <c r="Z71" s="150"/>
      <c r="AA71" s="150"/>
      <c r="AB71" s="151"/>
      <c r="AC71" s="150"/>
      <c r="AD71" s="152"/>
      <c r="AE71" s="361"/>
      <c r="AF71" s="361"/>
      <c r="AG71" s="148"/>
      <c r="AH71" s="150"/>
      <c r="AI71" s="148"/>
      <c r="AJ71" s="150"/>
      <c r="AK71" s="204"/>
      <c r="AL71" s="204"/>
      <c r="AM71" s="204"/>
      <c r="AN71" s="349">
        <f>Y71</f>
        <v>0</v>
      </c>
      <c r="AO71" s="155">
        <f>W71*X71</f>
        <v>0</v>
      </c>
      <c r="AP71" s="155">
        <f>(4*U33+W71)*(4*U33+X71)</f>
        <v>0</v>
      </c>
      <c r="AQ71" s="150" t="e">
        <f t="shared" si="86"/>
        <v>#DIV/0!</v>
      </c>
      <c r="AR71" s="150" t="e">
        <f t="shared" si="87"/>
        <v>#DIV/0!</v>
      </c>
      <c r="AS71" s="53" t="e">
        <f>IF(AR71&gt;=N71,"OK","N/C")</f>
        <v>#DIV/0!</v>
      </c>
      <c r="AT71" s="155" t="str">
        <f>IF(O33&lt;&gt;"Central","SÍ","NO")</f>
        <v>SÍ</v>
      </c>
      <c r="AU71" s="144">
        <v>10.125</v>
      </c>
      <c r="AV71" s="143" t="s">
        <v>730</v>
      </c>
      <c r="AW71" s="163">
        <f t="shared" si="90"/>
        <v>0.50624999999999998</v>
      </c>
      <c r="AX71" s="144">
        <v>0.55000000000000004</v>
      </c>
      <c r="AY71" s="144">
        <v>0.3</v>
      </c>
      <c r="AZ71" s="349">
        <f>AN71</f>
        <v>0</v>
      </c>
      <c r="BA71" s="153" t="e">
        <f>SUM(N71/(2*AC33)*(AC33/2-X71/2)^2,O71)</f>
        <v>#DIV/0!</v>
      </c>
      <c r="BB71" s="153" t="e">
        <f>BA71/(0.9*AC33*V33^2)</f>
        <v>#DIV/0!</v>
      </c>
      <c r="BC71" s="150" t="e">
        <f t="shared" si="93"/>
        <v>#DIV/0!</v>
      </c>
      <c r="BD71" s="148" t="e">
        <f>+BC71*AC33*V33*100^2</f>
        <v>#DIV/0!</v>
      </c>
      <c r="BE71" s="144">
        <v>5</v>
      </c>
      <c r="BF71" s="144">
        <v>27</v>
      </c>
      <c r="BG71" s="155">
        <f t="shared" si="95"/>
        <v>53.73</v>
      </c>
      <c r="BH71" s="53" t="e">
        <f t="shared" si="96"/>
        <v>#DIV/0!</v>
      </c>
      <c r="BI71" s="148">
        <f>ROUND((AC33-2*0.075)/BF71,2)</f>
        <v>-0.01</v>
      </c>
      <c r="BJ71" s="155" t="str">
        <f t="shared" si="98"/>
        <v>27#5@0</v>
      </c>
      <c r="BK71" s="197" t="e">
        <f t="shared" si="99"/>
        <v>#DIV/0!</v>
      </c>
      <c r="BL71" s="349">
        <f>AZ71</f>
        <v>0</v>
      </c>
      <c r="BM71" s="153" t="e">
        <f>(1+0.5*AA33/AC33)/1.5</f>
        <v>#DIV/0!</v>
      </c>
      <c r="BN71" s="157">
        <v>0.85</v>
      </c>
      <c r="BO71" s="153" t="e">
        <f t="shared" si="101"/>
        <v>#DIV/0!</v>
      </c>
      <c r="BP71" s="153" t="e">
        <f t="shared" si="102"/>
        <v>#DIV/0!</v>
      </c>
      <c r="BQ71" s="155" t="s">
        <v>699</v>
      </c>
      <c r="BR71" s="155">
        <f t="shared" si="103"/>
        <v>0.75</v>
      </c>
      <c r="BS71" s="153" t="e">
        <f>IF(AT71="SÍ",(N71*(AA33-W71)/2-P71)/(BM33+U33+BP71*BR71^2*BM33^2*AA33^3*AC33/(36*10^3*$O$8*V71)),0)</f>
        <v>#DIV/0!</v>
      </c>
      <c r="BT71" s="153">
        <f t="shared" si="105"/>
        <v>9.2317499999999999</v>
      </c>
      <c r="BU71" s="144">
        <v>6</v>
      </c>
      <c r="BV71" s="155" t="s">
        <v>191</v>
      </c>
      <c r="BW71" s="144">
        <v>6</v>
      </c>
      <c r="BX71" s="121"/>
      <c r="CI71" s="122"/>
      <c r="CJ71" s="349"/>
      <c r="CK71" s="153">
        <f t="shared" si="106"/>
        <v>28.4</v>
      </c>
      <c r="CL71" s="153">
        <f t="shared" si="107"/>
        <v>1073.5199999999998</v>
      </c>
      <c r="CM71" s="53" t="e">
        <f t="shared" si="108"/>
        <v>#DIV/0!</v>
      </c>
      <c r="CU71" s="117"/>
    </row>
    <row r="72" spans="1:99" ht="15" customHeight="1" x14ac:dyDescent="0.25">
      <c r="A72" s="123"/>
      <c r="B72" s="124"/>
      <c r="C72" s="188"/>
      <c r="D72" s="124"/>
      <c r="E72" s="124"/>
      <c r="F72" s="124"/>
      <c r="G72" s="124"/>
      <c r="H72" s="125"/>
      <c r="I72" s="124"/>
      <c r="J72" s="124"/>
      <c r="K72" s="124"/>
      <c r="L72" s="126"/>
      <c r="M72" s="350"/>
      <c r="N72" s="147"/>
      <c r="O72" s="147"/>
      <c r="P72" s="147"/>
      <c r="Q72" s="143"/>
      <c r="R72" s="163"/>
      <c r="S72" s="163"/>
      <c r="T72" s="155"/>
      <c r="U72" s="164"/>
      <c r="V72" s="165"/>
      <c r="W72" s="144"/>
      <c r="X72" s="144"/>
      <c r="Y72" s="350"/>
      <c r="Z72" s="150"/>
      <c r="AA72" s="150"/>
      <c r="AB72" s="151"/>
      <c r="AC72" s="150"/>
      <c r="AD72" s="152"/>
      <c r="AE72" s="361"/>
      <c r="AF72" s="361"/>
      <c r="AG72" s="148"/>
      <c r="AH72" s="150"/>
      <c r="AI72" s="148"/>
      <c r="AJ72" s="150"/>
      <c r="AK72" s="205"/>
      <c r="AL72" s="205"/>
      <c r="AM72" s="205"/>
      <c r="AN72" s="350"/>
      <c r="AO72" s="155">
        <f>W72*X72</f>
        <v>0</v>
      </c>
      <c r="AP72" s="155">
        <f>(4*U34+W72)*(4*U34+X72)</f>
        <v>0</v>
      </c>
      <c r="AQ72" s="150" t="e">
        <f t="shared" si="86"/>
        <v>#DIV/0!</v>
      </c>
      <c r="AR72" s="150" t="e">
        <f t="shared" si="87"/>
        <v>#DIV/0!</v>
      </c>
      <c r="AS72" s="53" t="e">
        <f>IF(AR72&gt;=N72,"OK","N/C")</f>
        <v>#DIV/0!</v>
      </c>
      <c r="AT72" s="155" t="str">
        <f>IF(O34&lt;&gt;"Central","SÍ","NO")</f>
        <v>SÍ</v>
      </c>
      <c r="AU72" s="144">
        <v>10.125</v>
      </c>
      <c r="AV72" s="143" t="s">
        <v>730</v>
      </c>
      <c r="AW72" s="163">
        <f t="shared" si="90"/>
        <v>0.50624999999999998</v>
      </c>
      <c r="AX72" s="144">
        <v>0.55000000000000004</v>
      </c>
      <c r="AY72" s="144">
        <v>0.3</v>
      </c>
      <c r="AZ72" s="350"/>
      <c r="BA72" s="153" t="e">
        <f>SUM(N72/(2*AC34)*(AC34/2-X72/2)^2,O72)</f>
        <v>#DIV/0!</v>
      </c>
      <c r="BB72" s="153" t="e">
        <f>BA72/(0.9*AC34*V34^2)</f>
        <v>#DIV/0!</v>
      </c>
      <c r="BC72" s="150" t="e">
        <f t="shared" si="93"/>
        <v>#DIV/0!</v>
      </c>
      <c r="BD72" s="148" t="e">
        <f>+BC72*AC34*V34*100^2</f>
        <v>#DIV/0!</v>
      </c>
      <c r="BE72" s="144">
        <v>5</v>
      </c>
      <c r="BF72" s="144">
        <v>27</v>
      </c>
      <c r="BG72" s="155">
        <f t="shared" si="95"/>
        <v>53.73</v>
      </c>
      <c r="BH72" s="53" t="e">
        <f t="shared" si="96"/>
        <v>#DIV/0!</v>
      </c>
      <c r="BI72" s="148">
        <f>ROUND((AC34-2*0.075)/BF72,2)</f>
        <v>-0.01</v>
      </c>
      <c r="BJ72" s="155" t="str">
        <f t="shared" si="98"/>
        <v>27#5@0</v>
      </c>
      <c r="BK72" s="197" t="e">
        <f t="shared" si="99"/>
        <v>#DIV/0!</v>
      </c>
      <c r="BL72" s="350"/>
      <c r="BM72" s="153" t="e">
        <f>(1+0.5*AA34/AC34)/1.5</f>
        <v>#DIV/0!</v>
      </c>
      <c r="BN72" s="157">
        <v>0.85</v>
      </c>
      <c r="BO72" s="153" t="e">
        <f t="shared" si="101"/>
        <v>#DIV/0!</v>
      </c>
      <c r="BP72" s="153" t="e">
        <f t="shared" si="102"/>
        <v>#DIV/0!</v>
      </c>
      <c r="BQ72" s="155" t="s">
        <v>699</v>
      </c>
      <c r="BR72" s="155">
        <f t="shared" si="103"/>
        <v>0.75</v>
      </c>
      <c r="BS72" s="153" t="e">
        <f>IF(AT72="SÍ",(N72*(AA34-W72)/2-P72)/(BM34+U34+BP72*BR72^2*BM34^2*AA34^3*AC34/(36*10^3*$O$8*V72)),0)</f>
        <v>#DIV/0!</v>
      </c>
      <c r="BT72" s="153">
        <f t="shared" si="105"/>
        <v>9.2317499999999999</v>
      </c>
      <c r="BU72" s="144">
        <v>6</v>
      </c>
      <c r="BV72" s="155" t="s">
        <v>191</v>
      </c>
      <c r="BW72" s="144">
        <v>6</v>
      </c>
      <c r="BX72" s="121"/>
      <c r="CI72" s="122"/>
      <c r="CJ72" s="350"/>
      <c r="CK72" s="153">
        <f t="shared" si="106"/>
        <v>28.4</v>
      </c>
      <c r="CL72" s="153">
        <f t="shared" si="107"/>
        <v>1073.5199999999998</v>
      </c>
      <c r="CM72" s="53" t="e">
        <f t="shared" si="108"/>
        <v>#DIV/0!</v>
      </c>
      <c r="CU72" s="117"/>
    </row>
    <row r="73" spans="1:99" ht="15" customHeight="1" x14ac:dyDescent="0.25">
      <c r="A73" s="123"/>
      <c r="B73" s="124"/>
      <c r="C73" s="188"/>
      <c r="D73" s="124"/>
      <c r="E73" s="124"/>
      <c r="F73" s="124"/>
      <c r="G73" s="124"/>
      <c r="H73" s="125"/>
      <c r="I73" s="124"/>
      <c r="J73" s="124"/>
      <c r="K73" s="124"/>
      <c r="L73" s="126"/>
      <c r="M73" s="349">
        <f>M35</f>
        <v>0</v>
      </c>
      <c r="N73" s="147"/>
      <c r="O73" s="147"/>
      <c r="P73" s="147"/>
      <c r="Q73" s="143"/>
      <c r="R73" s="163"/>
      <c r="S73" s="163"/>
      <c r="T73" s="155"/>
      <c r="U73" s="164"/>
      <c r="V73" s="165"/>
      <c r="W73" s="144"/>
      <c r="X73" s="144"/>
      <c r="Y73" s="349"/>
      <c r="Z73" s="150"/>
      <c r="AA73" s="150"/>
      <c r="AB73" s="151"/>
      <c r="AC73" s="150"/>
      <c r="AD73" s="152"/>
      <c r="AE73" s="361"/>
      <c r="AF73" s="361"/>
      <c r="AG73" s="148"/>
      <c r="AH73" s="150"/>
      <c r="AI73" s="148"/>
      <c r="AJ73" s="150"/>
      <c r="AK73" s="204"/>
      <c r="AL73" s="204"/>
      <c r="AM73" s="204"/>
      <c r="AN73" s="349">
        <f>Y73</f>
        <v>0</v>
      </c>
      <c r="AO73" s="155">
        <f>W73*X73</f>
        <v>0</v>
      </c>
      <c r="AP73" s="155">
        <f>(4*U35+W73)*(4*U35+X73)</f>
        <v>0</v>
      </c>
      <c r="AQ73" s="150" t="e">
        <f t="shared" si="86"/>
        <v>#DIV/0!</v>
      </c>
      <c r="AR73" s="150" t="e">
        <f t="shared" si="87"/>
        <v>#DIV/0!</v>
      </c>
      <c r="AS73" s="53" t="e">
        <f>IF(AR73&gt;=N73,"OK","N/C")</f>
        <v>#DIV/0!</v>
      </c>
      <c r="AT73" s="155" t="str">
        <f>IF(O35&lt;&gt;"Central","SÍ","NO")</f>
        <v>SÍ</v>
      </c>
      <c r="AU73" s="144">
        <v>10.125</v>
      </c>
      <c r="AV73" s="143" t="s">
        <v>730</v>
      </c>
      <c r="AW73" s="163">
        <f t="shared" si="90"/>
        <v>0.50624999999999998</v>
      </c>
      <c r="AX73" s="144">
        <v>0.55000000000000004</v>
      </c>
      <c r="AY73" s="144">
        <v>0.3</v>
      </c>
      <c r="AZ73" s="349">
        <f>AN73</f>
        <v>0</v>
      </c>
      <c r="BA73" s="153" t="e">
        <f>SUM(N73/(2*AC35)*(AC35/2-X73/2)^2,O73)</f>
        <v>#DIV/0!</v>
      </c>
      <c r="BB73" s="153" t="e">
        <f>BA73/(0.9*AC35*V35^2)</f>
        <v>#DIV/0!</v>
      </c>
      <c r="BC73" s="150" t="e">
        <f t="shared" si="93"/>
        <v>#DIV/0!</v>
      </c>
      <c r="BD73" s="148" t="e">
        <f>+BC73*AC35*V35*100^2</f>
        <v>#DIV/0!</v>
      </c>
      <c r="BE73" s="144">
        <v>5</v>
      </c>
      <c r="BF73" s="144">
        <v>27</v>
      </c>
      <c r="BG73" s="155">
        <f t="shared" si="95"/>
        <v>53.73</v>
      </c>
      <c r="BH73" s="53" t="e">
        <f t="shared" si="96"/>
        <v>#DIV/0!</v>
      </c>
      <c r="BI73" s="148">
        <f>ROUND((AC35-2*0.075)/BF73,2)</f>
        <v>-0.01</v>
      </c>
      <c r="BJ73" s="155" t="str">
        <f t="shared" si="98"/>
        <v>27#5@0</v>
      </c>
      <c r="BK73" s="197" t="e">
        <f t="shared" si="99"/>
        <v>#DIV/0!</v>
      </c>
      <c r="BL73" s="349">
        <f>AZ73</f>
        <v>0</v>
      </c>
      <c r="BM73" s="153" t="e">
        <f>(1+0.5*AA35/AC35)/1.5</f>
        <v>#DIV/0!</v>
      </c>
      <c r="BN73" s="157">
        <v>0.85</v>
      </c>
      <c r="BO73" s="153" t="e">
        <f t="shared" si="101"/>
        <v>#DIV/0!</v>
      </c>
      <c r="BP73" s="153" t="e">
        <f t="shared" si="102"/>
        <v>#DIV/0!</v>
      </c>
      <c r="BQ73" s="155" t="s">
        <v>699</v>
      </c>
      <c r="BR73" s="155">
        <f t="shared" si="103"/>
        <v>0.75</v>
      </c>
      <c r="BS73" s="153" t="e">
        <f>IF(AT73="SÍ",(N73*(AA35-W73)/2-P73)/(BM35+U35+BP73*BR73^2*BM35^2*AA35^3*AC35/(36*10^3*$O$8*V73)),0)</f>
        <v>#DIV/0!</v>
      </c>
      <c r="BT73" s="153">
        <f t="shared" si="105"/>
        <v>9.2317499999999999</v>
      </c>
      <c r="BU73" s="144">
        <v>6</v>
      </c>
      <c r="BV73" s="155" t="s">
        <v>191</v>
      </c>
      <c r="BW73" s="144">
        <v>6</v>
      </c>
      <c r="BX73" s="121"/>
      <c r="CI73" s="122"/>
      <c r="CJ73" s="349"/>
      <c r="CK73" s="153">
        <f t="shared" si="106"/>
        <v>28.4</v>
      </c>
      <c r="CL73" s="153">
        <f t="shared" si="107"/>
        <v>1073.5199999999998</v>
      </c>
      <c r="CM73" s="53" t="e">
        <f t="shared" si="108"/>
        <v>#DIV/0!</v>
      </c>
      <c r="CU73" s="117"/>
    </row>
    <row r="74" spans="1:99" ht="15" customHeight="1" x14ac:dyDescent="0.25">
      <c r="A74" s="123"/>
      <c r="B74" s="124"/>
      <c r="C74" s="188"/>
      <c r="D74" s="124"/>
      <c r="E74" s="124"/>
      <c r="F74" s="124"/>
      <c r="G74" s="124"/>
      <c r="H74" s="125"/>
      <c r="I74" s="124"/>
      <c r="J74" s="124"/>
      <c r="K74" s="124"/>
      <c r="L74" s="126"/>
      <c r="M74" s="350"/>
      <c r="N74" s="147"/>
      <c r="O74" s="147"/>
      <c r="P74" s="147"/>
      <c r="Q74" s="143"/>
      <c r="R74" s="163"/>
      <c r="S74" s="163"/>
      <c r="T74" s="155"/>
      <c r="U74" s="164"/>
      <c r="V74" s="165"/>
      <c r="W74" s="144"/>
      <c r="X74" s="144"/>
      <c r="Y74" s="350"/>
      <c r="Z74" s="150"/>
      <c r="AA74" s="150"/>
      <c r="AB74" s="151"/>
      <c r="AC74" s="150"/>
      <c r="AD74" s="152"/>
      <c r="AE74" s="361"/>
      <c r="AF74" s="361"/>
      <c r="AG74" s="148"/>
      <c r="AH74" s="150"/>
      <c r="AI74" s="148"/>
      <c r="AJ74" s="150"/>
      <c r="AK74" s="205"/>
      <c r="AL74" s="205"/>
      <c r="AM74" s="205"/>
      <c r="AN74" s="350"/>
      <c r="AO74" s="155">
        <f>W74*X74</f>
        <v>0</v>
      </c>
      <c r="AP74" s="155">
        <f>(4*U36+W74)*(4*U36+X74)</f>
        <v>0</v>
      </c>
      <c r="AQ74" s="150" t="e">
        <f t="shared" si="86"/>
        <v>#DIV/0!</v>
      </c>
      <c r="AR74" s="150" t="e">
        <f t="shared" si="87"/>
        <v>#DIV/0!</v>
      </c>
      <c r="AS74" s="53" t="e">
        <f>IF(AR74&gt;=N74,"OK","N/C")</f>
        <v>#DIV/0!</v>
      </c>
      <c r="AT74" s="155" t="str">
        <f>IF(O36&lt;&gt;"Central","SÍ","NO")</f>
        <v>SÍ</v>
      </c>
      <c r="AU74" s="144">
        <v>10.125</v>
      </c>
      <c r="AV74" s="143" t="s">
        <v>730</v>
      </c>
      <c r="AW74" s="163">
        <f t="shared" si="90"/>
        <v>0.50624999999999998</v>
      </c>
      <c r="AX74" s="144">
        <v>0.55000000000000004</v>
      </c>
      <c r="AY74" s="144">
        <v>0.3</v>
      </c>
      <c r="AZ74" s="350"/>
      <c r="BA74" s="153" t="e">
        <f>SUM(N74/(2*AC36)*(AC36/2-X74/2)^2,O74)</f>
        <v>#DIV/0!</v>
      </c>
      <c r="BB74" s="153" t="e">
        <f>BA74/(0.9*AC36*V36^2)</f>
        <v>#DIV/0!</v>
      </c>
      <c r="BC74" s="150" t="e">
        <f t="shared" si="93"/>
        <v>#DIV/0!</v>
      </c>
      <c r="BD74" s="148" t="e">
        <f>+BC74*AC36*V36*100^2</f>
        <v>#DIV/0!</v>
      </c>
      <c r="BE74" s="144">
        <v>5</v>
      </c>
      <c r="BF74" s="144">
        <v>27</v>
      </c>
      <c r="BG74" s="155">
        <f t="shared" si="95"/>
        <v>53.73</v>
      </c>
      <c r="BH74" s="53" t="e">
        <f t="shared" si="96"/>
        <v>#DIV/0!</v>
      </c>
      <c r="BI74" s="148">
        <f>ROUND((AC36-2*0.075)/BF74,2)</f>
        <v>-0.01</v>
      </c>
      <c r="BJ74" s="155" t="str">
        <f t="shared" si="98"/>
        <v>27#5@0</v>
      </c>
      <c r="BK74" s="197" t="e">
        <f t="shared" si="99"/>
        <v>#DIV/0!</v>
      </c>
      <c r="BL74" s="350"/>
      <c r="BM74" s="153" t="e">
        <f>(1+0.5*AA36/AC36)/1.5</f>
        <v>#DIV/0!</v>
      </c>
      <c r="BN74" s="157">
        <v>0.85</v>
      </c>
      <c r="BO74" s="153" t="e">
        <f t="shared" si="101"/>
        <v>#DIV/0!</v>
      </c>
      <c r="BP74" s="153" t="e">
        <f t="shared" si="102"/>
        <v>#DIV/0!</v>
      </c>
      <c r="BQ74" s="155" t="s">
        <v>699</v>
      </c>
      <c r="BR74" s="155">
        <f t="shared" si="103"/>
        <v>0.75</v>
      </c>
      <c r="BS74" s="153" t="e">
        <f>IF(AT74="SÍ",(N74*(AA36-W74)/2-P74)/(BM36+U36+BP74*BR74^2*BM36^2*AA36^3*AC36/(36*10^3*$O$8*V74)),0)</f>
        <v>#DIV/0!</v>
      </c>
      <c r="BT74" s="153">
        <f t="shared" si="105"/>
        <v>9.2317499999999999</v>
      </c>
      <c r="BU74" s="144">
        <v>6</v>
      </c>
      <c r="BV74" s="155" t="s">
        <v>191</v>
      </c>
      <c r="BW74" s="144">
        <v>6</v>
      </c>
      <c r="BX74" s="121"/>
      <c r="CI74" s="122"/>
      <c r="CJ74" s="350"/>
      <c r="CK74" s="153">
        <f t="shared" si="106"/>
        <v>28.4</v>
      </c>
      <c r="CL74" s="153">
        <f t="shared" si="107"/>
        <v>1073.5199999999998</v>
      </c>
      <c r="CM74" s="53" t="e">
        <f t="shared" si="108"/>
        <v>#DIV/0!</v>
      </c>
      <c r="CU74" s="117"/>
    </row>
    <row r="75" spans="1:99" ht="15" customHeight="1" x14ac:dyDescent="0.25">
      <c r="A75" s="123"/>
      <c r="B75" s="124"/>
      <c r="C75" s="188"/>
      <c r="D75" s="124"/>
      <c r="E75" s="124"/>
      <c r="F75" s="124"/>
      <c r="G75" s="124"/>
      <c r="H75" s="125"/>
      <c r="I75" s="124"/>
      <c r="J75" s="124"/>
      <c r="K75" s="124"/>
      <c r="L75" s="126"/>
      <c r="M75" s="349">
        <f>M37</f>
        <v>0</v>
      </c>
      <c r="N75" s="147"/>
      <c r="O75" s="147"/>
      <c r="P75" s="147"/>
      <c r="Q75" s="143"/>
      <c r="R75" s="163"/>
      <c r="S75" s="163"/>
      <c r="T75" s="155"/>
      <c r="U75" s="164"/>
      <c r="V75" s="165"/>
      <c r="W75" s="144"/>
      <c r="X75" s="144"/>
      <c r="Y75" s="349"/>
      <c r="Z75" s="150"/>
      <c r="AA75" s="150"/>
      <c r="AB75" s="151"/>
      <c r="AC75" s="150"/>
      <c r="AD75" s="152"/>
      <c r="AE75" s="361"/>
      <c r="AF75" s="361"/>
      <c r="AG75" s="148"/>
      <c r="AH75" s="150"/>
      <c r="AI75" s="148"/>
      <c r="AJ75" s="150"/>
      <c r="AK75" s="204"/>
      <c r="AL75" s="204"/>
      <c r="AM75" s="204"/>
      <c r="AN75" s="349"/>
      <c r="AO75" s="155"/>
      <c r="AP75" s="155"/>
      <c r="AQ75" s="150"/>
      <c r="AR75" s="150"/>
      <c r="AS75" s="53"/>
      <c r="AT75" s="155"/>
      <c r="AU75" s="144"/>
      <c r="AV75" s="143"/>
      <c r="AW75" s="163"/>
      <c r="AX75" s="144"/>
      <c r="AY75" s="144"/>
      <c r="AZ75" s="349"/>
      <c r="BA75" s="153"/>
      <c r="BB75" s="153"/>
      <c r="BC75" s="150"/>
      <c r="BD75" s="148"/>
      <c r="BE75" s="144"/>
      <c r="BF75" s="144"/>
      <c r="BG75" s="155"/>
      <c r="BH75" s="53"/>
      <c r="BI75" s="148"/>
      <c r="BJ75" s="155"/>
      <c r="BK75" s="197"/>
      <c r="BL75" s="349"/>
      <c r="BM75" s="153"/>
      <c r="BN75" s="157"/>
      <c r="BO75" s="153"/>
      <c r="BP75" s="153"/>
      <c r="BQ75" s="155"/>
      <c r="BR75" s="155"/>
      <c r="BS75" s="153"/>
      <c r="BT75" s="153"/>
      <c r="BU75" s="144"/>
      <c r="BV75" s="155"/>
      <c r="BW75" s="144"/>
      <c r="BX75" s="121"/>
      <c r="CI75" s="122"/>
      <c r="CJ75" s="349"/>
      <c r="CK75" s="153"/>
      <c r="CL75" s="153"/>
      <c r="CM75" s="53"/>
      <c r="CU75" s="117"/>
    </row>
    <row r="76" spans="1:99" ht="15" customHeight="1" x14ac:dyDescent="0.25">
      <c r="A76" s="123"/>
      <c r="B76" s="124"/>
      <c r="C76" s="188"/>
      <c r="D76" s="124"/>
      <c r="E76" s="124"/>
      <c r="F76" s="124"/>
      <c r="G76" s="124"/>
      <c r="H76" s="125"/>
      <c r="I76" s="124"/>
      <c r="J76" s="124"/>
      <c r="K76" s="124"/>
      <c r="L76" s="126"/>
      <c r="M76" s="350"/>
      <c r="N76" s="147"/>
      <c r="O76" s="147"/>
      <c r="P76" s="147"/>
      <c r="Q76" s="143"/>
      <c r="R76" s="163"/>
      <c r="S76" s="163"/>
      <c r="T76" s="155"/>
      <c r="U76" s="164"/>
      <c r="V76" s="165"/>
      <c r="W76" s="144"/>
      <c r="X76" s="144"/>
      <c r="Y76" s="350"/>
      <c r="Z76" s="150"/>
      <c r="AA76" s="150"/>
      <c r="AB76" s="151"/>
      <c r="AC76" s="150"/>
      <c r="AD76" s="152"/>
      <c r="AE76" s="361"/>
      <c r="AF76" s="361"/>
      <c r="AG76" s="148"/>
      <c r="AH76" s="150"/>
      <c r="AI76" s="148"/>
      <c r="AJ76" s="150"/>
      <c r="AK76" s="205"/>
      <c r="AL76" s="205"/>
      <c r="AM76" s="205"/>
      <c r="AN76" s="350"/>
      <c r="AO76" s="155"/>
      <c r="AP76" s="155"/>
      <c r="AQ76" s="150"/>
      <c r="AR76" s="150"/>
      <c r="AS76" s="53"/>
      <c r="AT76" s="155"/>
      <c r="AU76" s="144"/>
      <c r="AV76" s="143"/>
      <c r="AW76" s="163"/>
      <c r="AX76" s="144"/>
      <c r="AY76" s="144"/>
      <c r="AZ76" s="350"/>
      <c r="BA76" s="153"/>
      <c r="BB76" s="153"/>
      <c r="BC76" s="150"/>
      <c r="BD76" s="148"/>
      <c r="BE76" s="144"/>
      <c r="BF76" s="144"/>
      <c r="BG76" s="155"/>
      <c r="BH76" s="53"/>
      <c r="BI76" s="148"/>
      <c r="BJ76" s="155"/>
      <c r="BK76" s="197"/>
      <c r="BL76" s="350"/>
      <c r="BM76" s="153"/>
      <c r="BN76" s="157"/>
      <c r="BO76" s="153"/>
      <c r="BP76" s="153"/>
      <c r="BQ76" s="155"/>
      <c r="BR76" s="155"/>
      <c r="BS76" s="153"/>
      <c r="BT76" s="153"/>
      <c r="BU76" s="144"/>
      <c r="BV76" s="155"/>
      <c r="BW76" s="144"/>
      <c r="BX76" s="121"/>
      <c r="CI76" s="122"/>
      <c r="CJ76" s="350"/>
      <c r="CK76" s="153"/>
      <c r="CL76" s="153"/>
      <c r="CM76" s="53"/>
      <c r="CU76" s="117"/>
    </row>
    <row r="77" spans="1:99" x14ac:dyDescent="0.25">
      <c r="A77" s="123"/>
      <c r="B77" s="124"/>
      <c r="C77" s="188"/>
      <c r="D77" s="124"/>
      <c r="E77" s="124"/>
      <c r="F77" s="124"/>
      <c r="G77" s="124"/>
      <c r="H77" s="125"/>
      <c r="I77" s="124"/>
      <c r="J77" s="124"/>
      <c r="K77" s="124"/>
      <c r="L77" s="126"/>
      <c r="M77" s="349">
        <f>M39</f>
        <v>0</v>
      </c>
      <c r="N77" s="147"/>
      <c r="O77" s="147"/>
      <c r="P77" s="147"/>
      <c r="Q77" s="143"/>
      <c r="R77" s="163"/>
      <c r="S77" s="163"/>
      <c r="T77" s="155"/>
      <c r="U77" s="164"/>
      <c r="V77" s="165"/>
      <c r="W77" s="144"/>
      <c r="X77" s="144"/>
      <c r="Y77" s="349"/>
      <c r="Z77" s="150"/>
      <c r="AA77" s="150"/>
      <c r="AB77" s="151"/>
      <c r="AC77" s="150"/>
      <c r="AD77" s="152"/>
      <c r="AE77" s="361"/>
      <c r="AF77" s="361"/>
      <c r="AG77" s="148"/>
      <c r="AH77" s="150"/>
      <c r="AI77" s="148"/>
      <c r="AJ77" s="150"/>
      <c r="AK77" s="204"/>
      <c r="AL77" s="204"/>
      <c r="AM77" s="204"/>
      <c r="AN77" s="349"/>
      <c r="AO77" s="155"/>
      <c r="AP77" s="155"/>
      <c r="AQ77" s="150"/>
      <c r="AR77" s="150"/>
      <c r="AS77" s="53"/>
      <c r="AT77" s="155"/>
      <c r="AU77" s="144"/>
      <c r="AV77" s="143"/>
      <c r="AW77" s="163"/>
      <c r="AX77" s="144"/>
      <c r="AY77" s="144"/>
      <c r="AZ77" s="349"/>
      <c r="BA77" s="153"/>
      <c r="BB77" s="153"/>
      <c r="BC77" s="150"/>
      <c r="BD77" s="148"/>
      <c r="BE77" s="144"/>
      <c r="BF77" s="144"/>
      <c r="BG77" s="155"/>
      <c r="BH77" s="53"/>
      <c r="BI77" s="148"/>
      <c r="BJ77" s="155"/>
      <c r="BK77" s="197"/>
      <c r="BL77" s="349"/>
      <c r="BM77" s="153"/>
      <c r="BN77" s="157"/>
      <c r="BO77" s="153"/>
      <c r="BP77" s="153"/>
      <c r="BQ77" s="155"/>
      <c r="BR77" s="155"/>
      <c r="BS77" s="153"/>
      <c r="BT77" s="153"/>
      <c r="BU77" s="144"/>
      <c r="BV77" s="155"/>
      <c r="BW77" s="144"/>
      <c r="BX77" s="121"/>
      <c r="CI77" s="122"/>
      <c r="CJ77" s="349"/>
      <c r="CK77" s="153"/>
      <c r="CL77" s="153"/>
      <c r="CM77" s="53"/>
      <c r="CU77" s="117"/>
    </row>
    <row r="78" spans="1:99" x14ac:dyDescent="0.25">
      <c r="A78" s="123"/>
      <c r="B78" s="124"/>
      <c r="C78" s="188"/>
      <c r="D78" s="124"/>
      <c r="E78" s="124"/>
      <c r="F78" s="124"/>
      <c r="G78" s="124"/>
      <c r="H78" s="125"/>
      <c r="I78" s="124"/>
      <c r="J78" s="124"/>
      <c r="K78" s="124"/>
      <c r="L78" s="126"/>
      <c r="M78" s="350"/>
      <c r="N78" s="147"/>
      <c r="O78" s="147"/>
      <c r="P78" s="147"/>
      <c r="Q78" s="143"/>
      <c r="R78" s="163"/>
      <c r="S78" s="163"/>
      <c r="T78" s="155"/>
      <c r="U78" s="164"/>
      <c r="V78" s="165"/>
      <c r="W78" s="144"/>
      <c r="X78" s="144"/>
      <c r="Y78" s="350"/>
      <c r="Z78" s="150"/>
      <c r="AA78" s="150"/>
      <c r="AB78" s="151"/>
      <c r="AC78" s="150"/>
      <c r="AD78" s="152"/>
      <c r="AE78" s="361"/>
      <c r="AF78" s="361"/>
      <c r="AG78" s="148"/>
      <c r="AH78" s="150"/>
      <c r="AI78" s="148"/>
      <c r="AJ78" s="150"/>
      <c r="AK78" s="205"/>
      <c r="AL78" s="205"/>
      <c r="AM78" s="205"/>
      <c r="AN78" s="350"/>
      <c r="AO78" s="155"/>
      <c r="AP78" s="155"/>
      <c r="AQ78" s="150"/>
      <c r="AR78" s="150"/>
      <c r="AS78" s="53"/>
      <c r="AT78" s="155"/>
      <c r="AU78" s="144"/>
      <c r="AV78" s="143"/>
      <c r="AW78" s="163"/>
      <c r="AX78" s="144"/>
      <c r="AY78" s="144"/>
      <c r="AZ78" s="350"/>
      <c r="BA78" s="153"/>
      <c r="BB78" s="153"/>
      <c r="BC78" s="150"/>
      <c r="BD78" s="148"/>
      <c r="BE78" s="144"/>
      <c r="BF78" s="144"/>
      <c r="BG78" s="155"/>
      <c r="BH78" s="53"/>
      <c r="BI78" s="148"/>
      <c r="BJ78" s="155"/>
      <c r="BK78" s="197"/>
      <c r="BL78" s="350"/>
      <c r="BM78" s="153"/>
      <c r="BN78" s="157"/>
      <c r="BO78" s="153"/>
      <c r="BP78" s="153"/>
      <c r="BQ78" s="155"/>
      <c r="BR78" s="155"/>
      <c r="BS78" s="153"/>
      <c r="BT78" s="153"/>
      <c r="BU78" s="144"/>
      <c r="BV78" s="155"/>
      <c r="BW78" s="144"/>
      <c r="BX78" s="121"/>
      <c r="CI78" s="122"/>
      <c r="CJ78" s="350"/>
      <c r="CK78" s="153"/>
      <c r="CL78" s="153"/>
      <c r="CM78" s="53"/>
      <c r="CU78" s="117"/>
    </row>
    <row r="79" spans="1:99" ht="15" customHeight="1" x14ac:dyDescent="0.25">
      <c r="A79" s="123"/>
      <c r="B79" s="124"/>
      <c r="C79" s="188"/>
      <c r="D79" s="124"/>
      <c r="E79" s="124"/>
      <c r="F79" s="124"/>
      <c r="G79" s="124"/>
      <c r="H79" s="125"/>
      <c r="I79" s="124"/>
      <c r="J79" s="124"/>
      <c r="K79" s="124"/>
      <c r="L79" s="126"/>
      <c r="M79" s="349">
        <f>M41</f>
        <v>0</v>
      </c>
      <c r="N79" s="147"/>
      <c r="O79" s="147"/>
      <c r="P79" s="147"/>
      <c r="Q79" s="143"/>
      <c r="R79" s="163"/>
      <c r="S79" s="163"/>
      <c r="T79" s="155"/>
      <c r="U79" s="164"/>
      <c r="V79" s="165"/>
      <c r="W79" s="144"/>
      <c r="X79" s="144"/>
      <c r="Y79" s="349"/>
      <c r="Z79" s="150"/>
      <c r="AA79" s="150"/>
      <c r="AB79" s="151"/>
      <c r="AC79" s="150"/>
      <c r="AD79" s="152"/>
      <c r="AE79" s="361"/>
      <c r="AF79" s="361"/>
      <c r="AG79" s="148"/>
      <c r="AH79" s="150"/>
      <c r="AI79" s="148"/>
      <c r="AJ79" s="150"/>
      <c r="AK79" s="204"/>
      <c r="AL79" s="204"/>
      <c r="AM79" s="204"/>
      <c r="AN79" s="349"/>
      <c r="AO79" s="155"/>
      <c r="AP79" s="155"/>
      <c r="AQ79" s="150"/>
      <c r="AR79" s="150"/>
      <c r="AS79" s="53"/>
      <c r="AT79" s="155"/>
      <c r="AU79" s="144"/>
      <c r="AV79" s="143"/>
      <c r="AW79" s="163"/>
      <c r="AX79" s="144"/>
      <c r="AY79" s="144"/>
      <c r="AZ79" s="349"/>
      <c r="BA79" s="153"/>
      <c r="BB79" s="153"/>
      <c r="BC79" s="150"/>
      <c r="BD79" s="148"/>
      <c r="BE79" s="144"/>
      <c r="BF79" s="144"/>
      <c r="BG79" s="155"/>
      <c r="BH79" s="53"/>
      <c r="BI79" s="148"/>
      <c r="BJ79" s="155"/>
      <c r="BK79" s="197"/>
      <c r="BL79" s="349"/>
      <c r="BM79" s="153"/>
      <c r="BN79" s="157"/>
      <c r="BO79" s="153"/>
      <c r="BP79" s="153"/>
      <c r="BQ79" s="155"/>
      <c r="BR79" s="155"/>
      <c r="BS79" s="153"/>
      <c r="BT79" s="153"/>
      <c r="BU79" s="144"/>
      <c r="BV79" s="155"/>
      <c r="BW79" s="144"/>
      <c r="BX79" s="121"/>
      <c r="CI79" s="122"/>
      <c r="CJ79" s="349"/>
      <c r="CK79" s="153"/>
      <c r="CL79" s="153"/>
      <c r="CM79" s="53"/>
      <c r="CU79" s="117"/>
    </row>
    <row r="80" spans="1:99" x14ac:dyDescent="0.25">
      <c r="A80" s="123"/>
      <c r="B80" s="124"/>
      <c r="C80" s="188"/>
      <c r="D80" s="124"/>
      <c r="E80" s="124"/>
      <c r="F80" s="124"/>
      <c r="G80" s="124"/>
      <c r="H80" s="125"/>
      <c r="I80" s="124"/>
      <c r="J80" s="124"/>
      <c r="K80" s="124"/>
      <c r="L80" s="126"/>
      <c r="M80" s="350"/>
      <c r="N80" s="147"/>
      <c r="O80" s="147"/>
      <c r="P80" s="147"/>
      <c r="Q80" s="143"/>
      <c r="R80" s="163"/>
      <c r="S80" s="163"/>
      <c r="T80" s="155"/>
      <c r="U80" s="164"/>
      <c r="V80" s="165"/>
      <c r="W80" s="144"/>
      <c r="X80" s="144"/>
      <c r="Y80" s="350"/>
      <c r="Z80" s="150"/>
      <c r="AA80" s="150"/>
      <c r="AB80" s="151"/>
      <c r="AC80" s="150"/>
      <c r="AD80" s="152"/>
      <c r="AE80" s="361"/>
      <c r="AF80" s="361"/>
      <c r="AG80" s="148"/>
      <c r="AH80" s="150"/>
      <c r="AI80" s="148"/>
      <c r="AJ80" s="150"/>
      <c r="AK80" s="205"/>
      <c r="AL80" s="205"/>
      <c r="AM80" s="205"/>
      <c r="AN80" s="350"/>
      <c r="AO80" s="155"/>
      <c r="AP80" s="155"/>
      <c r="AQ80" s="150"/>
      <c r="AR80" s="150"/>
      <c r="AS80" s="53"/>
      <c r="AT80" s="155"/>
      <c r="AU80" s="144"/>
      <c r="AV80" s="143"/>
      <c r="AW80" s="163"/>
      <c r="AX80" s="144"/>
      <c r="AY80" s="144"/>
      <c r="AZ80" s="350"/>
      <c r="BA80" s="153"/>
      <c r="BB80" s="153"/>
      <c r="BC80" s="150"/>
      <c r="BD80" s="148"/>
      <c r="BE80" s="144"/>
      <c r="BF80" s="144"/>
      <c r="BG80" s="155"/>
      <c r="BH80" s="53"/>
      <c r="BI80" s="148"/>
      <c r="BJ80" s="155"/>
      <c r="BK80" s="197"/>
      <c r="BL80" s="350"/>
      <c r="BM80" s="153"/>
      <c r="BN80" s="157"/>
      <c r="BO80" s="153"/>
      <c r="BP80" s="153"/>
      <c r="BQ80" s="155"/>
      <c r="BR80" s="155"/>
      <c r="BS80" s="153"/>
      <c r="BT80" s="153"/>
      <c r="BU80" s="144"/>
      <c r="BV80" s="155"/>
      <c r="BW80" s="144"/>
      <c r="BX80" s="121"/>
      <c r="CI80" s="122"/>
      <c r="CJ80" s="350"/>
      <c r="CK80" s="153"/>
      <c r="CL80" s="153"/>
      <c r="CM80" s="53"/>
      <c r="CU80" s="117"/>
    </row>
    <row r="81" spans="1:99" x14ac:dyDescent="0.25">
      <c r="A81" s="123"/>
      <c r="L81" s="126"/>
      <c r="M81" s="349">
        <f>M43</f>
        <v>0</v>
      </c>
      <c r="N81" s="147"/>
      <c r="O81" s="147"/>
      <c r="P81" s="147"/>
      <c r="Q81" s="143"/>
      <c r="R81" s="163"/>
      <c r="S81" s="163"/>
      <c r="T81" s="155"/>
      <c r="U81" s="164"/>
      <c r="V81" s="165"/>
      <c r="W81" s="144"/>
      <c r="X81" s="144"/>
      <c r="Y81" s="349"/>
      <c r="Z81" s="150"/>
      <c r="AA81" s="150"/>
      <c r="AB81" s="151"/>
      <c r="AC81" s="150"/>
      <c r="AD81" s="152"/>
      <c r="AE81" s="361"/>
      <c r="AF81" s="361"/>
      <c r="AG81" s="148"/>
      <c r="AH81" s="150"/>
      <c r="AI81" s="148"/>
      <c r="AJ81" s="150"/>
      <c r="AK81" s="204"/>
      <c r="AL81" s="204"/>
      <c r="AM81" s="204"/>
      <c r="AN81" s="349"/>
      <c r="AO81" s="155"/>
      <c r="AP81" s="155"/>
      <c r="AQ81" s="150"/>
      <c r="AR81" s="150"/>
      <c r="AS81" s="53"/>
      <c r="AT81" s="155"/>
      <c r="AU81" s="144"/>
      <c r="AV81" s="143"/>
      <c r="AW81" s="163"/>
      <c r="AX81" s="144"/>
      <c r="AY81" s="144"/>
      <c r="AZ81" s="349"/>
      <c r="BA81" s="153"/>
      <c r="BB81" s="153"/>
      <c r="BC81" s="150"/>
      <c r="BD81" s="148"/>
      <c r="BE81" s="144"/>
      <c r="BF81" s="144"/>
      <c r="BG81" s="155"/>
      <c r="BH81" s="53"/>
      <c r="BI81" s="148"/>
      <c r="BJ81" s="155"/>
      <c r="BK81" s="197"/>
      <c r="BL81" s="349"/>
      <c r="BM81" s="153"/>
      <c r="BN81" s="157"/>
      <c r="BO81" s="153"/>
      <c r="BP81" s="153"/>
      <c r="BQ81" s="155"/>
      <c r="BR81" s="155"/>
      <c r="BS81" s="153"/>
      <c r="BT81" s="153"/>
      <c r="BU81" s="144"/>
      <c r="BV81" s="155"/>
      <c r="BW81" s="144"/>
      <c r="BX81" s="121"/>
      <c r="CI81" s="122"/>
      <c r="CJ81" s="349"/>
      <c r="CK81" s="153"/>
      <c r="CL81" s="153"/>
      <c r="CM81" s="53"/>
      <c r="CU81" s="117"/>
    </row>
    <row r="82" spans="1:99" ht="15" customHeight="1" x14ac:dyDescent="0.25">
      <c r="A82" s="123"/>
      <c r="L82" s="126"/>
      <c r="M82" s="350"/>
      <c r="N82" s="147"/>
      <c r="O82" s="147"/>
      <c r="P82" s="147"/>
      <c r="Q82" s="143"/>
      <c r="R82" s="163"/>
      <c r="S82" s="163"/>
      <c r="T82" s="155"/>
      <c r="U82" s="164"/>
      <c r="V82" s="165"/>
      <c r="W82" s="144"/>
      <c r="X82" s="144"/>
      <c r="Y82" s="350"/>
      <c r="Z82" s="150"/>
      <c r="AA82" s="150"/>
      <c r="AB82" s="151"/>
      <c r="AC82" s="150"/>
      <c r="AD82" s="152"/>
      <c r="AE82" s="361"/>
      <c r="AF82" s="361"/>
      <c r="AG82" s="148"/>
      <c r="AH82" s="150"/>
      <c r="AI82" s="148"/>
      <c r="AJ82" s="150"/>
      <c r="AK82" s="205"/>
      <c r="AL82" s="205"/>
      <c r="AM82" s="205"/>
      <c r="AN82" s="350"/>
      <c r="AO82" s="155"/>
      <c r="AP82" s="155"/>
      <c r="AQ82" s="150"/>
      <c r="AR82" s="150"/>
      <c r="AS82" s="53"/>
      <c r="AT82" s="155"/>
      <c r="AU82" s="144"/>
      <c r="AV82" s="143"/>
      <c r="AW82" s="163"/>
      <c r="AX82" s="144"/>
      <c r="AY82" s="144"/>
      <c r="AZ82" s="350"/>
      <c r="BA82" s="153"/>
      <c r="BB82" s="153"/>
      <c r="BC82" s="150"/>
      <c r="BD82" s="148"/>
      <c r="BE82" s="144"/>
      <c r="BF82" s="144"/>
      <c r="BG82" s="155"/>
      <c r="BH82" s="53"/>
      <c r="BI82" s="148"/>
      <c r="BJ82" s="155"/>
      <c r="BK82" s="197"/>
      <c r="BL82" s="350"/>
      <c r="BM82" s="153"/>
      <c r="BN82" s="157"/>
      <c r="BO82" s="153"/>
      <c r="BP82" s="153"/>
      <c r="BQ82" s="155"/>
      <c r="BR82" s="155"/>
      <c r="BS82" s="153"/>
      <c r="BT82" s="153"/>
      <c r="BU82" s="144"/>
      <c r="BV82" s="155"/>
      <c r="BW82" s="144"/>
      <c r="BX82" s="121"/>
      <c r="CI82" s="122"/>
      <c r="CJ82" s="350"/>
      <c r="CK82" s="153"/>
      <c r="CL82" s="153"/>
      <c r="CM82" s="53"/>
      <c r="CU82" s="117"/>
    </row>
    <row r="83" spans="1:99" ht="15" customHeight="1" x14ac:dyDescent="0.25">
      <c r="A83" s="159"/>
      <c r="K83" s="160"/>
      <c r="L83" s="122"/>
      <c r="M83" s="159"/>
      <c r="W83" s="160"/>
      <c r="X83" s="122"/>
      <c r="Y83" s="116"/>
      <c r="Z83" s="114"/>
      <c r="AA83" s="114"/>
      <c r="AB83" s="114"/>
      <c r="AC83" s="114"/>
      <c r="AD83" s="114"/>
      <c r="AJ83" s="122"/>
      <c r="AN83" s="116"/>
      <c r="AO83" s="114"/>
      <c r="AP83" s="114"/>
      <c r="AQ83" s="114"/>
      <c r="AR83" s="114"/>
      <c r="AS83" s="114"/>
      <c r="AT83" s="114"/>
      <c r="AU83" s="114"/>
      <c r="AV83" s="114" t="s">
        <v>806</v>
      </c>
      <c r="AW83" s="114"/>
      <c r="AX83" s="114"/>
      <c r="AY83" s="117"/>
      <c r="AZ83" s="116"/>
      <c r="BC83" s="114"/>
      <c r="BD83" s="114"/>
      <c r="BE83" s="114"/>
      <c r="BF83" s="114"/>
      <c r="BG83" s="114"/>
      <c r="BH83" s="114"/>
      <c r="BI83" s="114"/>
      <c r="BJ83" s="114"/>
      <c r="BK83" s="117"/>
      <c r="BL83" s="121"/>
      <c r="BS83" s="112"/>
      <c r="BT83" s="112"/>
      <c r="BU83" s="112"/>
      <c r="BV83" s="112"/>
      <c r="BW83" s="122"/>
      <c r="BX83" s="121"/>
      <c r="CI83" s="122"/>
      <c r="CU83" s="117"/>
    </row>
    <row r="84" spans="1:99" x14ac:dyDescent="0.25">
      <c r="A84" s="167"/>
      <c r="B84" s="168"/>
      <c r="C84" s="169"/>
      <c r="D84" s="170"/>
      <c r="E84" s="170"/>
      <c r="F84" s="171"/>
      <c r="G84" s="170"/>
      <c r="H84" s="171"/>
      <c r="I84" s="170"/>
      <c r="J84" s="170"/>
      <c r="K84" s="172"/>
      <c r="L84" s="173"/>
      <c r="M84" s="167"/>
      <c r="N84" s="168"/>
      <c r="O84" s="169"/>
      <c r="P84" s="170"/>
      <c r="Q84" s="170"/>
      <c r="R84" s="171"/>
      <c r="S84" s="170"/>
      <c r="T84" s="171"/>
      <c r="U84" s="170"/>
      <c r="V84" s="170"/>
      <c r="W84" s="172"/>
      <c r="X84" s="173"/>
      <c r="Y84" s="174"/>
      <c r="Z84" s="168"/>
      <c r="AA84" s="168"/>
      <c r="AB84" s="175"/>
      <c r="AC84" s="175"/>
      <c r="AD84" s="175"/>
      <c r="AE84" s="175"/>
      <c r="AF84" s="175"/>
      <c r="AG84" s="175"/>
      <c r="AH84" s="175"/>
      <c r="AI84" s="175"/>
      <c r="AJ84" s="176"/>
      <c r="AK84" s="175"/>
      <c r="AL84" s="175"/>
      <c r="AM84" s="175"/>
      <c r="AN84" s="174"/>
      <c r="AO84" s="168"/>
      <c r="AP84" s="168"/>
      <c r="AQ84" s="175"/>
      <c r="AR84" s="175"/>
      <c r="AS84" s="175"/>
      <c r="AT84" s="175"/>
      <c r="AU84" s="175"/>
      <c r="AV84" s="175"/>
      <c r="AW84" s="175"/>
      <c r="AX84" s="175"/>
      <c r="AY84" s="176"/>
      <c r="AZ84" s="174"/>
      <c r="BA84" s="168"/>
      <c r="BB84" s="168"/>
      <c r="BC84" s="175"/>
      <c r="BD84" s="175"/>
      <c r="BE84" s="175"/>
      <c r="BF84" s="175"/>
      <c r="BG84" s="175"/>
      <c r="BH84" s="175"/>
      <c r="BI84" s="175"/>
      <c r="BJ84" s="175"/>
      <c r="BK84" s="176"/>
      <c r="BL84" s="195"/>
      <c r="BM84" s="175"/>
      <c r="BN84" s="175"/>
      <c r="BO84" s="175"/>
      <c r="BP84" s="175"/>
      <c r="BQ84" s="175"/>
      <c r="BR84" s="175"/>
      <c r="BS84" s="175"/>
      <c r="BT84" s="175"/>
      <c r="BU84" s="175"/>
      <c r="BV84" s="175"/>
      <c r="BW84" s="176"/>
      <c r="BX84" s="195"/>
      <c r="BY84" s="170"/>
      <c r="BZ84" s="170"/>
      <c r="CA84" s="170"/>
      <c r="CB84" s="170"/>
      <c r="CC84" s="170"/>
      <c r="CD84" s="170"/>
      <c r="CE84" s="175"/>
      <c r="CF84" s="175"/>
      <c r="CG84" s="175"/>
      <c r="CH84" s="175"/>
      <c r="CI84" s="176"/>
      <c r="CU84" s="117"/>
    </row>
    <row r="85" spans="1:99" ht="15.75" thickBot="1" x14ac:dyDescent="0.3">
      <c r="B85" s="114"/>
      <c r="C85" s="114"/>
      <c r="D85" s="114"/>
      <c r="E85" s="114"/>
      <c r="F85" s="114"/>
      <c r="G85" s="114"/>
      <c r="H85" s="114"/>
      <c r="I85" s="114"/>
      <c r="J85" s="114"/>
      <c r="K85" s="114"/>
      <c r="L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c r="AJ85" s="114"/>
      <c r="AK85" s="114"/>
      <c r="AL85" s="114"/>
      <c r="AM85" s="114"/>
      <c r="AN85" s="114"/>
      <c r="AO85" s="114"/>
      <c r="AP85" s="114"/>
      <c r="AQ85" s="114"/>
      <c r="AR85" s="114"/>
      <c r="AS85" s="114"/>
      <c r="AT85" s="114"/>
      <c r="AU85" s="114"/>
      <c r="AV85" s="114"/>
      <c r="AW85" s="114"/>
      <c r="AX85" s="114"/>
      <c r="AY85" s="114"/>
      <c r="AZ85" s="114"/>
      <c r="BA85" s="114"/>
      <c r="BB85" s="114"/>
      <c r="BC85" s="114"/>
      <c r="BD85" s="114"/>
      <c r="BE85" s="114"/>
      <c r="BF85" s="114"/>
      <c r="BG85" s="114"/>
      <c r="BH85" s="114"/>
      <c r="BI85" s="114"/>
      <c r="BJ85" s="114"/>
      <c r="BK85" s="114"/>
      <c r="BL85" s="114"/>
      <c r="BM85" s="114"/>
      <c r="BN85" s="114"/>
      <c r="BO85" s="114"/>
      <c r="BP85" s="114"/>
      <c r="BQ85" s="114"/>
      <c r="BR85" s="114"/>
      <c r="BS85" s="114"/>
      <c r="BT85" s="114"/>
      <c r="BU85" s="114"/>
    </row>
    <row r="86" spans="1:99" ht="16.5" customHeight="1" x14ac:dyDescent="0.25">
      <c r="N86" s="363" t="s">
        <v>736</v>
      </c>
      <c r="O86" s="364"/>
      <c r="P86" s="364"/>
      <c r="Q86" s="364"/>
      <c r="R86" s="364"/>
      <c r="S86" s="365"/>
      <c r="T86" s="363" t="s">
        <v>737</v>
      </c>
      <c r="U86" s="364"/>
      <c r="V86" s="366"/>
      <c r="W86" s="114"/>
      <c r="AO86" s="178"/>
      <c r="AP86" s="178"/>
      <c r="AQ86" s="114"/>
      <c r="AR86" s="114"/>
      <c r="AS86" s="114"/>
      <c r="AT86" s="114"/>
      <c r="AU86" s="114"/>
      <c r="AV86" s="114"/>
      <c r="AW86" s="114"/>
      <c r="AX86" s="114"/>
      <c r="AY86" s="114"/>
      <c r="AZ86" s="177"/>
      <c r="BA86" s="178"/>
      <c r="BB86" s="178"/>
      <c r="BC86" s="114"/>
      <c r="BD86" s="114"/>
      <c r="BE86" s="114"/>
      <c r="BF86" s="114"/>
      <c r="BG86" s="114"/>
      <c r="BH86" s="114"/>
      <c r="BI86" s="114"/>
      <c r="BJ86" s="114"/>
      <c r="BK86" s="114"/>
      <c r="BL86" s="114"/>
      <c r="BM86" s="114"/>
      <c r="BN86" s="114"/>
      <c r="BO86" s="114"/>
      <c r="BP86" s="114"/>
      <c r="BQ86" s="114"/>
      <c r="BR86" s="114"/>
      <c r="BS86" s="114"/>
      <c r="BT86" s="114"/>
      <c r="BU86" s="114"/>
    </row>
    <row r="87" spans="1:99" x14ac:dyDescent="0.25">
      <c r="N87" s="367" t="s">
        <v>738</v>
      </c>
      <c r="O87" s="361"/>
      <c r="P87" s="361"/>
      <c r="Q87" s="361"/>
      <c r="R87" s="361"/>
      <c r="S87" s="369"/>
      <c r="T87" s="367"/>
      <c r="U87" s="361"/>
      <c r="V87" s="368"/>
      <c r="W87" s="114"/>
      <c r="Y87" s="132" t="s">
        <v>672</v>
      </c>
      <c r="Z87" s="132" t="s">
        <v>673</v>
      </c>
      <c r="AO87" s="178"/>
      <c r="AP87" s="178"/>
      <c r="AQ87" s="114"/>
      <c r="AR87" s="114"/>
      <c r="AS87" s="114"/>
      <c r="AT87" s="114"/>
      <c r="AU87" s="114"/>
      <c r="AV87" s="114"/>
      <c r="AW87" s="114"/>
      <c r="AX87" s="114"/>
      <c r="AY87" s="114"/>
      <c r="AZ87" s="177"/>
      <c r="BA87" s="178"/>
      <c r="BB87" s="178"/>
      <c r="BC87" s="114"/>
      <c r="BD87" s="114"/>
      <c r="BE87" s="114"/>
      <c r="BF87" s="114"/>
      <c r="BG87" s="114"/>
      <c r="BH87" s="114"/>
      <c r="BI87" s="114"/>
      <c r="BJ87" s="114"/>
      <c r="BK87" s="114"/>
      <c r="BL87" s="114"/>
      <c r="BM87" s="114"/>
      <c r="BN87" s="114"/>
      <c r="BO87" s="114"/>
      <c r="BP87" s="114"/>
      <c r="BQ87" s="114"/>
      <c r="BR87" s="114"/>
      <c r="BS87" s="114"/>
      <c r="BT87" s="114"/>
      <c r="BU87" s="114"/>
    </row>
    <row r="88" spans="1:99" ht="13.9" customHeight="1" x14ac:dyDescent="0.25">
      <c r="N88" s="367" t="s">
        <v>306</v>
      </c>
      <c r="O88" s="370" t="s">
        <v>739</v>
      </c>
      <c r="P88" s="361" t="s">
        <v>740</v>
      </c>
      <c r="Q88" s="361"/>
      <c r="R88" s="361"/>
      <c r="S88" s="369"/>
      <c r="T88" s="367"/>
      <c r="U88" s="361"/>
      <c r="V88" s="368"/>
      <c r="W88" s="160"/>
      <c r="Y88" s="133" t="s">
        <v>634</v>
      </c>
      <c r="Z88" s="133" t="s">
        <v>634</v>
      </c>
      <c r="AO88" s="178"/>
      <c r="AP88" s="178"/>
      <c r="AQ88" s="114"/>
      <c r="AR88" s="114"/>
      <c r="AS88" s="114"/>
      <c r="AT88" s="114"/>
      <c r="AU88" s="114"/>
      <c r="AV88" s="114"/>
      <c r="AW88" s="114"/>
      <c r="AX88" s="114"/>
      <c r="AY88" s="114"/>
      <c r="AZ88" s="177"/>
      <c r="BA88" s="178"/>
      <c r="BB88" s="178"/>
      <c r="BC88" s="114"/>
      <c r="BD88" s="114"/>
      <c r="BE88" s="114"/>
      <c r="BF88" s="114"/>
      <c r="BG88" s="114"/>
      <c r="BH88" s="114"/>
      <c r="BI88" s="114"/>
      <c r="BJ88" s="114"/>
      <c r="BK88" s="114"/>
      <c r="BL88" s="114"/>
      <c r="BM88" s="114"/>
      <c r="BN88" s="114"/>
      <c r="BO88" s="114"/>
      <c r="BP88" s="114"/>
      <c r="BQ88" s="114"/>
      <c r="BR88" s="114"/>
      <c r="BS88" s="114"/>
      <c r="BT88" s="114"/>
      <c r="BU88" s="114"/>
    </row>
    <row r="89" spans="1:99" x14ac:dyDescent="0.25">
      <c r="N89" s="367"/>
      <c r="O89" s="370"/>
      <c r="P89" s="155" t="s">
        <v>741</v>
      </c>
      <c r="Q89" s="155" t="s">
        <v>308</v>
      </c>
      <c r="R89" s="155" t="s">
        <v>742</v>
      </c>
      <c r="S89" s="180" t="s">
        <v>192</v>
      </c>
      <c r="T89" s="179" t="s">
        <v>308</v>
      </c>
      <c r="U89" s="155" t="s">
        <v>741</v>
      </c>
      <c r="V89" s="181" t="s">
        <v>743</v>
      </c>
      <c r="W89" s="160"/>
      <c r="Y89" s="150">
        <f>2*N51/(3*AA13*(AC13/2-AD13))</f>
        <v>126.42775589517291</v>
      </c>
      <c r="Z89" s="150">
        <f>2*N51/(3*AA13*(AC13/2-AE13))</f>
        <v>94.724548703521293</v>
      </c>
      <c r="AE89" s="125"/>
      <c r="AF89" s="125"/>
      <c r="AO89" s="178"/>
      <c r="AP89" s="178"/>
      <c r="AQ89" s="114"/>
      <c r="AR89" s="114"/>
      <c r="AS89" s="114"/>
      <c r="AT89" s="114"/>
      <c r="AU89" s="114"/>
      <c r="AV89" s="114"/>
      <c r="AW89" s="114"/>
      <c r="AX89" s="114"/>
      <c r="AY89" s="114"/>
      <c r="AZ89" s="177"/>
      <c r="BA89" s="178"/>
      <c r="BB89" s="178"/>
      <c r="BC89" s="114"/>
      <c r="BD89" s="114"/>
      <c r="BE89" s="114"/>
      <c r="BF89" s="114"/>
      <c r="BG89" s="114"/>
      <c r="BH89" s="114"/>
      <c r="BI89" s="114"/>
      <c r="BJ89" s="114"/>
      <c r="BK89" s="114"/>
      <c r="BL89" s="114"/>
      <c r="BM89" s="114"/>
      <c r="BN89" s="114"/>
      <c r="BO89" s="114"/>
      <c r="BP89" s="114"/>
      <c r="BQ89" s="114"/>
      <c r="BR89" s="114"/>
      <c r="BS89" s="114"/>
      <c r="BT89" s="114"/>
      <c r="BU89" s="114"/>
    </row>
    <row r="90" spans="1:99" x14ac:dyDescent="0.25">
      <c r="N90" s="179" t="s">
        <v>307</v>
      </c>
      <c r="O90" s="155" t="s">
        <v>401</v>
      </c>
      <c r="P90" s="155" t="s">
        <v>374</v>
      </c>
      <c r="Q90" s="155" t="s">
        <v>383</v>
      </c>
      <c r="R90" s="155" t="s">
        <v>374</v>
      </c>
      <c r="S90" s="180" t="s">
        <v>744</v>
      </c>
      <c r="T90" s="179" t="s">
        <v>309</v>
      </c>
      <c r="U90" s="155" t="s">
        <v>150</v>
      </c>
      <c r="V90" s="181" t="s">
        <v>150</v>
      </c>
      <c r="Y90" s="150">
        <f t="shared" ref="Y90:Y120" si="141">2*N52/(3*AA14*(AC14/2-AD14))</f>
        <v>78.002991132231713</v>
      </c>
      <c r="Z90" s="150">
        <f t="shared" ref="Z90:Z120" si="142">2*N52/(3*AA14*(AC14/2-AE14))</f>
        <v>89.379755787834668</v>
      </c>
      <c r="AE90" s="125"/>
      <c r="AF90" s="125"/>
      <c r="AO90" s="178"/>
      <c r="AP90" s="178"/>
      <c r="AQ90" s="114"/>
      <c r="AR90" s="114"/>
      <c r="AS90" s="114"/>
      <c r="AT90" s="114"/>
      <c r="AU90" s="114"/>
      <c r="AV90" s="114"/>
      <c r="AW90" s="114"/>
      <c r="AX90" s="114"/>
      <c r="AY90" s="114"/>
      <c r="AZ90" s="177"/>
      <c r="BA90" s="178"/>
      <c r="BB90" s="178"/>
      <c r="BC90" s="114"/>
      <c r="BD90" s="114"/>
      <c r="BE90" s="114"/>
      <c r="BF90" s="114"/>
      <c r="BG90" s="114"/>
      <c r="BH90" s="114"/>
      <c r="BI90" s="114"/>
      <c r="BJ90" s="114"/>
      <c r="BK90" s="114"/>
      <c r="BL90" s="114"/>
      <c r="BM90" s="114"/>
      <c r="BN90" s="114"/>
      <c r="BO90" s="114"/>
      <c r="BP90" s="114"/>
      <c r="BQ90" s="114"/>
      <c r="BR90" s="114"/>
      <c r="BS90" s="114"/>
      <c r="BT90" s="114"/>
      <c r="BU90" s="114"/>
    </row>
    <row r="91" spans="1:99" x14ac:dyDescent="0.25">
      <c r="N91" s="179">
        <v>2</v>
      </c>
      <c r="O91" s="155" t="str">
        <f t="shared" ref="O91:O102" si="143">CONCATENATE(N91,"/8","""")</f>
        <v>2/8"</v>
      </c>
      <c r="P91" s="155">
        <v>6.4</v>
      </c>
      <c r="Q91" s="155">
        <v>32</v>
      </c>
      <c r="R91" s="155">
        <v>20</v>
      </c>
      <c r="S91" s="180">
        <v>0.25</v>
      </c>
      <c r="T91" s="179">
        <f t="shared" ref="T91:T102" si="144">Q91/100</f>
        <v>0.32</v>
      </c>
      <c r="U91" s="155">
        <f t="shared" ref="U91:U102" si="145">P91/10</f>
        <v>0.64</v>
      </c>
      <c r="V91" s="181">
        <v>25</v>
      </c>
      <c r="Y91" s="150">
        <f t="shared" si="141"/>
        <v>72.427176824900229</v>
      </c>
      <c r="Z91" s="150">
        <f t="shared" si="142"/>
        <v>70.339788066025775</v>
      </c>
      <c r="AX91" s="114"/>
      <c r="AY91" s="114"/>
      <c r="BJ91" s="114"/>
      <c r="BK91" s="114"/>
      <c r="BL91" s="114"/>
      <c r="BM91" s="114"/>
      <c r="BN91" s="114"/>
      <c r="BO91" s="114"/>
      <c r="BP91" s="114"/>
      <c r="BQ91" s="114"/>
      <c r="BR91" s="114"/>
      <c r="BS91" s="114"/>
      <c r="BT91" s="114"/>
      <c r="BU91" s="114"/>
    </row>
    <row r="92" spans="1:99" x14ac:dyDescent="0.25">
      <c r="N92" s="179">
        <v>3</v>
      </c>
      <c r="O92" s="155" t="str">
        <f t="shared" si="143"/>
        <v>3/8"</v>
      </c>
      <c r="P92" s="155">
        <v>9.5</v>
      </c>
      <c r="Q92" s="155">
        <v>71</v>
      </c>
      <c r="R92" s="155">
        <v>30</v>
      </c>
      <c r="S92" s="180">
        <v>0.56000000000000005</v>
      </c>
      <c r="T92" s="179">
        <f t="shared" si="144"/>
        <v>0.71</v>
      </c>
      <c r="U92" s="155">
        <f t="shared" si="145"/>
        <v>0.95</v>
      </c>
      <c r="V92" s="181">
        <v>30</v>
      </c>
      <c r="Y92" s="150">
        <f t="shared" si="141"/>
        <v>71.909506476977924</v>
      </c>
      <c r="Z92" s="150">
        <f t="shared" si="142"/>
        <v>69.81510663997382</v>
      </c>
      <c r="AX92" s="114"/>
      <c r="BJ92" s="114"/>
      <c r="BL92" s="114"/>
      <c r="BM92" s="114"/>
      <c r="BN92" s="114"/>
      <c r="BO92" s="114"/>
      <c r="BP92" s="114"/>
      <c r="BQ92" s="114"/>
      <c r="BR92" s="114"/>
      <c r="BS92" s="114"/>
      <c r="BT92" s="114"/>
      <c r="BU92" s="114"/>
    </row>
    <row r="93" spans="1:99" x14ac:dyDescent="0.25">
      <c r="M93" s="121"/>
      <c r="N93" s="179">
        <v>4</v>
      </c>
      <c r="O93" s="155" t="str">
        <f t="shared" si="143"/>
        <v>4/8"</v>
      </c>
      <c r="P93" s="155">
        <v>12.7</v>
      </c>
      <c r="Q93" s="155">
        <v>129</v>
      </c>
      <c r="R93" s="155">
        <v>40</v>
      </c>
      <c r="S93" s="180">
        <v>0.99399999999999999</v>
      </c>
      <c r="T93" s="179">
        <f t="shared" si="144"/>
        <v>1.29</v>
      </c>
      <c r="U93" s="155">
        <f t="shared" si="145"/>
        <v>1.27</v>
      </c>
      <c r="V93" s="181">
        <v>35</v>
      </c>
      <c r="Y93" s="150">
        <f t="shared" si="141"/>
        <v>71.909506476977924</v>
      </c>
      <c r="Z93" s="150">
        <f t="shared" si="142"/>
        <v>69.81510663997382</v>
      </c>
      <c r="BN93" s="114"/>
      <c r="BO93" s="114"/>
      <c r="BP93" s="114"/>
      <c r="BQ93" s="114"/>
      <c r="BR93" s="114"/>
      <c r="BS93" s="114"/>
    </row>
    <row r="94" spans="1:99" x14ac:dyDescent="0.25">
      <c r="M94" s="121"/>
      <c r="N94" s="179">
        <v>5</v>
      </c>
      <c r="O94" s="155" t="str">
        <f t="shared" si="143"/>
        <v>5/8"</v>
      </c>
      <c r="P94" s="155">
        <v>15.9</v>
      </c>
      <c r="Q94" s="155">
        <v>199</v>
      </c>
      <c r="R94" s="155">
        <v>50</v>
      </c>
      <c r="S94" s="180">
        <v>1.552</v>
      </c>
      <c r="T94" s="179">
        <f t="shared" si="144"/>
        <v>1.99</v>
      </c>
      <c r="U94" s="155">
        <f t="shared" si="145"/>
        <v>1.59</v>
      </c>
      <c r="V94" s="181">
        <v>40</v>
      </c>
      <c r="Y94" s="150">
        <f t="shared" si="141"/>
        <v>71.909506476977924</v>
      </c>
      <c r="Z94" s="150">
        <f t="shared" si="142"/>
        <v>69.81510663997382</v>
      </c>
      <c r="BN94" s="114"/>
      <c r="BO94" s="114"/>
      <c r="BP94" s="114"/>
      <c r="BQ94" s="114"/>
      <c r="BR94" s="114"/>
      <c r="BS94" s="114"/>
    </row>
    <row r="95" spans="1:99" x14ac:dyDescent="0.25">
      <c r="M95" s="121"/>
      <c r="N95" s="179">
        <v>6</v>
      </c>
      <c r="O95" s="155" t="str">
        <f t="shared" si="143"/>
        <v>6/8"</v>
      </c>
      <c r="P95" s="155">
        <v>19.100000000000001</v>
      </c>
      <c r="Q95" s="155">
        <v>284</v>
      </c>
      <c r="R95" s="155">
        <v>60</v>
      </c>
      <c r="S95" s="180">
        <v>2.2349999999999999</v>
      </c>
      <c r="T95" s="179">
        <f t="shared" si="144"/>
        <v>2.84</v>
      </c>
      <c r="U95" s="155">
        <f t="shared" si="145"/>
        <v>1.9100000000000001</v>
      </c>
      <c r="V95" s="181">
        <v>45</v>
      </c>
      <c r="Y95" s="150">
        <f t="shared" si="141"/>
        <v>116.16594126657505</v>
      </c>
      <c r="Z95" s="150">
        <f t="shared" si="142"/>
        <v>73.385915541579649</v>
      </c>
      <c r="BN95" s="114"/>
      <c r="BO95" s="114"/>
      <c r="BP95" s="114"/>
      <c r="BQ95" s="114"/>
      <c r="BR95" s="114"/>
      <c r="BS95" s="114"/>
    </row>
    <row r="96" spans="1:99" x14ac:dyDescent="0.25">
      <c r="M96" s="121"/>
      <c r="N96" s="179">
        <v>7</v>
      </c>
      <c r="O96" s="155" t="str">
        <f t="shared" si="143"/>
        <v>7/8"</v>
      </c>
      <c r="P96" s="155">
        <v>22.2</v>
      </c>
      <c r="Q96" s="155">
        <v>387</v>
      </c>
      <c r="R96" s="155">
        <v>70</v>
      </c>
      <c r="S96" s="180">
        <v>3.0419999999999998</v>
      </c>
      <c r="T96" s="179">
        <f t="shared" si="144"/>
        <v>3.87</v>
      </c>
      <c r="U96" s="155">
        <f t="shared" si="145"/>
        <v>2.2199999999999998</v>
      </c>
      <c r="V96" s="181">
        <v>50</v>
      </c>
      <c r="Y96" s="150">
        <f t="shared" si="141"/>
        <v>49.807337400105745</v>
      </c>
      <c r="Z96" s="150">
        <f t="shared" si="142"/>
        <v>66.261074350094319</v>
      </c>
      <c r="AE96" s="125"/>
      <c r="AF96" s="125"/>
      <c r="AX96" s="114"/>
      <c r="BJ96" s="114"/>
      <c r="BN96" s="114"/>
      <c r="BO96" s="114"/>
      <c r="BP96" s="114"/>
      <c r="BQ96" s="114"/>
      <c r="BR96" s="114"/>
      <c r="BS96" s="114"/>
    </row>
    <row r="97" spans="13:71" s="111" customFormat="1" x14ac:dyDescent="0.25">
      <c r="M97" s="121"/>
      <c r="N97" s="179">
        <v>8</v>
      </c>
      <c r="O97" s="155" t="str">
        <f t="shared" si="143"/>
        <v>8/8"</v>
      </c>
      <c r="P97" s="155">
        <v>25.4</v>
      </c>
      <c r="Q97" s="155">
        <v>510</v>
      </c>
      <c r="R97" s="155">
        <v>80</v>
      </c>
      <c r="S97" s="180">
        <v>3.9729999999999999</v>
      </c>
      <c r="T97" s="179">
        <f t="shared" si="144"/>
        <v>5.0999999999999996</v>
      </c>
      <c r="U97" s="155">
        <f t="shared" si="145"/>
        <v>2.54</v>
      </c>
      <c r="V97" s="181">
        <v>55</v>
      </c>
      <c r="Y97" s="150">
        <f t="shared" si="141"/>
        <v>116.16594126657505</v>
      </c>
      <c r="Z97" s="150">
        <f t="shared" si="142"/>
        <v>73.385915541579649</v>
      </c>
      <c r="AE97" s="125"/>
      <c r="AF97" s="125"/>
      <c r="AX97" s="114"/>
      <c r="BJ97" s="114"/>
    </row>
    <row r="98" spans="13:71" s="111" customFormat="1" x14ac:dyDescent="0.25">
      <c r="M98" s="121"/>
      <c r="N98" s="179">
        <v>9</v>
      </c>
      <c r="O98" s="155" t="str">
        <f t="shared" si="143"/>
        <v>9/8"</v>
      </c>
      <c r="P98" s="155">
        <v>28.7</v>
      </c>
      <c r="Q98" s="155">
        <v>645</v>
      </c>
      <c r="R98" s="155">
        <v>90</v>
      </c>
      <c r="S98" s="180">
        <v>5.0599999999999996</v>
      </c>
      <c r="T98" s="179">
        <f t="shared" si="144"/>
        <v>6.45</v>
      </c>
      <c r="U98" s="155">
        <f t="shared" si="145"/>
        <v>2.87</v>
      </c>
      <c r="V98" s="181">
        <v>60</v>
      </c>
      <c r="Y98" s="150">
        <f t="shared" si="141"/>
        <v>49.807337400105745</v>
      </c>
      <c r="Z98" s="150">
        <f t="shared" si="142"/>
        <v>66.261074350094319</v>
      </c>
      <c r="AX98" s="114"/>
      <c r="BJ98" s="114"/>
    </row>
    <row r="99" spans="13:71" s="111" customFormat="1" x14ac:dyDescent="0.25">
      <c r="M99" s="121"/>
      <c r="N99" s="179">
        <v>10</v>
      </c>
      <c r="O99" s="155" t="str">
        <f t="shared" si="143"/>
        <v>10/8"</v>
      </c>
      <c r="P99" s="155">
        <v>32.299999999999997</v>
      </c>
      <c r="Q99" s="155">
        <v>819</v>
      </c>
      <c r="R99" s="155">
        <v>101.3</v>
      </c>
      <c r="S99" s="180">
        <v>6.4039999999999999</v>
      </c>
      <c r="T99" s="179">
        <f t="shared" si="144"/>
        <v>8.19</v>
      </c>
      <c r="U99" s="155">
        <f t="shared" si="145"/>
        <v>3.2299999999999995</v>
      </c>
      <c r="V99" s="181" t="s">
        <v>271</v>
      </c>
      <c r="Y99" s="150">
        <f t="shared" si="141"/>
        <v>83.446821308581093</v>
      </c>
      <c r="Z99" s="150">
        <f t="shared" si="142"/>
        <v>74.721042356027326</v>
      </c>
      <c r="AX99" s="114"/>
      <c r="BJ99" s="114"/>
    </row>
    <row r="100" spans="13:71" s="111" customFormat="1" x14ac:dyDescent="0.25">
      <c r="M100" s="121"/>
      <c r="N100" s="179">
        <v>11</v>
      </c>
      <c r="O100" s="155" t="str">
        <f t="shared" si="143"/>
        <v>11/8"</v>
      </c>
      <c r="P100" s="155">
        <v>35.799999999999997</v>
      </c>
      <c r="Q100" s="155">
        <v>1006</v>
      </c>
      <c r="R100" s="155">
        <v>112.5</v>
      </c>
      <c r="S100" s="180">
        <v>7.907</v>
      </c>
      <c r="T100" s="179">
        <f t="shared" si="144"/>
        <v>10.06</v>
      </c>
      <c r="U100" s="155">
        <f t="shared" si="145"/>
        <v>3.5799999999999996</v>
      </c>
      <c r="V100" s="181">
        <v>70</v>
      </c>
      <c r="Y100" s="150">
        <f t="shared" si="141"/>
        <v>62.185102815669694</v>
      </c>
      <c r="Z100" s="150">
        <f t="shared" si="142"/>
        <v>65.072260609099501</v>
      </c>
      <c r="AX100" s="114"/>
      <c r="BJ100" s="114"/>
    </row>
    <row r="101" spans="13:71" s="111" customFormat="1" x14ac:dyDescent="0.25">
      <c r="M101" s="121"/>
      <c r="N101" s="179">
        <v>14</v>
      </c>
      <c r="O101" s="155" t="str">
        <f t="shared" si="143"/>
        <v>14/8"</v>
      </c>
      <c r="P101" s="155">
        <v>43</v>
      </c>
      <c r="Q101" s="155">
        <v>1452</v>
      </c>
      <c r="R101" s="155">
        <v>135.1</v>
      </c>
      <c r="S101" s="180">
        <v>11.38</v>
      </c>
      <c r="T101" s="179">
        <f t="shared" si="144"/>
        <v>14.52</v>
      </c>
      <c r="U101" s="155">
        <f t="shared" si="145"/>
        <v>4.3</v>
      </c>
      <c r="V101" s="181">
        <v>75</v>
      </c>
      <c r="Y101" s="150">
        <f t="shared" si="141"/>
        <v>83.446821308581093</v>
      </c>
      <c r="Z101" s="150">
        <f t="shared" si="142"/>
        <v>74.721042356027326</v>
      </c>
      <c r="AX101" s="114"/>
      <c r="BJ101" s="114"/>
    </row>
    <row r="102" spans="13:71" s="111" customFormat="1" ht="15.75" thickBot="1" x14ac:dyDescent="0.3">
      <c r="M102" s="121"/>
      <c r="N102" s="182">
        <v>18</v>
      </c>
      <c r="O102" s="183" t="str">
        <f t="shared" si="143"/>
        <v>18/8"</v>
      </c>
      <c r="P102" s="183">
        <v>57.3</v>
      </c>
      <c r="Q102" s="183">
        <v>2581</v>
      </c>
      <c r="R102" s="183">
        <v>180.1</v>
      </c>
      <c r="S102" s="184">
        <v>20.239999999999998</v>
      </c>
      <c r="T102" s="182">
        <f t="shared" si="144"/>
        <v>25.81</v>
      </c>
      <c r="U102" s="183">
        <f t="shared" si="145"/>
        <v>5.7299999999999995</v>
      </c>
      <c r="V102" s="185">
        <v>80</v>
      </c>
      <c r="Y102" s="150">
        <f t="shared" si="141"/>
        <v>62.185102815669694</v>
      </c>
      <c r="Z102" s="150">
        <f t="shared" si="142"/>
        <v>65.072260609099501</v>
      </c>
      <c r="AX102" s="114"/>
      <c r="BJ102" s="114"/>
    </row>
    <row r="103" spans="13:71" s="111" customFormat="1" x14ac:dyDescent="0.25">
      <c r="Y103" s="150" t="e">
        <f t="shared" si="141"/>
        <v>#DIV/0!</v>
      </c>
      <c r="Z103" s="150" t="e">
        <f t="shared" si="142"/>
        <v>#DIV/0!</v>
      </c>
      <c r="AF103" s="125"/>
      <c r="AG103" s="125"/>
      <c r="AX103" s="114"/>
      <c r="BJ103" s="114"/>
    </row>
    <row r="104" spans="13:71" s="111" customFormat="1" x14ac:dyDescent="0.25">
      <c r="N104" s="111" t="s">
        <v>53</v>
      </c>
      <c r="O104" s="156">
        <f>+MAX(AA13:AA18)</f>
        <v>4.0999999999999996</v>
      </c>
      <c r="P104" s="111" t="s">
        <v>101</v>
      </c>
      <c r="R104" s="111" t="s">
        <v>125</v>
      </c>
      <c r="S104" s="156">
        <f>(O106-O107)*O110</f>
        <v>0.74439320432607026</v>
      </c>
      <c r="T104" s="111" t="s">
        <v>101</v>
      </c>
      <c r="Y104" s="150" t="e">
        <f t="shared" si="141"/>
        <v>#DIV/0!</v>
      </c>
      <c r="Z104" s="150" t="e">
        <f t="shared" si="142"/>
        <v>#DIV/0!</v>
      </c>
      <c r="AF104" s="125"/>
      <c r="AG104" s="125"/>
      <c r="AX104" s="114"/>
      <c r="BJ104" s="114"/>
    </row>
    <row r="105" spans="13:71" s="111" customFormat="1" x14ac:dyDescent="0.25">
      <c r="N105" s="111" t="s">
        <v>147</v>
      </c>
      <c r="O105" s="156">
        <f>MAX(AC13:AC18)</f>
        <v>4.0999999999999996</v>
      </c>
      <c r="P105" s="111" t="s">
        <v>101</v>
      </c>
      <c r="R105" s="111" t="s">
        <v>312</v>
      </c>
      <c r="S105" s="156">
        <f>(O104+2*S104)*O111/2</f>
        <v>5.25548925395998</v>
      </c>
      <c r="T105" s="111" t="s">
        <v>101</v>
      </c>
      <c r="Y105" s="150" t="e">
        <f>2*N67/(3*AA29*(AC29/2-AD29))</f>
        <v>#DIV/0!</v>
      </c>
      <c r="Z105" s="150" t="e">
        <f>2*N67/(3*AA29*(AC29/2-AE29))</f>
        <v>#DIV/0!</v>
      </c>
      <c r="AX105" s="114"/>
      <c r="BJ105" s="114"/>
    </row>
    <row r="106" spans="13:71" x14ac:dyDescent="0.25">
      <c r="N106" s="111" t="s">
        <v>696</v>
      </c>
      <c r="O106" s="156">
        <f>MAX(U51:U56)</f>
        <v>2</v>
      </c>
      <c r="P106" s="111" t="s">
        <v>101</v>
      </c>
      <c r="S106" s="156"/>
      <c r="Y106" s="150" t="e">
        <f>2*N68/(3*AA30*(AC30/2-AD30))</f>
        <v>#DIV/0!</v>
      </c>
      <c r="Z106" s="150" t="e">
        <f>2*N68/(3*AA30*(AC30/2-AE30))</f>
        <v>#DIV/0!</v>
      </c>
      <c r="BN106" s="114"/>
      <c r="BO106" s="114"/>
      <c r="BP106" s="114"/>
      <c r="BQ106" s="114"/>
      <c r="BR106" s="114"/>
      <c r="BS106" s="114"/>
    </row>
    <row r="107" spans="13:71" x14ac:dyDescent="0.25">
      <c r="N107" s="111" t="s">
        <v>313</v>
      </c>
      <c r="O107" s="156">
        <f>U13</f>
        <v>0.6</v>
      </c>
      <c r="P107" s="111" t="s">
        <v>101</v>
      </c>
      <c r="R107" s="111" t="s">
        <v>745</v>
      </c>
      <c r="S107" s="156">
        <f>(O105+2*S104)*(O104+2*S104)^2*O111/6</f>
        <v>54.717585091626461</v>
      </c>
      <c r="T107" s="111" t="s">
        <v>746</v>
      </c>
      <c r="Y107" s="150" t="e">
        <f t="shared" si="141"/>
        <v>#DIV/0!</v>
      </c>
      <c r="Z107" s="150" t="e">
        <f t="shared" si="142"/>
        <v>#DIV/0!</v>
      </c>
      <c r="BN107" s="114"/>
      <c r="BO107" s="114"/>
      <c r="BP107" s="114"/>
      <c r="BQ107" s="114"/>
      <c r="BR107" s="114"/>
      <c r="BS107" s="114"/>
    </row>
    <row r="108" spans="13:71" x14ac:dyDescent="0.25">
      <c r="N108" s="111" t="s">
        <v>747</v>
      </c>
      <c r="O108" s="156">
        <v>28</v>
      </c>
      <c r="P108" s="111" t="s">
        <v>748</v>
      </c>
      <c r="R108" s="111" t="s">
        <v>749</v>
      </c>
      <c r="S108" s="156">
        <f>+O104*O105*((O104+2*S104)/2*O111-O106+O107)/3</f>
        <v>21.603591453022421</v>
      </c>
      <c r="T108" s="111" t="s">
        <v>746</v>
      </c>
      <c r="Y108" s="150" t="e">
        <f t="shared" si="141"/>
        <v>#DIV/0!</v>
      </c>
      <c r="Z108" s="150" t="e">
        <f t="shared" si="142"/>
        <v>#DIV/0!</v>
      </c>
      <c r="BN108" s="114"/>
      <c r="BO108" s="114"/>
      <c r="BP108" s="114"/>
      <c r="BQ108" s="114"/>
      <c r="BR108" s="114"/>
      <c r="BS108" s="114"/>
    </row>
    <row r="109" spans="13:71" x14ac:dyDescent="0.25">
      <c r="O109" s="156">
        <f>O108*PI()/180</f>
        <v>0.48869219055841229</v>
      </c>
      <c r="P109" s="111" t="s">
        <v>750</v>
      </c>
      <c r="S109" s="156"/>
      <c r="Y109" s="150" t="e">
        <f t="shared" si="141"/>
        <v>#DIV/0!</v>
      </c>
      <c r="Z109" s="150" t="e">
        <f t="shared" si="142"/>
        <v>#DIV/0!</v>
      </c>
      <c r="BN109" s="114"/>
      <c r="BO109" s="114"/>
      <c r="BP109" s="114"/>
      <c r="BQ109" s="114"/>
      <c r="BR109" s="114"/>
      <c r="BS109" s="114"/>
    </row>
    <row r="110" spans="13:71" x14ac:dyDescent="0.25">
      <c r="N110" s="111" t="s">
        <v>751</v>
      </c>
      <c r="O110" s="156">
        <f>TAN(O109)</f>
        <v>0.53170943166147877</v>
      </c>
      <c r="R110" s="111" t="s">
        <v>752</v>
      </c>
      <c r="S110" s="156">
        <f>S107-S108</f>
        <v>33.113993638604043</v>
      </c>
      <c r="T110" s="111" t="s">
        <v>746</v>
      </c>
      <c r="Y110" s="150" t="e">
        <f t="shared" si="141"/>
        <v>#DIV/0!</v>
      </c>
      <c r="Z110" s="150" t="e">
        <f t="shared" si="142"/>
        <v>#DIV/0!</v>
      </c>
      <c r="BN110" s="114"/>
      <c r="BO110" s="114"/>
      <c r="BP110" s="114"/>
      <c r="BQ110" s="114"/>
      <c r="BR110" s="114"/>
      <c r="BS110" s="114"/>
    </row>
    <row r="111" spans="13:71" x14ac:dyDescent="0.25">
      <c r="N111" s="111" t="s">
        <v>753</v>
      </c>
      <c r="O111" s="156">
        <f>TAN(PI()/2-O109)</f>
        <v>1.8807264653463318</v>
      </c>
      <c r="S111" s="156"/>
      <c r="Y111" s="150" t="e">
        <f t="shared" si="141"/>
        <v>#DIV/0!</v>
      </c>
      <c r="Z111" s="150" t="e">
        <f t="shared" si="142"/>
        <v>#DIV/0!</v>
      </c>
      <c r="BN111" s="114"/>
      <c r="BO111" s="114"/>
      <c r="BP111" s="114"/>
      <c r="BQ111" s="114"/>
      <c r="BR111" s="114"/>
      <c r="BS111" s="114"/>
    </row>
    <row r="112" spans="13:71" x14ac:dyDescent="0.25">
      <c r="O112" s="156"/>
      <c r="R112" s="111" t="s">
        <v>754</v>
      </c>
      <c r="S112" s="156">
        <f>O104*O105*(O106-O107)</f>
        <v>23.533999999999995</v>
      </c>
      <c r="T112" s="111" t="s">
        <v>746</v>
      </c>
      <c r="Y112" s="150" t="e">
        <f t="shared" si="141"/>
        <v>#DIV/0!</v>
      </c>
      <c r="Z112" s="150" t="e">
        <f t="shared" si="142"/>
        <v>#DIV/0!</v>
      </c>
      <c r="BN112" s="114"/>
      <c r="BO112" s="114"/>
      <c r="BP112" s="114"/>
      <c r="BQ112" s="114"/>
      <c r="BR112" s="114"/>
      <c r="BS112" s="114"/>
    </row>
    <row r="113" spans="15:71" x14ac:dyDescent="0.25">
      <c r="O113" s="156"/>
      <c r="S113" s="156"/>
      <c r="Y113" s="150" t="e">
        <f t="shared" si="141"/>
        <v>#DIV/0!</v>
      </c>
      <c r="Z113" s="150" t="e">
        <f t="shared" si="142"/>
        <v>#DIV/0!</v>
      </c>
      <c r="BN113" s="114"/>
      <c r="BO113" s="114"/>
      <c r="BP113" s="114"/>
      <c r="BQ113" s="114"/>
      <c r="BR113" s="114"/>
      <c r="BS113" s="114"/>
    </row>
    <row r="114" spans="15:71" x14ac:dyDescent="0.25">
      <c r="O114" s="156"/>
      <c r="S114" s="156">
        <f>S110/S112</f>
        <v>1.4070703509222422</v>
      </c>
      <c r="Y114" s="150" t="e">
        <f t="shared" si="141"/>
        <v>#DIV/0!</v>
      </c>
      <c r="Z114" s="150" t="e">
        <f t="shared" si="142"/>
        <v>#DIV/0!</v>
      </c>
      <c r="BN114" s="114"/>
      <c r="BO114" s="114"/>
      <c r="BP114" s="114"/>
      <c r="BQ114" s="114"/>
      <c r="BR114" s="114"/>
      <c r="BS114" s="114"/>
    </row>
    <row r="115" spans="15:71" x14ac:dyDescent="0.25">
      <c r="O115" s="156"/>
      <c r="S115" s="156"/>
      <c r="Y115" s="150" t="e">
        <f t="shared" si="141"/>
        <v>#DIV/0!</v>
      </c>
      <c r="Z115" s="150" t="e">
        <f t="shared" si="142"/>
        <v>#DIV/0!</v>
      </c>
      <c r="BN115" s="114"/>
      <c r="BO115" s="114"/>
      <c r="BP115" s="114"/>
      <c r="BQ115" s="114"/>
      <c r="BR115" s="114"/>
      <c r="BS115" s="114"/>
    </row>
    <row r="116" spans="15:71" x14ac:dyDescent="0.25">
      <c r="O116" s="156"/>
      <c r="S116" s="156"/>
      <c r="Y116" s="150" t="e">
        <f t="shared" si="141"/>
        <v>#DIV/0!</v>
      </c>
      <c r="Z116" s="150" t="e">
        <f t="shared" si="142"/>
        <v>#DIV/0!</v>
      </c>
      <c r="BN116" s="114"/>
      <c r="BO116" s="114"/>
      <c r="BP116" s="114"/>
      <c r="BQ116" s="114"/>
      <c r="BR116" s="114"/>
      <c r="BS116" s="114"/>
    </row>
    <row r="117" spans="15:71" x14ac:dyDescent="0.25">
      <c r="O117" s="156"/>
      <c r="S117" s="156"/>
      <c r="Y117" s="150" t="e">
        <f t="shared" si="141"/>
        <v>#DIV/0!</v>
      </c>
      <c r="Z117" s="150" t="e">
        <f t="shared" si="142"/>
        <v>#DIV/0!</v>
      </c>
      <c r="BN117" s="114"/>
      <c r="BO117" s="114"/>
      <c r="BP117" s="114"/>
      <c r="BQ117" s="114"/>
      <c r="BR117" s="114"/>
      <c r="BS117" s="114"/>
    </row>
    <row r="118" spans="15:71" x14ac:dyDescent="0.25">
      <c r="O118" s="156">
        <v>3.8</v>
      </c>
      <c r="P118" s="111" t="s">
        <v>101</v>
      </c>
      <c r="S118" s="156">
        <f>O104</f>
        <v>4.0999999999999996</v>
      </c>
      <c r="T118" s="111" t="s">
        <v>101</v>
      </c>
      <c r="Y118" s="150" t="e">
        <f t="shared" si="141"/>
        <v>#DIV/0!</v>
      </c>
      <c r="Z118" s="150" t="e">
        <f t="shared" si="142"/>
        <v>#DIV/0!</v>
      </c>
      <c r="BN118" s="114"/>
      <c r="BO118" s="114"/>
      <c r="BP118" s="114"/>
      <c r="BQ118" s="114"/>
      <c r="BR118" s="114"/>
      <c r="BS118" s="114"/>
    </row>
    <row r="119" spans="15:71" x14ac:dyDescent="0.25">
      <c r="O119" s="156">
        <v>4.5</v>
      </c>
      <c r="P119" s="111" t="s">
        <v>101</v>
      </c>
      <c r="S119" s="156">
        <f>O105</f>
        <v>4.0999999999999996</v>
      </c>
      <c r="T119" s="111" t="s">
        <v>101</v>
      </c>
      <c r="Y119" s="150" t="e">
        <f t="shared" si="141"/>
        <v>#DIV/0!</v>
      </c>
      <c r="Z119" s="150" t="e">
        <f t="shared" si="142"/>
        <v>#DIV/0!</v>
      </c>
      <c r="BN119" s="114"/>
      <c r="BO119" s="114"/>
      <c r="BP119" s="114"/>
      <c r="BQ119" s="114"/>
      <c r="BR119" s="114"/>
      <c r="BS119" s="114"/>
    </row>
    <row r="120" spans="15:71" x14ac:dyDescent="0.25">
      <c r="O120" s="156">
        <v>0.45</v>
      </c>
      <c r="P120" s="111" t="s">
        <v>101</v>
      </c>
      <c r="S120" s="156">
        <f>O107</f>
        <v>0.6</v>
      </c>
      <c r="T120" s="111" t="s">
        <v>101</v>
      </c>
      <c r="Y120" s="150" t="e">
        <f t="shared" si="141"/>
        <v>#DIV/0!</v>
      </c>
      <c r="Z120" s="150" t="e">
        <f t="shared" si="142"/>
        <v>#DIV/0!</v>
      </c>
      <c r="BN120" s="114"/>
      <c r="BO120" s="114"/>
      <c r="BP120" s="114"/>
      <c r="BQ120" s="114"/>
      <c r="BR120" s="114"/>
      <c r="BS120" s="114"/>
    </row>
    <row r="121" spans="15:71" x14ac:dyDescent="0.25">
      <c r="O121" s="156"/>
      <c r="S121" s="156"/>
      <c r="BN121" s="114"/>
      <c r="BO121" s="114"/>
      <c r="BP121" s="114"/>
      <c r="BQ121" s="114"/>
      <c r="BR121" s="114"/>
      <c r="BS121" s="114"/>
    </row>
    <row r="122" spans="15:71" x14ac:dyDescent="0.25">
      <c r="O122" s="156">
        <f>+O118*O119*O120</f>
        <v>7.6949999999999994</v>
      </c>
      <c r="P122" s="111" t="s">
        <v>746</v>
      </c>
      <c r="S122" s="156">
        <f>+S118*S119*S120</f>
        <v>10.085999999999999</v>
      </c>
      <c r="T122" s="111" t="s">
        <v>746</v>
      </c>
      <c r="BN122" s="114"/>
      <c r="BO122" s="114"/>
      <c r="BP122" s="114"/>
      <c r="BQ122" s="114"/>
      <c r="BR122" s="114"/>
      <c r="BS122" s="114"/>
    </row>
    <row r="123" spans="15:71" x14ac:dyDescent="0.25">
      <c r="O123" s="156"/>
      <c r="Q123" s="111" t="s">
        <v>755</v>
      </c>
      <c r="S123" s="156"/>
    </row>
    <row r="124" spans="15:71" x14ac:dyDescent="0.25">
      <c r="O124" s="156"/>
      <c r="Q124" s="156">
        <f>+O122-S122</f>
        <v>-2.3909999999999991</v>
      </c>
      <c r="S124" s="156"/>
    </row>
    <row r="125" spans="15:71" x14ac:dyDescent="0.25">
      <c r="O125" s="156"/>
      <c r="S125" s="156"/>
    </row>
    <row r="126" spans="15:71" x14ac:dyDescent="0.25">
      <c r="O126" s="156">
        <f>+O119/O118</f>
        <v>1.1842105263157896</v>
      </c>
      <c r="S126" s="156">
        <f>+S119/S118</f>
        <v>1</v>
      </c>
    </row>
  </sheetData>
  <autoFilter ref="M12:AJ44" xr:uid="{D1D56981-557D-4503-A1AE-01A2128356F2}">
    <sortState xmlns:xlrd2="http://schemas.microsoft.com/office/spreadsheetml/2017/richdata2" ref="M46:AJ46">
      <sortCondition ref="Y12:Y44"/>
    </sortState>
  </autoFilter>
  <mergeCells count="434">
    <mergeCell ref="CJ81:CJ82"/>
    <mergeCell ref="AE82:AF82"/>
    <mergeCell ref="N86:S86"/>
    <mergeCell ref="T86:V88"/>
    <mergeCell ref="N87:S87"/>
    <mergeCell ref="N88:N89"/>
    <mergeCell ref="O88:O89"/>
    <mergeCell ref="P88:S88"/>
    <mergeCell ref="M81:M82"/>
    <mergeCell ref="Y81:Y82"/>
    <mergeCell ref="AE81:AF81"/>
    <mergeCell ref="AN81:AN82"/>
    <mergeCell ref="AZ81:AZ82"/>
    <mergeCell ref="BL81:BL82"/>
    <mergeCell ref="CJ77:CJ78"/>
    <mergeCell ref="AE78:AF78"/>
    <mergeCell ref="M79:M80"/>
    <mergeCell ref="Y79:Y80"/>
    <mergeCell ref="AE79:AF79"/>
    <mergeCell ref="AN79:AN80"/>
    <mergeCell ref="AZ79:AZ80"/>
    <mergeCell ref="BL79:BL80"/>
    <mergeCell ref="CJ79:CJ80"/>
    <mergeCell ref="AE80:AF80"/>
    <mergeCell ref="M77:M78"/>
    <mergeCell ref="Y77:Y78"/>
    <mergeCell ref="AE77:AF77"/>
    <mergeCell ref="AN77:AN78"/>
    <mergeCell ref="AZ77:AZ78"/>
    <mergeCell ref="BL77:BL78"/>
    <mergeCell ref="M73:M74"/>
    <mergeCell ref="Y73:Y74"/>
    <mergeCell ref="AE73:AF73"/>
    <mergeCell ref="AN73:AN74"/>
    <mergeCell ref="AZ73:AZ74"/>
    <mergeCell ref="BL73:BL74"/>
    <mergeCell ref="CJ73:CJ74"/>
    <mergeCell ref="AE74:AF74"/>
    <mergeCell ref="M75:M76"/>
    <mergeCell ref="Y75:Y76"/>
    <mergeCell ref="AE75:AF75"/>
    <mergeCell ref="AN75:AN76"/>
    <mergeCell ref="AZ75:AZ76"/>
    <mergeCell ref="BL75:BL76"/>
    <mergeCell ref="CJ75:CJ76"/>
    <mergeCell ref="AE76:AF76"/>
    <mergeCell ref="B70:K71"/>
    <mergeCell ref="AE70:AF70"/>
    <mergeCell ref="M71:M72"/>
    <mergeCell ref="Y71:Y72"/>
    <mergeCell ref="AE71:AF71"/>
    <mergeCell ref="AN71:AN72"/>
    <mergeCell ref="BL67:BL68"/>
    <mergeCell ref="CJ67:CJ68"/>
    <mergeCell ref="AE68:AF68"/>
    <mergeCell ref="M69:M70"/>
    <mergeCell ref="Y69:Y70"/>
    <mergeCell ref="AE69:AF69"/>
    <mergeCell ref="AN69:AN70"/>
    <mergeCell ref="AZ69:AZ70"/>
    <mergeCell ref="BL69:BL70"/>
    <mergeCell ref="CJ69:CJ70"/>
    <mergeCell ref="AZ71:AZ72"/>
    <mergeCell ref="BL71:BL72"/>
    <mergeCell ref="CJ71:CJ72"/>
    <mergeCell ref="AE72:AF72"/>
    <mergeCell ref="AE66:AF66"/>
    <mergeCell ref="M67:M68"/>
    <mergeCell ref="Y67:Y68"/>
    <mergeCell ref="AE67:AF67"/>
    <mergeCell ref="AN67:AN68"/>
    <mergeCell ref="AZ67:AZ68"/>
    <mergeCell ref="BL63:BL64"/>
    <mergeCell ref="CJ63:CJ64"/>
    <mergeCell ref="AE64:AF64"/>
    <mergeCell ref="M65:M66"/>
    <mergeCell ref="Y65:Y66"/>
    <mergeCell ref="AE65:AF65"/>
    <mergeCell ref="AN65:AN66"/>
    <mergeCell ref="AZ65:AZ66"/>
    <mergeCell ref="BL65:BL66"/>
    <mergeCell ref="CJ65:CJ66"/>
    <mergeCell ref="AE62:AF62"/>
    <mergeCell ref="M63:M64"/>
    <mergeCell ref="Y63:Y64"/>
    <mergeCell ref="AE63:AF63"/>
    <mergeCell ref="AN63:AN64"/>
    <mergeCell ref="AZ63:AZ64"/>
    <mergeCell ref="BL59:BL60"/>
    <mergeCell ref="CJ59:CJ60"/>
    <mergeCell ref="AE60:AF60"/>
    <mergeCell ref="M61:M62"/>
    <mergeCell ref="Y61:Y62"/>
    <mergeCell ref="AE61:AF61"/>
    <mergeCell ref="AN61:AN62"/>
    <mergeCell ref="AZ61:AZ62"/>
    <mergeCell ref="BL61:BL62"/>
    <mergeCell ref="CJ61:CJ62"/>
    <mergeCell ref="AE58:AF58"/>
    <mergeCell ref="M59:M60"/>
    <mergeCell ref="Y59:Y60"/>
    <mergeCell ref="AE59:AF59"/>
    <mergeCell ref="AN59:AN60"/>
    <mergeCell ref="AZ59:AZ60"/>
    <mergeCell ref="BL55:BL56"/>
    <mergeCell ref="CJ55:CJ56"/>
    <mergeCell ref="AE56:AF56"/>
    <mergeCell ref="M57:M58"/>
    <mergeCell ref="Y57:Y58"/>
    <mergeCell ref="AE57:AF57"/>
    <mergeCell ref="AN57:AN58"/>
    <mergeCell ref="AZ57:AZ58"/>
    <mergeCell ref="BL57:BL58"/>
    <mergeCell ref="CJ57:CJ58"/>
    <mergeCell ref="AE54:AF54"/>
    <mergeCell ref="M55:M56"/>
    <mergeCell ref="Y55:Y56"/>
    <mergeCell ref="AE55:AF55"/>
    <mergeCell ref="AN55:AN56"/>
    <mergeCell ref="AZ55:AZ56"/>
    <mergeCell ref="BL51:BL52"/>
    <mergeCell ref="CJ51:CJ52"/>
    <mergeCell ref="AE52:AF52"/>
    <mergeCell ref="M53:M54"/>
    <mergeCell ref="Y53:Y54"/>
    <mergeCell ref="AE53:AF53"/>
    <mergeCell ref="AN53:AN54"/>
    <mergeCell ref="AZ53:AZ54"/>
    <mergeCell ref="BL53:BL54"/>
    <mergeCell ref="CJ53:CJ54"/>
    <mergeCell ref="M51:M52"/>
    <mergeCell ref="Y51:Y52"/>
    <mergeCell ref="AE51:AF51"/>
    <mergeCell ref="AN51:AN52"/>
    <mergeCell ref="AZ51:AZ52"/>
    <mergeCell ref="AJ49:AJ50"/>
    <mergeCell ref="AS49:AS50"/>
    <mergeCell ref="AT49:AT50"/>
    <mergeCell ref="AV49:AV50"/>
    <mergeCell ref="Q49:Q50"/>
    <mergeCell ref="R49:R50"/>
    <mergeCell ref="S49:S50"/>
    <mergeCell ref="AD49:AD50"/>
    <mergeCell ref="AE49:AF50"/>
    <mergeCell ref="AH49:AH50"/>
    <mergeCell ref="CK48:CM48"/>
    <mergeCell ref="AN47:AN50"/>
    <mergeCell ref="AZ47:AZ50"/>
    <mergeCell ref="BA47:BJ47"/>
    <mergeCell ref="BL47:BL50"/>
    <mergeCell ref="BM47:BW47"/>
    <mergeCell ref="CJ47:CJ50"/>
    <mergeCell ref="BF49:BF50"/>
    <mergeCell ref="BH49:BH50"/>
    <mergeCell ref="BJ49:BJ50"/>
    <mergeCell ref="BM49:BM50"/>
    <mergeCell ref="BQ49:BQ50"/>
    <mergeCell ref="BR49:BR50"/>
    <mergeCell ref="BU49:BU50"/>
    <mergeCell ref="BV49:BW50"/>
    <mergeCell ref="CM49:CM50"/>
    <mergeCell ref="BC49:BC50"/>
    <mergeCell ref="BE49:BE50"/>
    <mergeCell ref="CE43:CI44"/>
    <mergeCell ref="CJ43:CJ44"/>
    <mergeCell ref="CW43:CW44"/>
    <mergeCell ref="M47:M50"/>
    <mergeCell ref="N47:P48"/>
    <mergeCell ref="Q47:V48"/>
    <mergeCell ref="W47:X48"/>
    <mergeCell ref="Y47:Y50"/>
    <mergeCell ref="Z47:AF48"/>
    <mergeCell ref="AG47:AJ47"/>
    <mergeCell ref="M43:M44"/>
    <mergeCell ref="Y43:Y44"/>
    <mergeCell ref="AN43:AN44"/>
    <mergeCell ref="AZ43:AZ44"/>
    <mergeCell ref="BL43:BL44"/>
    <mergeCell ref="BX43:BX44"/>
    <mergeCell ref="CK47:CM47"/>
    <mergeCell ref="AG48:AH48"/>
    <mergeCell ref="AI48:AJ48"/>
    <mergeCell ref="AO48:AS48"/>
    <mergeCell ref="AT48:AX48"/>
    <mergeCell ref="BA48:BJ48"/>
    <mergeCell ref="BM48:BT48"/>
    <mergeCell ref="BU48:BW48"/>
    <mergeCell ref="CJ39:CJ40"/>
    <mergeCell ref="CW39:CW40"/>
    <mergeCell ref="M41:M42"/>
    <mergeCell ref="Y41:Y42"/>
    <mergeCell ref="AN41:AN42"/>
    <mergeCell ref="AZ41:AZ42"/>
    <mergeCell ref="BL41:BL42"/>
    <mergeCell ref="BX41:BX42"/>
    <mergeCell ref="CJ41:CJ42"/>
    <mergeCell ref="CW41:CW42"/>
    <mergeCell ref="M39:M40"/>
    <mergeCell ref="Y39:Y40"/>
    <mergeCell ref="AN39:AN40"/>
    <mergeCell ref="AZ39:AZ40"/>
    <mergeCell ref="BL39:BL40"/>
    <mergeCell ref="BX39:BX40"/>
    <mergeCell ref="CJ35:CJ36"/>
    <mergeCell ref="CW35:CW36"/>
    <mergeCell ref="M37:M38"/>
    <mergeCell ref="Y37:Y38"/>
    <mergeCell ref="AN37:AN38"/>
    <mergeCell ref="AZ37:AZ38"/>
    <mergeCell ref="BL37:BL38"/>
    <mergeCell ref="BX37:BX38"/>
    <mergeCell ref="CJ37:CJ38"/>
    <mergeCell ref="CW37:CW38"/>
    <mergeCell ref="M35:M36"/>
    <mergeCell ref="Y35:Y36"/>
    <mergeCell ref="AN35:AN36"/>
    <mergeCell ref="AZ35:AZ36"/>
    <mergeCell ref="BL35:BL36"/>
    <mergeCell ref="BX35:BX36"/>
    <mergeCell ref="CJ31:CJ32"/>
    <mergeCell ref="CW31:CW32"/>
    <mergeCell ref="M33:M34"/>
    <mergeCell ref="Y33:Y34"/>
    <mergeCell ref="AN33:AN34"/>
    <mergeCell ref="AZ33:AZ34"/>
    <mergeCell ref="BL33:BL34"/>
    <mergeCell ref="BX33:BX34"/>
    <mergeCell ref="CJ33:CJ34"/>
    <mergeCell ref="CW33:CW34"/>
    <mergeCell ref="M31:M32"/>
    <mergeCell ref="Y31:Y32"/>
    <mergeCell ref="AN31:AN32"/>
    <mergeCell ref="AZ31:AZ32"/>
    <mergeCell ref="BL31:BL32"/>
    <mergeCell ref="BX31:BX32"/>
    <mergeCell ref="M29:M30"/>
    <mergeCell ref="Y29:Y30"/>
    <mergeCell ref="AN29:AN30"/>
    <mergeCell ref="AZ29:AZ30"/>
    <mergeCell ref="BL29:BL30"/>
    <mergeCell ref="BX29:BX30"/>
    <mergeCell ref="CJ29:CJ30"/>
    <mergeCell ref="CW29:CW30"/>
    <mergeCell ref="M27:M28"/>
    <mergeCell ref="Y27:Y28"/>
    <mergeCell ref="AN27:AN28"/>
    <mergeCell ref="AZ27:AZ28"/>
    <mergeCell ref="BL27:BL28"/>
    <mergeCell ref="BX27:BX28"/>
    <mergeCell ref="M25:M26"/>
    <mergeCell ref="Y25:Y26"/>
    <mergeCell ref="AN25:AN26"/>
    <mergeCell ref="AZ25:AZ26"/>
    <mergeCell ref="BL25:BL26"/>
    <mergeCell ref="BX25:BX26"/>
    <mergeCell ref="CJ25:CJ26"/>
    <mergeCell ref="CW25:CW26"/>
    <mergeCell ref="CJ27:CJ28"/>
    <mergeCell ref="CW27:CW28"/>
    <mergeCell ref="CJ21:CJ22"/>
    <mergeCell ref="CW21:CW22"/>
    <mergeCell ref="M23:M24"/>
    <mergeCell ref="Y23:Y24"/>
    <mergeCell ref="AN23:AN24"/>
    <mergeCell ref="AZ23:AZ24"/>
    <mergeCell ref="BL23:BL24"/>
    <mergeCell ref="BX23:BX24"/>
    <mergeCell ref="CE23:CH24"/>
    <mergeCell ref="CJ23:CJ24"/>
    <mergeCell ref="M21:M22"/>
    <mergeCell ref="Y21:Y22"/>
    <mergeCell ref="AN21:AN22"/>
    <mergeCell ref="AZ21:AZ22"/>
    <mergeCell ref="BL21:BL22"/>
    <mergeCell ref="BX21:BX22"/>
    <mergeCell ref="CW23:CW24"/>
    <mergeCell ref="CJ17:CJ18"/>
    <mergeCell ref="CW17:CW18"/>
    <mergeCell ref="M19:M20"/>
    <mergeCell ref="Y19:Y20"/>
    <mergeCell ref="AN19:AN20"/>
    <mergeCell ref="AZ19:AZ20"/>
    <mergeCell ref="BL19:BL20"/>
    <mergeCell ref="BX19:BX20"/>
    <mergeCell ref="CJ19:CJ20"/>
    <mergeCell ref="CW19:CW20"/>
    <mergeCell ref="M17:M18"/>
    <mergeCell ref="Y17:Y18"/>
    <mergeCell ref="AN17:AN18"/>
    <mergeCell ref="AZ17:AZ18"/>
    <mergeCell ref="BL17:BL18"/>
    <mergeCell ref="BX17:BX18"/>
    <mergeCell ref="CJ13:CJ14"/>
    <mergeCell ref="CW13:CW14"/>
    <mergeCell ref="M15:M16"/>
    <mergeCell ref="Y15:Y16"/>
    <mergeCell ref="AN15:AN16"/>
    <mergeCell ref="AZ15:AZ16"/>
    <mergeCell ref="BL15:BL16"/>
    <mergeCell ref="BX15:BX16"/>
    <mergeCell ref="CJ15:CJ16"/>
    <mergeCell ref="CW15:CW16"/>
    <mergeCell ref="M13:M14"/>
    <mergeCell ref="Y13:Y14"/>
    <mergeCell ref="AN13:AN14"/>
    <mergeCell ref="AZ13:AZ14"/>
    <mergeCell ref="BL13:BL14"/>
    <mergeCell ref="BX13:BX14"/>
    <mergeCell ref="CW10:CW12"/>
    <mergeCell ref="CX10:CX12"/>
    <mergeCell ref="DA10:DA12"/>
    <mergeCell ref="DB10:DB12"/>
    <mergeCell ref="BA10:BJ10"/>
    <mergeCell ref="BM10:BP10"/>
    <mergeCell ref="BQ10:BV10"/>
    <mergeCell ref="BY10:CA10"/>
    <mergeCell ref="CB10:CB11"/>
    <mergeCell ref="CC10:CC12"/>
    <mergeCell ref="BE11:BE12"/>
    <mergeCell ref="BF11:BF12"/>
    <mergeCell ref="BH11:BH12"/>
    <mergeCell ref="BJ11:BJ12"/>
    <mergeCell ref="BQ11:BQ12"/>
    <mergeCell ref="BR11:BS12"/>
    <mergeCell ref="BV11:BV12"/>
    <mergeCell ref="CA11:CA12"/>
    <mergeCell ref="CQ11:CQ12"/>
    <mergeCell ref="CR11:CS12"/>
    <mergeCell ref="BC11:BC12"/>
    <mergeCell ref="CO10:CO12"/>
    <mergeCell ref="CP10:CS10"/>
    <mergeCell ref="M10:M12"/>
    <mergeCell ref="N10:N12"/>
    <mergeCell ref="O10:O12"/>
    <mergeCell ref="P10:T10"/>
    <mergeCell ref="U10:V10"/>
    <mergeCell ref="Y10:Y12"/>
    <mergeCell ref="BL9:BL12"/>
    <mergeCell ref="BM9:BV9"/>
    <mergeCell ref="BX9:BX12"/>
    <mergeCell ref="AF11:AF12"/>
    <mergeCell ref="AG11:AG12"/>
    <mergeCell ref="AS11:AS12"/>
    <mergeCell ref="AT11:AT12"/>
    <mergeCell ref="AY11:AY12"/>
    <mergeCell ref="BY9:CC9"/>
    <mergeCell ref="CJ9:CJ12"/>
    <mergeCell ref="CK9:CS9"/>
    <mergeCell ref="CK10:CK11"/>
    <mergeCell ref="CL10:CL11"/>
    <mergeCell ref="CM10:CM11"/>
    <mergeCell ref="CN10:CN11"/>
    <mergeCell ref="V6:X8"/>
    <mergeCell ref="AN9:AN12"/>
    <mergeCell ref="AO9:AT10"/>
    <mergeCell ref="AU9:AY10"/>
    <mergeCell ref="AZ9:AZ12"/>
    <mergeCell ref="BA9:BJ9"/>
    <mergeCell ref="Z10:AC10"/>
    <mergeCell ref="AD10:AG10"/>
    <mergeCell ref="AH10:AH12"/>
    <mergeCell ref="AI10:AJ11"/>
    <mergeCell ref="CN3:CQ4"/>
    <mergeCell ref="CS3:CU3"/>
    <mergeCell ref="J4:L4"/>
    <mergeCell ref="V4:X4"/>
    <mergeCell ref="AH4:AJ4"/>
    <mergeCell ref="AW4:AY4"/>
    <mergeCell ref="BI4:BK4"/>
    <mergeCell ref="BU4:BW4"/>
    <mergeCell ref="CG4:CI4"/>
    <mergeCell ref="CS4:CU4"/>
    <mergeCell ref="AH3:AJ3"/>
    <mergeCell ref="AQ3:AQ4"/>
    <mergeCell ref="AR3:AU4"/>
    <mergeCell ref="AW3:AY3"/>
    <mergeCell ref="BC3:BC4"/>
    <mergeCell ref="BD3:BG4"/>
    <mergeCell ref="CN1:CQ2"/>
    <mergeCell ref="CS1:CU1"/>
    <mergeCell ref="J2:L2"/>
    <mergeCell ref="V2:X2"/>
    <mergeCell ref="AH2:AJ2"/>
    <mergeCell ref="AW2:AY2"/>
    <mergeCell ref="BI2:BK2"/>
    <mergeCell ref="BU2:BW2"/>
    <mergeCell ref="CG2:CI2"/>
    <mergeCell ref="CS2:CU2"/>
    <mergeCell ref="BX1:BZ4"/>
    <mergeCell ref="CA1:CA2"/>
    <mergeCell ref="CB1:CE2"/>
    <mergeCell ref="CG1:CI1"/>
    <mergeCell ref="CJ1:CL4"/>
    <mergeCell ref="CM1:CM2"/>
    <mergeCell ref="CA3:CA4"/>
    <mergeCell ref="CB3:CE4"/>
    <mergeCell ref="CG3:CI3"/>
    <mergeCell ref="CM3:CM4"/>
    <mergeCell ref="BD1:BG2"/>
    <mergeCell ref="BI1:BK1"/>
    <mergeCell ref="BL1:BN4"/>
    <mergeCell ref="BO1:BO2"/>
    <mergeCell ref="BP1:BS2"/>
    <mergeCell ref="BU1:BW1"/>
    <mergeCell ref="BI3:BK3"/>
    <mergeCell ref="BO3:BO4"/>
    <mergeCell ref="BP3:BS4"/>
    <mergeCell ref="BU3:BW3"/>
    <mergeCell ref="AN1:AP4"/>
    <mergeCell ref="AQ1:AQ2"/>
    <mergeCell ref="AR1:AU2"/>
    <mergeCell ref="AW1:AY1"/>
    <mergeCell ref="AZ1:BB4"/>
    <mergeCell ref="BC1:BC2"/>
    <mergeCell ref="Q1:T2"/>
    <mergeCell ref="V1:X1"/>
    <mergeCell ref="Y1:AA4"/>
    <mergeCell ref="AB1:AB2"/>
    <mergeCell ref="AC1:AF2"/>
    <mergeCell ref="AH1:AJ1"/>
    <mergeCell ref="Q3:T4"/>
    <mergeCell ref="V3:X3"/>
    <mergeCell ref="AB3:AB4"/>
    <mergeCell ref="AC3:AF4"/>
    <mergeCell ref="A1:C4"/>
    <mergeCell ref="D1:D2"/>
    <mergeCell ref="E1:H2"/>
    <mergeCell ref="J1:L1"/>
    <mergeCell ref="M1:O4"/>
    <mergeCell ref="P1:P2"/>
    <mergeCell ref="D3:D4"/>
    <mergeCell ref="E3:H4"/>
    <mergeCell ref="J3:L3"/>
    <mergeCell ref="P3:P4"/>
  </mergeCells>
  <conditionalFormatting sqref="Y89:Z120">
    <cfRule type="cellIs" dxfId="75" priority="30" operator="lessThan">
      <formula>0</formula>
    </cfRule>
    <cfRule type="cellIs" dxfId="74" priority="32" operator="between">
      <formula>$T$6</formula>
      <formula>0</formula>
    </cfRule>
    <cfRule type="cellIs" dxfId="73" priority="31" operator="greaterThan">
      <formula>$T$6</formula>
    </cfRule>
  </conditionalFormatting>
  <conditionalFormatting sqref="Z51:AC82">
    <cfRule type="cellIs" dxfId="72" priority="7" operator="lessThan">
      <formula>0</formula>
    </cfRule>
    <cfRule type="cellIs" dxfId="71" priority="8" operator="greaterThan">
      <formula>$T$6</formula>
    </cfRule>
    <cfRule type="cellIs" dxfId="70" priority="9" operator="between">
      <formula>$T$6</formula>
      <formula>0</formula>
    </cfRule>
  </conditionalFormatting>
  <conditionalFormatting sqref="AD51:AD82">
    <cfRule type="cellIs" dxfId="69" priority="47" operator="lessThan">
      <formula>1</formula>
    </cfRule>
    <cfRule type="cellIs" dxfId="68" priority="48" operator="greaterThan">
      <formula>1</formula>
    </cfRule>
  </conditionalFormatting>
  <conditionalFormatting sqref="AF13:AG44">
    <cfRule type="cellIs" dxfId="67" priority="20" operator="equal">
      <formula>"N/C"</formula>
    </cfRule>
    <cfRule type="cellIs" dxfId="66" priority="21" operator="equal">
      <formula>"OK"</formula>
    </cfRule>
  </conditionalFormatting>
  <conditionalFormatting sqref="AJ51:AM74 AH51:AH82 AK75:AM76 AJ75:AJ82">
    <cfRule type="cellIs" dxfId="65" priority="45" operator="lessThan">
      <formula>2</formula>
    </cfRule>
    <cfRule type="cellIs" dxfId="64" priority="46" operator="greaterThan">
      <formula>2</formula>
    </cfRule>
  </conditionalFormatting>
  <conditionalFormatting sqref="AK13:AK44">
    <cfRule type="cellIs" dxfId="63" priority="12" operator="lessThan">
      <formula>1</formula>
    </cfRule>
    <cfRule type="cellIs" dxfId="62" priority="13" operator="greaterThan">
      <formula>1</formula>
    </cfRule>
  </conditionalFormatting>
  <conditionalFormatting sqref="AL13:AM44">
    <cfRule type="cellIs" dxfId="61" priority="10" operator="lessThan">
      <formula>2</formula>
    </cfRule>
    <cfRule type="cellIs" dxfId="60" priority="11" operator="greaterThan">
      <formula>2</formula>
    </cfRule>
  </conditionalFormatting>
  <conditionalFormatting sqref="AS13:AS36">
    <cfRule type="cellIs" dxfId="59" priority="41" operator="equal">
      <formula>"N/C"</formula>
    </cfRule>
    <cfRule type="cellIs" dxfId="58" priority="42" operator="equal">
      <formula>"OK"</formula>
    </cfRule>
  </conditionalFormatting>
  <conditionalFormatting sqref="AS51:AS76">
    <cfRule type="cellIs" dxfId="57" priority="39" operator="equal">
      <formula>"N/C"</formula>
    </cfRule>
    <cfRule type="cellIs" dxfId="56" priority="40" operator="equal">
      <formula>"OK"</formula>
    </cfRule>
  </conditionalFormatting>
  <conditionalFormatting sqref="AT13:AT36">
    <cfRule type="cellIs" dxfId="55" priority="43" operator="equal">
      <formula>$U13</formula>
    </cfRule>
    <cfRule type="cellIs" dxfId="54" priority="44" operator="greaterThan">
      <formula>$U13</formula>
    </cfRule>
  </conditionalFormatting>
  <conditionalFormatting sqref="AY13:AY36">
    <cfRule type="cellIs" dxfId="53" priority="37" operator="equal">
      <formula>"N/C"</formula>
    </cfRule>
    <cfRule type="cellIs" dxfId="52" priority="38" operator="equal">
      <formula>"OK"</formula>
    </cfRule>
  </conditionalFormatting>
  <conditionalFormatting sqref="BH13:BH36">
    <cfRule type="cellIs" dxfId="51" priority="35" operator="equal">
      <formula>"N/C"</formula>
    </cfRule>
    <cfRule type="cellIs" dxfId="50" priority="36" operator="equal">
      <formula>"OK"</formula>
    </cfRule>
  </conditionalFormatting>
  <conditionalFormatting sqref="BH51:BH76">
    <cfRule type="cellIs" dxfId="49" priority="33" operator="equal">
      <formula>"N/C"</formula>
    </cfRule>
    <cfRule type="cellIs" dxfId="48" priority="34" operator="equal">
      <formula>"OK"</formula>
    </cfRule>
  </conditionalFormatting>
  <conditionalFormatting sqref="BV13:BV36">
    <cfRule type="cellIs" dxfId="47" priority="28" operator="equal">
      <formula>"N/C"</formula>
    </cfRule>
    <cfRule type="cellIs" dxfId="46" priority="29" operator="equal">
      <formula>"OK"</formula>
    </cfRule>
  </conditionalFormatting>
  <conditionalFormatting sqref="CC13:CC36">
    <cfRule type="cellIs" dxfId="45" priority="27" operator="equal">
      <formula>"OK"</formula>
    </cfRule>
    <cfRule type="cellIs" dxfId="44" priority="26" operator="equal">
      <formula>"N/C"</formula>
    </cfRule>
  </conditionalFormatting>
  <conditionalFormatting sqref="CM51:CM74">
    <cfRule type="cellIs" dxfId="43" priority="22" operator="equal">
      <formula>"N/C"</formula>
    </cfRule>
    <cfRule type="cellIs" dxfId="42" priority="23" operator="equal">
      <formula>"OK"</formula>
    </cfRule>
  </conditionalFormatting>
  <conditionalFormatting sqref="CM13:CN36">
    <cfRule type="cellIs" dxfId="41" priority="14" operator="lessThan">
      <formula>0</formula>
    </cfRule>
    <cfRule type="cellIs" dxfId="40" priority="15" operator="greaterThan">
      <formula>$T$6</formula>
    </cfRule>
    <cfRule type="cellIs" dxfId="39" priority="16" operator="between">
      <formula>$T$6</formula>
      <formula>0</formula>
    </cfRule>
  </conditionalFormatting>
  <conditionalFormatting sqref="CO13:CO36">
    <cfRule type="cellIs" dxfId="38" priority="24" operator="equal">
      <formula>"N/C"</formula>
    </cfRule>
    <cfRule type="cellIs" dxfId="37" priority="25" operator="equal">
      <formula>"OK"</formula>
    </cfRule>
  </conditionalFormatting>
  <dataValidations count="5">
    <dataValidation type="list" allowBlank="1" showInputMessage="1" showErrorMessage="1" sqref="AH13:AH44" xr:uid="{FAAEFC36-EC3E-4055-94AC-43B56BDAA3E1}">
      <formula1>"Central,L,B,Esquinera"</formula1>
    </dataValidation>
    <dataValidation type="list" allowBlank="1" showInputMessage="1" showErrorMessage="1" sqref="AV51:AV82" xr:uid="{46E083A7-5D35-467D-86FD-A34E0562F039}">
      <formula1>"DES,DMO,DMI"</formula1>
    </dataValidation>
    <dataValidation type="list" allowBlank="1" showInputMessage="1" showErrorMessage="1" sqref="C43:C44 C13:C40 O13:O44" xr:uid="{209158DA-D89C-4C18-878C-215F3C15FF77}">
      <formula1>"Central, Medianera, Esquinera"</formula1>
    </dataValidation>
    <dataValidation type="list" allowBlank="1" showInputMessage="1" showErrorMessage="1" sqref="BQ51:BQ82" xr:uid="{C1BAB664-A56C-482C-B8B7-7799CE92B49D}">
      <formula1>"Empotrado, Articulado"</formula1>
    </dataValidation>
    <dataValidation type="list" allowBlank="1" showInputMessage="1" showErrorMessage="1" sqref="AU9:AU12 BE13:BE44 AU50 AU47:AU48 BW51:BW82 CS13:CS44 BS13:BS44 BE51:BE82" xr:uid="{4AE1D7CD-2DA2-4979-BDF2-2A3290730C19}">
      <formula1>$N$91:$N$102</formula1>
    </dataValidation>
  </dataValidations>
  <printOptions horizontalCentered="1" verticalCentered="1"/>
  <pageMargins left="0.39370078740157483" right="0.39370078740157483" top="0.47244094488188981" bottom="0.47244094488188981" header="0.31496062992125984" footer="0.31496062992125984"/>
  <pageSetup scale="59" fitToWidth="0" orientation="portrait" r:id="rId1"/>
  <colBreaks count="7" manualBreakCount="7">
    <brk id="12" max="83" man="1"/>
    <brk id="24" max="83" man="1"/>
    <brk id="39" max="83" man="1"/>
    <brk id="51" max="1048575" man="1"/>
    <brk id="63" max="83" man="1"/>
    <brk id="75" max="83" man="1"/>
    <brk id="87" max="83" man="1"/>
  </col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DF640-1F35-4BE8-BA50-541FB69E0D3C}">
  <sheetPr>
    <pageSetUpPr fitToPage="1"/>
  </sheetPr>
  <dimension ref="A1:DH126"/>
  <sheetViews>
    <sheetView view="pageBreakPreview" topLeftCell="BU1" zoomScale="85" zoomScaleNormal="85" zoomScaleSheetLayoutView="85" workbookViewId="0">
      <selection activeCell="AE44" sqref="AE44"/>
    </sheetView>
  </sheetViews>
  <sheetFormatPr baseColWidth="10" defaultColWidth="11.140625" defaultRowHeight="15" x14ac:dyDescent="0.25"/>
  <cols>
    <col min="1" max="14" width="11.140625" style="111"/>
    <col min="15" max="84" width="11.140625" style="111" customWidth="1"/>
    <col min="85" max="101" width="11.140625" style="114"/>
    <col min="102" max="103" width="19.5703125" style="114" customWidth="1"/>
    <col min="104" max="106" width="11.140625" style="114"/>
    <col min="107" max="108" width="22.140625" style="114" customWidth="1"/>
    <col min="109" max="16384" width="11.140625" style="114"/>
  </cols>
  <sheetData>
    <row r="1" spans="1:108" s="113" customFormat="1" ht="15" customHeight="1" x14ac:dyDescent="0.25">
      <c r="A1" s="320" t="s">
        <v>549</v>
      </c>
      <c r="B1" s="320"/>
      <c r="C1" s="320"/>
      <c r="D1" s="322" t="s">
        <v>0</v>
      </c>
      <c r="E1" s="322" t="str">
        <f>'9. REPORTE ETABS'!H1</f>
        <v>EDIFICACIÓN LOCALES COMERCIALES</v>
      </c>
      <c r="F1" s="322"/>
      <c r="G1" s="322"/>
      <c r="H1" s="322"/>
      <c r="I1" s="110" t="s">
        <v>2</v>
      </c>
      <c r="J1" s="323" t="str">
        <f>'9. REPORTE ETABS'!Q1</f>
        <v>Mayo de 2025</v>
      </c>
      <c r="K1" s="324"/>
      <c r="L1" s="324"/>
      <c r="M1" s="320" t="s">
        <v>549</v>
      </c>
      <c r="N1" s="320"/>
      <c r="O1" s="320"/>
      <c r="P1" s="322" t="s">
        <v>0</v>
      </c>
      <c r="Q1" s="322" t="str">
        <f>E1</f>
        <v>EDIFICACIÓN LOCALES COMERCIALES</v>
      </c>
      <c r="R1" s="322"/>
      <c r="S1" s="322"/>
      <c r="T1" s="322"/>
      <c r="U1" s="110" t="s">
        <v>2</v>
      </c>
      <c r="V1" s="323" t="str">
        <f>J1</f>
        <v>Mayo de 2025</v>
      </c>
      <c r="W1" s="324"/>
      <c r="X1" s="324"/>
      <c r="Y1" s="320" t="s">
        <v>549</v>
      </c>
      <c r="Z1" s="320"/>
      <c r="AA1" s="320"/>
      <c r="AB1" s="322" t="s">
        <v>0</v>
      </c>
      <c r="AC1" s="322" t="str">
        <f>Q1</f>
        <v>EDIFICACIÓN LOCALES COMERCIALES</v>
      </c>
      <c r="AD1" s="322"/>
      <c r="AE1" s="322"/>
      <c r="AF1" s="322"/>
      <c r="AG1" s="110" t="s">
        <v>2</v>
      </c>
      <c r="AH1" s="323" t="str">
        <f>V1</f>
        <v>Mayo de 2025</v>
      </c>
      <c r="AI1" s="324"/>
      <c r="AJ1" s="324"/>
      <c r="AK1" s="320" t="s">
        <v>549</v>
      </c>
      <c r="AL1" s="320"/>
      <c r="AM1" s="320"/>
      <c r="AN1" s="322" t="s">
        <v>0</v>
      </c>
      <c r="AO1" s="322" t="str">
        <f>Q1</f>
        <v>EDIFICACIÓN LOCALES COMERCIALES</v>
      </c>
      <c r="AP1" s="322"/>
      <c r="AQ1" s="322"/>
      <c r="AR1" s="322"/>
      <c r="AS1" s="110" t="s">
        <v>2</v>
      </c>
      <c r="AT1" s="323" t="str">
        <f>V1</f>
        <v>Mayo de 2025</v>
      </c>
      <c r="AU1" s="324"/>
      <c r="AV1" s="324"/>
      <c r="AW1" s="320" t="s">
        <v>549</v>
      </c>
      <c r="AX1" s="320"/>
      <c r="AY1" s="320"/>
      <c r="AZ1" s="322" t="s">
        <v>0</v>
      </c>
      <c r="BA1" s="322" t="str">
        <f>AC1</f>
        <v>EDIFICACIÓN LOCALES COMERCIALES</v>
      </c>
      <c r="BB1" s="322"/>
      <c r="BC1" s="322"/>
      <c r="BD1" s="322"/>
      <c r="BE1" s="110" t="s">
        <v>2</v>
      </c>
      <c r="BF1" s="323" t="str">
        <f>AH1</f>
        <v>Mayo de 2025</v>
      </c>
      <c r="BG1" s="324"/>
      <c r="BH1" s="324"/>
      <c r="BI1" s="320" t="str">
        <f>'0. CARTA RESPONSABILIDAD'!A1</f>
        <v>Memoria de cálculos estructurales</v>
      </c>
      <c r="BJ1" s="320"/>
      <c r="BK1" s="320"/>
      <c r="BL1" s="322" t="s">
        <v>0</v>
      </c>
      <c r="BM1" s="324" t="str">
        <f>BA1</f>
        <v>EDIFICACIÓN LOCALES COMERCIALES</v>
      </c>
      <c r="BN1" s="324"/>
      <c r="BO1" s="324"/>
      <c r="BP1" s="324"/>
      <c r="BQ1" s="110" t="s">
        <v>2</v>
      </c>
      <c r="BR1" s="323" t="str">
        <f>BF1</f>
        <v>Mayo de 2025</v>
      </c>
      <c r="BS1" s="324"/>
      <c r="BT1" s="324"/>
      <c r="BU1" s="320" t="str">
        <f>'0. CARTA RESPONSABILIDAD'!A1</f>
        <v>Memoria de cálculos estructurales</v>
      </c>
      <c r="BV1" s="320"/>
      <c r="BW1" s="320"/>
      <c r="BX1" s="322" t="s">
        <v>0</v>
      </c>
      <c r="BY1" s="324" t="str">
        <f>BM1</f>
        <v>EDIFICACIÓN LOCALES COMERCIALES</v>
      </c>
      <c r="BZ1" s="324"/>
      <c r="CA1" s="324"/>
      <c r="CB1" s="324"/>
      <c r="CC1" s="110" t="s">
        <v>2</v>
      </c>
      <c r="CD1" s="323" t="str">
        <f>BR1</f>
        <v>Mayo de 2025</v>
      </c>
      <c r="CE1" s="324"/>
      <c r="CF1" s="324"/>
      <c r="CG1" s="327" t="str">
        <f>'0. CARTA RESPONSABILIDAD'!A1</f>
        <v>Memoria de cálculos estructurales</v>
      </c>
      <c r="CH1" s="320"/>
      <c r="CI1" s="320"/>
      <c r="CJ1" s="322" t="s">
        <v>0</v>
      </c>
      <c r="CK1" s="324" t="str">
        <f>BY1</f>
        <v>EDIFICACIÓN LOCALES COMERCIALES</v>
      </c>
      <c r="CL1" s="324"/>
      <c r="CM1" s="324"/>
      <c r="CN1" s="324"/>
      <c r="CO1" s="110" t="s">
        <v>2</v>
      </c>
      <c r="CP1" s="323" t="str">
        <f>CD1</f>
        <v>Mayo de 2025</v>
      </c>
      <c r="CQ1" s="324"/>
      <c r="CR1" s="324"/>
    </row>
    <row r="2" spans="1:108" s="113" customFormat="1" ht="15" customHeight="1" x14ac:dyDescent="0.25">
      <c r="A2" s="320"/>
      <c r="B2" s="320"/>
      <c r="C2" s="320"/>
      <c r="D2" s="322"/>
      <c r="E2" s="322"/>
      <c r="F2" s="322"/>
      <c r="G2" s="322"/>
      <c r="H2" s="322"/>
      <c r="I2" s="109" t="s">
        <v>3</v>
      </c>
      <c r="J2" s="324" t="str">
        <f>'9. REPORTE ETABS'!Q2</f>
        <v xml:space="preserve"> </v>
      </c>
      <c r="K2" s="324"/>
      <c r="L2" s="324"/>
      <c r="M2" s="320"/>
      <c r="N2" s="320"/>
      <c r="O2" s="320"/>
      <c r="P2" s="322"/>
      <c r="Q2" s="322"/>
      <c r="R2" s="322"/>
      <c r="S2" s="322"/>
      <c r="T2" s="322"/>
      <c r="U2" s="109" t="s">
        <v>3</v>
      </c>
      <c r="V2" s="324" t="str">
        <f>J2</f>
        <v xml:space="preserve"> </v>
      </c>
      <c r="W2" s="324"/>
      <c r="X2" s="324"/>
      <c r="Y2" s="320"/>
      <c r="Z2" s="320"/>
      <c r="AA2" s="320"/>
      <c r="AB2" s="322"/>
      <c r="AC2" s="322"/>
      <c r="AD2" s="322"/>
      <c r="AE2" s="322"/>
      <c r="AF2" s="322"/>
      <c r="AG2" s="109" t="s">
        <v>3</v>
      </c>
      <c r="AH2" s="324" t="str">
        <f>V2</f>
        <v xml:space="preserve"> </v>
      </c>
      <c r="AI2" s="324"/>
      <c r="AJ2" s="324"/>
      <c r="AK2" s="320"/>
      <c r="AL2" s="320"/>
      <c r="AM2" s="320"/>
      <c r="AN2" s="322"/>
      <c r="AO2" s="322"/>
      <c r="AP2" s="322"/>
      <c r="AQ2" s="322"/>
      <c r="AR2" s="322"/>
      <c r="AS2" s="109" t="s">
        <v>3</v>
      </c>
      <c r="AT2" s="324" t="str">
        <f>V2</f>
        <v xml:space="preserve"> </v>
      </c>
      <c r="AU2" s="324"/>
      <c r="AV2" s="324"/>
      <c r="AW2" s="320"/>
      <c r="AX2" s="320"/>
      <c r="AY2" s="320"/>
      <c r="AZ2" s="322"/>
      <c r="BA2" s="322"/>
      <c r="BB2" s="322"/>
      <c r="BC2" s="322"/>
      <c r="BD2" s="322"/>
      <c r="BE2" s="109" t="s">
        <v>3</v>
      </c>
      <c r="BF2" s="324" t="str">
        <f>AH2</f>
        <v xml:space="preserve"> </v>
      </c>
      <c r="BG2" s="324"/>
      <c r="BH2" s="324"/>
      <c r="BI2" s="320"/>
      <c r="BJ2" s="320"/>
      <c r="BK2" s="320"/>
      <c r="BL2" s="322"/>
      <c r="BM2" s="324"/>
      <c r="BN2" s="324"/>
      <c r="BO2" s="324"/>
      <c r="BP2" s="324"/>
      <c r="BQ2" s="109" t="s">
        <v>3</v>
      </c>
      <c r="BR2" s="324" t="str">
        <f>BF2</f>
        <v xml:space="preserve"> </v>
      </c>
      <c r="BS2" s="324"/>
      <c r="BT2" s="324"/>
      <c r="BU2" s="320"/>
      <c r="BV2" s="320"/>
      <c r="BW2" s="320"/>
      <c r="BX2" s="322"/>
      <c r="BY2" s="324"/>
      <c r="BZ2" s="324"/>
      <c r="CA2" s="324"/>
      <c r="CB2" s="324"/>
      <c r="CC2" s="109" t="s">
        <v>3</v>
      </c>
      <c r="CD2" s="324" t="str">
        <f>BR2</f>
        <v xml:space="preserve"> </v>
      </c>
      <c r="CE2" s="324"/>
      <c r="CF2" s="324"/>
      <c r="CG2" s="327"/>
      <c r="CH2" s="320"/>
      <c r="CI2" s="320"/>
      <c r="CJ2" s="322"/>
      <c r="CK2" s="324"/>
      <c r="CL2" s="324"/>
      <c r="CM2" s="324"/>
      <c r="CN2" s="324"/>
      <c r="CO2" s="109" t="s">
        <v>3</v>
      </c>
      <c r="CP2" s="324" t="str">
        <f>CD2</f>
        <v xml:space="preserve"> </v>
      </c>
      <c r="CQ2" s="324"/>
      <c r="CR2" s="324"/>
    </row>
    <row r="3" spans="1:108" s="113" customFormat="1" ht="15" customHeight="1" x14ac:dyDescent="0.25">
      <c r="A3" s="321"/>
      <c r="B3" s="321"/>
      <c r="C3" s="321"/>
      <c r="D3" s="325" t="s">
        <v>1</v>
      </c>
      <c r="E3" s="326" t="str">
        <f>'9. REPORTE ETABS'!H3</f>
        <v>REPORTES DE DISEÑO</v>
      </c>
      <c r="F3" s="326"/>
      <c r="G3" s="326"/>
      <c r="H3" s="326"/>
      <c r="I3" s="115" t="s">
        <v>633</v>
      </c>
      <c r="J3" s="326">
        <v>1</v>
      </c>
      <c r="K3" s="326"/>
      <c r="L3" s="326"/>
      <c r="M3" s="321"/>
      <c r="N3" s="321"/>
      <c r="O3" s="321"/>
      <c r="P3" s="325" t="s">
        <v>1</v>
      </c>
      <c r="Q3" s="326" t="str">
        <f>E3</f>
        <v>REPORTES DE DISEÑO</v>
      </c>
      <c r="R3" s="326"/>
      <c r="S3" s="326"/>
      <c r="T3" s="326"/>
      <c r="U3" s="115" t="s">
        <v>633</v>
      </c>
      <c r="V3" s="326">
        <f>J3</f>
        <v>1</v>
      </c>
      <c r="W3" s="326"/>
      <c r="X3" s="326"/>
      <c r="Y3" s="321"/>
      <c r="Z3" s="321"/>
      <c r="AA3" s="321"/>
      <c r="AB3" s="325" t="s">
        <v>1</v>
      </c>
      <c r="AC3" s="326" t="str">
        <f>Q3</f>
        <v>REPORTES DE DISEÑO</v>
      </c>
      <c r="AD3" s="326"/>
      <c r="AE3" s="326"/>
      <c r="AF3" s="326"/>
      <c r="AG3" s="115" t="s">
        <v>633</v>
      </c>
      <c r="AH3" s="326">
        <f>V3</f>
        <v>1</v>
      </c>
      <c r="AI3" s="326"/>
      <c r="AJ3" s="326"/>
      <c r="AK3" s="321"/>
      <c r="AL3" s="321"/>
      <c r="AM3" s="321"/>
      <c r="AN3" s="325" t="s">
        <v>1</v>
      </c>
      <c r="AO3" s="326" t="str">
        <f>Q3</f>
        <v>REPORTES DE DISEÑO</v>
      </c>
      <c r="AP3" s="326"/>
      <c r="AQ3" s="326"/>
      <c r="AR3" s="326"/>
      <c r="AS3" s="115" t="s">
        <v>633</v>
      </c>
      <c r="AT3" s="326">
        <f>V3</f>
        <v>1</v>
      </c>
      <c r="AU3" s="326"/>
      <c r="AV3" s="326"/>
      <c r="AW3" s="321"/>
      <c r="AX3" s="321"/>
      <c r="AY3" s="321"/>
      <c r="AZ3" s="325" t="s">
        <v>1</v>
      </c>
      <c r="BA3" s="326" t="str">
        <f>AC3</f>
        <v>REPORTES DE DISEÑO</v>
      </c>
      <c r="BB3" s="326"/>
      <c r="BC3" s="326"/>
      <c r="BD3" s="326"/>
      <c r="BE3" s="115" t="s">
        <v>633</v>
      </c>
      <c r="BF3" s="326">
        <f>AH3</f>
        <v>1</v>
      </c>
      <c r="BG3" s="326"/>
      <c r="BH3" s="326"/>
      <c r="BI3" s="321"/>
      <c r="BJ3" s="321"/>
      <c r="BK3" s="321"/>
      <c r="BL3" s="325" t="s">
        <v>1</v>
      </c>
      <c r="BM3" s="326" t="str">
        <f>BA3</f>
        <v>REPORTES DE DISEÑO</v>
      </c>
      <c r="BN3" s="326"/>
      <c r="BO3" s="326"/>
      <c r="BP3" s="326"/>
      <c r="BQ3" s="115" t="s">
        <v>633</v>
      </c>
      <c r="BR3" s="326">
        <f>BF3</f>
        <v>1</v>
      </c>
      <c r="BS3" s="326"/>
      <c r="BT3" s="326"/>
      <c r="BU3" s="321"/>
      <c r="BV3" s="321"/>
      <c r="BW3" s="321"/>
      <c r="BX3" s="325" t="s">
        <v>1</v>
      </c>
      <c r="BY3" s="326" t="str">
        <f>BM3</f>
        <v>REPORTES DE DISEÑO</v>
      </c>
      <c r="BZ3" s="326"/>
      <c r="CA3" s="326"/>
      <c r="CB3" s="326"/>
      <c r="CC3" s="115" t="s">
        <v>633</v>
      </c>
      <c r="CD3" s="326">
        <f>BR3</f>
        <v>1</v>
      </c>
      <c r="CE3" s="326"/>
      <c r="CF3" s="326"/>
      <c r="CG3" s="328"/>
      <c r="CH3" s="321"/>
      <c r="CI3" s="321"/>
      <c r="CJ3" s="325" t="s">
        <v>1</v>
      </c>
      <c r="CK3" s="326" t="str">
        <f>BY3</f>
        <v>REPORTES DE DISEÑO</v>
      </c>
      <c r="CL3" s="326"/>
      <c r="CM3" s="326"/>
      <c r="CN3" s="326"/>
      <c r="CO3" s="115" t="s">
        <v>633</v>
      </c>
      <c r="CP3" s="326">
        <f>CD3</f>
        <v>1</v>
      </c>
      <c r="CQ3" s="326"/>
      <c r="CR3" s="326"/>
    </row>
    <row r="4" spans="1:108" s="113" customFormat="1" ht="15" customHeight="1" x14ac:dyDescent="0.25">
      <c r="A4" s="320"/>
      <c r="B4" s="320"/>
      <c r="C4" s="320"/>
      <c r="D4" s="322"/>
      <c r="E4" s="324"/>
      <c r="F4" s="324"/>
      <c r="G4" s="324"/>
      <c r="H4" s="324"/>
      <c r="I4" s="110" t="s">
        <v>4</v>
      </c>
      <c r="J4" s="324" t="str">
        <f>'9. REPORTE ETABS'!Q3</f>
        <v>R0</v>
      </c>
      <c r="K4" s="324"/>
      <c r="L4" s="324"/>
      <c r="M4" s="320"/>
      <c r="N4" s="320"/>
      <c r="O4" s="320"/>
      <c r="P4" s="322"/>
      <c r="Q4" s="324"/>
      <c r="R4" s="324"/>
      <c r="S4" s="324"/>
      <c r="T4" s="324"/>
      <c r="U4" s="110" t="s">
        <v>4</v>
      </c>
      <c r="V4" s="324" t="str">
        <f>J4</f>
        <v>R0</v>
      </c>
      <c r="W4" s="324"/>
      <c r="X4" s="324"/>
      <c r="Y4" s="320"/>
      <c r="Z4" s="320"/>
      <c r="AA4" s="320"/>
      <c r="AB4" s="322"/>
      <c r="AC4" s="324"/>
      <c r="AD4" s="324"/>
      <c r="AE4" s="324"/>
      <c r="AF4" s="324"/>
      <c r="AG4" s="110" t="s">
        <v>4</v>
      </c>
      <c r="AH4" s="324" t="str">
        <f>V4</f>
        <v>R0</v>
      </c>
      <c r="AI4" s="324"/>
      <c r="AJ4" s="324"/>
      <c r="AK4" s="320"/>
      <c r="AL4" s="320"/>
      <c r="AM4" s="320"/>
      <c r="AN4" s="322"/>
      <c r="AO4" s="324"/>
      <c r="AP4" s="324"/>
      <c r="AQ4" s="324"/>
      <c r="AR4" s="324"/>
      <c r="AS4" s="110" t="s">
        <v>4</v>
      </c>
      <c r="AT4" s="324" t="str">
        <f>V4</f>
        <v>R0</v>
      </c>
      <c r="AU4" s="324"/>
      <c r="AV4" s="324"/>
      <c r="AW4" s="320"/>
      <c r="AX4" s="320"/>
      <c r="AY4" s="320"/>
      <c r="AZ4" s="322"/>
      <c r="BA4" s="324"/>
      <c r="BB4" s="324"/>
      <c r="BC4" s="324"/>
      <c r="BD4" s="324"/>
      <c r="BE4" s="110" t="s">
        <v>4</v>
      </c>
      <c r="BF4" s="324" t="str">
        <f>AH4</f>
        <v>R0</v>
      </c>
      <c r="BG4" s="324"/>
      <c r="BH4" s="324"/>
      <c r="BI4" s="320"/>
      <c r="BJ4" s="320"/>
      <c r="BK4" s="320"/>
      <c r="BL4" s="322"/>
      <c r="BM4" s="324"/>
      <c r="BN4" s="324"/>
      <c r="BO4" s="324"/>
      <c r="BP4" s="324"/>
      <c r="BQ4" s="110" t="s">
        <v>4</v>
      </c>
      <c r="BR4" s="324" t="str">
        <f>BF4</f>
        <v>R0</v>
      </c>
      <c r="BS4" s="324"/>
      <c r="BT4" s="324"/>
      <c r="BU4" s="320"/>
      <c r="BV4" s="320"/>
      <c r="BW4" s="320"/>
      <c r="BX4" s="322"/>
      <c r="BY4" s="324"/>
      <c r="BZ4" s="324"/>
      <c r="CA4" s="324"/>
      <c r="CB4" s="324"/>
      <c r="CC4" s="110" t="s">
        <v>4</v>
      </c>
      <c r="CD4" s="324" t="str">
        <f>BR4</f>
        <v>R0</v>
      </c>
      <c r="CE4" s="324"/>
      <c r="CF4" s="324"/>
      <c r="CG4" s="327"/>
      <c r="CH4" s="320"/>
      <c r="CI4" s="320"/>
      <c r="CJ4" s="322"/>
      <c r="CK4" s="324"/>
      <c r="CL4" s="324"/>
      <c r="CM4" s="324"/>
      <c r="CN4" s="324"/>
      <c r="CO4" s="110" t="s">
        <v>4</v>
      </c>
      <c r="CP4" s="324" t="str">
        <f>CD4</f>
        <v>R0</v>
      </c>
      <c r="CQ4" s="324"/>
      <c r="CR4" s="324"/>
    </row>
    <row r="5" spans="1:108" ht="15" customHeight="1" x14ac:dyDescent="0.25">
      <c r="A5" s="116"/>
      <c r="B5" s="114"/>
      <c r="C5" s="114"/>
      <c r="D5" s="114"/>
      <c r="E5" s="114"/>
      <c r="F5" s="114"/>
      <c r="G5" s="114"/>
      <c r="H5" s="114"/>
      <c r="I5" s="114"/>
      <c r="J5" s="114"/>
      <c r="K5" s="114"/>
      <c r="L5" s="117"/>
      <c r="M5" s="118"/>
      <c r="N5" s="119"/>
      <c r="O5" s="119"/>
      <c r="P5" s="119"/>
      <c r="Q5" s="119"/>
      <c r="R5" s="119"/>
      <c r="S5" s="119"/>
      <c r="T5" s="119"/>
      <c r="U5" s="119"/>
      <c r="V5" s="119"/>
      <c r="W5" s="119"/>
      <c r="X5" s="120"/>
      <c r="Y5" s="121"/>
      <c r="AJ5" s="122"/>
      <c r="AK5" s="121"/>
      <c r="AV5" s="122"/>
      <c r="AW5" s="121"/>
      <c r="BH5" s="122"/>
      <c r="BI5" s="121"/>
      <c r="BT5" s="122"/>
      <c r="BU5" s="116"/>
      <c r="BV5" s="114"/>
      <c r="BW5" s="114"/>
      <c r="BX5" s="114"/>
      <c r="BY5" s="114"/>
      <c r="BZ5" s="114"/>
      <c r="CA5" s="114"/>
      <c r="CB5" s="114"/>
      <c r="CC5" s="114"/>
      <c r="CD5" s="114"/>
      <c r="CE5" s="114"/>
      <c r="CF5" s="117"/>
      <c r="CR5" s="117"/>
    </row>
    <row r="6" spans="1:108" ht="15" customHeight="1" x14ac:dyDescent="0.25">
      <c r="A6" s="123"/>
      <c r="B6" s="124"/>
      <c r="C6" s="188"/>
      <c r="D6" s="124"/>
      <c r="E6" s="124"/>
      <c r="F6" s="124"/>
      <c r="G6" s="124"/>
      <c r="H6" s="125"/>
      <c r="I6" s="124"/>
      <c r="J6" s="124"/>
      <c r="K6" s="124"/>
      <c r="L6" s="126"/>
      <c r="M6" s="116"/>
      <c r="N6" s="114" t="s">
        <v>9</v>
      </c>
      <c r="O6" s="189">
        <v>28</v>
      </c>
      <c r="P6" s="114" t="s">
        <v>10</v>
      </c>
      <c r="Q6" s="114"/>
      <c r="R6" s="114"/>
      <c r="S6" s="190" t="s">
        <v>766</v>
      </c>
      <c r="T6" s="191">
        <f>10.61*10*1.33</f>
        <v>141.113</v>
      </c>
      <c r="U6" s="114" t="s">
        <v>634</v>
      </c>
      <c r="V6" s="329" t="s">
        <v>765</v>
      </c>
      <c r="W6" s="329"/>
      <c r="X6" s="330"/>
      <c r="Y6" s="121"/>
      <c r="AJ6" s="122"/>
      <c r="AK6" s="121"/>
      <c r="AV6" s="122"/>
      <c r="AW6" s="121"/>
      <c r="BH6" s="122"/>
      <c r="BI6" s="121"/>
      <c r="BT6" s="122"/>
      <c r="BU6" s="116"/>
      <c r="BV6" s="114"/>
      <c r="BW6" s="114"/>
      <c r="BX6" s="114"/>
      <c r="BY6" s="114"/>
      <c r="BZ6" s="114"/>
      <c r="CA6" s="114"/>
      <c r="CB6" s="114"/>
      <c r="CC6" s="114"/>
      <c r="CD6" s="114"/>
      <c r="CE6" s="114"/>
      <c r="CF6" s="117"/>
      <c r="CR6" s="117"/>
    </row>
    <row r="7" spans="1:108" ht="15" customHeight="1" x14ac:dyDescent="0.25">
      <c r="A7" s="123"/>
      <c r="B7" s="124"/>
      <c r="C7" s="188"/>
      <c r="D7" s="124"/>
      <c r="E7" s="124"/>
      <c r="F7" s="124"/>
      <c r="G7" s="124"/>
      <c r="H7" s="125"/>
      <c r="I7" s="124"/>
      <c r="J7" s="124"/>
      <c r="K7" s="124"/>
      <c r="L7" s="126"/>
      <c r="M7" s="116"/>
      <c r="N7" s="114" t="s">
        <v>26</v>
      </c>
      <c r="O7" s="189">
        <v>420</v>
      </c>
      <c r="P7" s="114" t="s">
        <v>10</v>
      </c>
      <c r="Q7" s="114"/>
      <c r="R7" s="114"/>
      <c r="S7" s="190" t="s">
        <v>635</v>
      </c>
      <c r="T7" s="191">
        <v>16</v>
      </c>
      <c r="U7" s="114" t="s">
        <v>636</v>
      </c>
      <c r="V7" s="329"/>
      <c r="W7" s="329"/>
      <c r="X7" s="330"/>
      <c r="Y7" s="121"/>
      <c r="AJ7" s="122"/>
      <c r="AK7" s="121"/>
      <c r="AV7" s="122"/>
      <c r="AW7" s="121"/>
      <c r="BH7" s="122"/>
      <c r="BI7" s="121"/>
      <c r="BT7" s="122"/>
      <c r="BU7" s="116"/>
      <c r="BV7" s="114"/>
      <c r="BW7" s="114"/>
      <c r="BX7" s="114"/>
      <c r="BY7" s="114"/>
      <c r="BZ7" s="114"/>
      <c r="CA7" s="114"/>
      <c r="CB7" s="114"/>
      <c r="CC7" s="114"/>
      <c r="CD7" s="114"/>
      <c r="CE7" s="114"/>
      <c r="CF7" s="117"/>
      <c r="CR7" s="117"/>
    </row>
    <row r="8" spans="1:108" ht="15" customHeight="1" x14ac:dyDescent="0.25">
      <c r="A8" s="123"/>
      <c r="B8" s="124"/>
      <c r="C8" s="188"/>
      <c r="D8" s="124"/>
      <c r="E8" s="124"/>
      <c r="F8" s="124"/>
      <c r="G8" s="124"/>
      <c r="H8" s="125"/>
      <c r="I8" s="124"/>
      <c r="J8" s="124"/>
      <c r="K8" s="124"/>
      <c r="L8" s="126"/>
      <c r="M8" s="116"/>
      <c r="N8" s="114" t="s">
        <v>11</v>
      </c>
      <c r="O8" s="192">
        <f>4700*SQRT(O6)</f>
        <v>24870.062324007155</v>
      </c>
      <c r="P8" s="193" t="s">
        <v>180</v>
      </c>
      <c r="Q8" s="114"/>
      <c r="R8" s="114"/>
      <c r="S8" s="190" t="s">
        <v>637</v>
      </c>
      <c r="T8" s="191">
        <v>24</v>
      </c>
      <c r="U8" s="114" t="s">
        <v>636</v>
      </c>
      <c r="V8" s="329"/>
      <c r="W8" s="329"/>
      <c r="X8" s="330"/>
      <c r="Y8" s="121"/>
      <c r="AJ8" s="122"/>
      <c r="AK8" s="121"/>
      <c r="AV8" s="122"/>
      <c r="AW8" s="121"/>
      <c r="BH8" s="122"/>
      <c r="BI8" s="121"/>
      <c r="BT8" s="122"/>
      <c r="BU8" s="116"/>
      <c r="BV8" s="114"/>
      <c r="BW8" s="114"/>
      <c r="BX8" s="114"/>
      <c r="BY8" s="114"/>
      <c r="BZ8" s="114"/>
      <c r="CA8" s="114"/>
      <c r="CB8" s="114"/>
      <c r="CC8" s="114"/>
      <c r="CD8" s="114"/>
      <c r="CE8" s="114"/>
      <c r="CF8" s="117"/>
      <c r="CR8" s="117"/>
    </row>
    <row r="9" spans="1:108" ht="15" customHeight="1" x14ac:dyDescent="0.25">
      <c r="A9" s="123"/>
      <c r="B9" s="124"/>
      <c r="C9" s="188"/>
      <c r="D9" s="124"/>
      <c r="E9" s="124"/>
      <c r="F9" s="124"/>
      <c r="G9" s="124"/>
      <c r="H9" s="125"/>
      <c r="I9" s="124"/>
      <c r="J9" s="124"/>
      <c r="K9" s="124"/>
      <c r="L9" s="126"/>
      <c r="M9" s="127"/>
      <c r="N9" s="128"/>
      <c r="O9" s="129"/>
      <c r="P9" s="128"/>
      <c r="Q9" s="128"/>
      <c r="R9" s="128"/>
      <c r="S9" s="128"/>
      <c r="T9" s="130"/>
      <c r="U9" s="128"/>
      <c r="V9" s="128"/>
      <c r="W9" s="128"/>
      <c r="X9" s="131"/>
      <c r="Y9" s="121"/>
      <c r="AF9" s="124"/>
      <c r="AG9" s="124"/>
      <c r="AH9" s="124"/>
      <c r="AI9" s="124"/>
      <c r="AJ9" s="126"/>
      <c r="AK9" s="331" t="s">
        <v>638</v>
      </c>
      <c r="AL9" s="332" t="s">
        <v>639</v>
      </c>
      <c r="AM9" s="333"/>
      <c r="AN9" s="333"/>
      <c r="AO9" s="333"/>
      <c r="AP9" s="333"/>
      <c r="AQ9" s="333"/>
      <c r="AR9" s="333" t="s">
        <v>640</v>
      </c>
      <c r="AS9" s="336"/>
      <c r="AT9" s="333"/>
      <c r="AU9" s="333"/>
      <c r="AV9" s="336"/>
      <c r="AW9" s="331" t="s">
        <v>638</v>
      </c>
      <c r="AX9" s="338" t="s">
        <v>641</v>
      </c>
      <c r="AY9" s="338"/>
      <c r="AZ9" s="338"/>
      <c r="BA9" s="338"/>
      <c r="BB9" s="338"/>
      <c r="BC9" s="338"/>
      <c r="BD9" s="338"/>
      <c r="BE9" s="338"/>
      <c r="BF9" s="338"/>
      <c r="BG9" s="338"/>
      <c r="BH9" s="122"/>
      <c r="BI9" s="338" t="s">
        <v>642</v>
      </c>
      <c r="BJ9" s="338" t="s">
        <v>643</v>
      </c>
      <c r="BK9" s="338"/>
      <c r="BL9" s="338"/>
      <c r="BM9" s="338"/>
      <c r="BN9" s="338"/>
      <c r="BO9" s="338"/>
      <c r="BP9" s="338"/>
      <c r="BQ9" s="338"/>
      <c r="BR9" s="338"/>
      <c r="BS9" s="338"/>
      <c r="BT9" s="126"/>
      <c r="BU9" s="339" t="s">
        <v>642</v>
      </c>
      <c r="BV9" s="343" t="s">
        <v>643</v>
      </c>
      <c r="BW9" s="344"/>
      <c r="BX9" s="344"/>
      <c r="BY9" s="344"/>
      <c r="BZ9" s="345"/>
      <c r="CA9" s="124"/>
      <c r="CB9" s="124"/>
      <c r="CC9" s="124"/>
      <c r="CD9" s="124"/>
      <c r="CE9" s="124"/>
      <c r="CF9" s="126"/>
      <c r="CG9" s="346" t="s">
        <v>642</v>
      </c>
      <c r="CH9" s="347" t="s">
        <v>644</v>
      </c>
      <c r="CI9" s="347"/>
      <c r="CJ9" s="347"/>
      <c r="CK9" s="347"/>
      <c r="CL9" s="347"/>
      <c r="CM9" s="347"/>
      <c r="CN9" s="347"/>
      <c r="CO9" s="347"/>
      <c r="CP9" s="347"/>
      <c r="CR9" s="117"/>
      <c r="CS9" s="137"/>
      <c r="CT9" s="137"/>
      <c r="CU9" s="137"/>
      <c r="CV9" s="137"/>
      <c r="CW9" s="137"/>
      <c r="CX9" s="137"/>
    </row>
    <row r="10" spans="1:108" s="112" customFormat="1" ht="15" customHeight="1" x14ac:dyDescent="0.2">
      <c r="A10" s="123"/>
      <c r="B10" s="124"/>
      <c r="C10" s="188"/>
      <c r="D10" s="124"/>
      <c r="E10" s="124"/>
      <c r="F10" s="124"/>
      <c r="G10" s="124"/>
      <c r="H10" s="125"/>
      <c r="I10" s="124"/>
      <c r="J10" s="124"/>
      <c r="K10" s="124"/>
      <c r="L10" s="126"/>
      <c r="M10" s="331" t="s">
        <v>638</v>
      </c>
      <c r="N10" s="331" t="s">
        <v>290</v>
      </c>
      <c r="O10" s="348" t="s">
        <v>645</v>
      </c>
      <c r="P10" s="338" t="s">
        <v>646</v>
      </c>
      <c r="Q10" s="338"/>
      <c r="R10" s="338"/>
      <c r="S10" s="338"/>
      <c r="T10" s="338"/>
      <c r="U10" s="338" t="s">
        <v>647</v>
      </c>
      <c r="V10" s="338"/>
      <c r="W10" s="138" t="s">
        <v>648</v>
      </c>
      <c r="X10" s="138" t="s">
        <v>649</v>
      </c>
      <c r="Y10" s="331" t="s">
        <v>638</v>
      </c>
      <c r="Z10" s="331" t="s">
        <v>650</v>
      </c>
      <c r="AA10" s="331"/>
      <c r="AB10" s="331"/>
      <c r="AC10" s="331"/>
      <c r="AD10" s="338" t="s">
        <v>767</v>
      </c>
      <c r="AE10" s="338"/>
      <c r="AF10" s="338"/>
      <c r="AG10" s="338"/>
      <c r="AH10" s="331" t="s">
        <v>808</v>
      </c>
      <c r="AI10" s="331" t="s">
        <v>807</v>
      </c>
      <c r="AJ10" s="331"/>
      <c r="AK10" s="331"/>
      <c r="AL10" s="334"/>
      <c r="AM10" s="335"/>
      <c r="AN10" s="335"/>
      <c r="AO10" s="335"/>
      <c r="AP10" s="335"/>
      <c r="AQ10" s="335"/>
      <c r="AR10" s="335"/>
      <c r="AS10" s="337"/>
      <c r="AT10" s="335"/>
      <c r="AU10" s="335"/>
      <c r="AV10" s="337"/>
      <c r="AW10" s="331"/>
      <c r="AX10" s="338" t="s">
        <v>652</v>
      </c>
      <c r="AY10" s="338"/>
      <c r="AZ10" s="338"/>
      <c r="BA10" s="338"/>
      <c r="BB10" s="338"/>
      <c r="BC10" s="338"/>
      <c r="BD10" s="338"/>
      <c r="BE10" s="338"/>
      <c r="BF10" s="338"/>
      <c r="BG10" s="338"/>
      <c r="BH10" s="139"/>
      <c r="BI10" s="338"/>
      <c r="BJ10" s="338" t="s">
        <v>708</v>
      </c>
      <c r="BK10" s="338"/>
      <c r="BL10" s="338"/>
      <c r="BM10" s="338"/>
      <c r="BN10" s="338" t="s">
        <v>656</v>
      </c>
      <c r="BO10" s="338"/>
      <c r="BP10" s="338"/>
      <c r="BQ10" s="338"/>
      <c r="BR10" s="338"/>
      <c r="BS10" s="338"/>
      <c r="BT10" s="139"/>
      <c r="BU10" s="340"/>
      <c r="BV10" s="338" t="s">
        <v>656</v>
      </c>
      <c r="BW10" s="338"/>
      <c r="BX10" s="338"/>
      <c r="BY10" s="338" t="s">
        <v>658</v>
      </c>
      <c r="BZ10" s="338" t="s">
        <v>660</v>
      </c>
      <c r="CA10" s="124"/>
      <c r="CB10" s="124"/>
      <c r="CC10" s="124"/>
      <c r="CD10" s="124"/>
      <c r="CE10" s="124"/>
      <c r="CF10" s="126"/>
      <c r="CG10" s="346"/>
      <c r="CH10" s="331" t="s">
        <v>657</v>
      </c>
      <c r="CI10" s="331" t="s">
        <v>139</v>
      </c>
      <c r="CJ10" s="331" t="s">
        <v>658</v>
      </c>
      <c r="CK10" s="331" t="s">
        <v>659</v>
      </c>
      <c r="CL10" s="338" t="s">
        <v>660</v>
      </c>
      <c r="CM10" s="338" t="s">
        <v>656</v>
      </c>
      <c r="CN10" s="338"/>
      <c r="CO10" s="338"/>
      <c r="CP10" s="338"/>
      <c r="CR10" s="139"/>
      <c r="CS10" s="137"/>
      <c r="CT10" s="331" t="s">
        <v>638</v>
      </c>
      <c r="CU10" s="331" t="s">
        <v>290</v>
      </c>
      <c r="CV10" s="140"/>
      <c r="CW10" s="140"/>
      <c r="CX10" s="331" t="s">
        <v>653</v>
      </c>
      <c r="CY10" s="331" t="s">
        <v>654</v>
      </c>
      <c r="DC10" s="331" t="s">
        <v>653</v>
      </c>
      <c r="DD10" s="331" t="s">
        <v>654</v>
      </c>
    </row>
    <row r="11" spans="1:108" ht="15" customHeight="1" x14ac:dyDescent="0.25">
      <c r="A11" s="123"/>
      <c r="B11" s="124"/>
      <c r="C11" s="188"/>
      <c r="D11" s="124"/>
      <c r="E11" s="124"/>
      <c r="F11" s="124"/>
      <c r="G11" s="124"/>
      <c r="H11" s="125"/>
      <c r="I11" s="124"/>
      <c r="J11" s="124"/>
      <c r="K11" s="124"/>
      <c r="L11" s="126"/>
      <c r="M11" s="331"/>
      <c r="N11" s="331"/>
      <c r="O11" s="348"/>
      <c r="P11" s="138" t="s">
        <v>255</v>
      </c>
      <c r="Q11" s="138" t="s">
        <v>256</v>
      </c>
      <c r="R11" s="138" t="s">
        <v>661</v>
      </c>
      <c r="S11" s="138" t="s">
        <v>662</v>
      </c>
      <c r="T11" s="141" t="s">
        <v>663</v>
      </c>
      <c r="U11" s="141" t="s">
        <v>313</v>
      </c>
      <c r="V11" s="132" t="s">
        <v>314</v>
      </c>
      <c r="W11" s="132" t="s">
        <v>664</v>
      </c>
      <c r="X11" s="132" t="s">
        <v>665</v>
      </c>
      <c r="Y11" s="331"/>
      <c r="Z11" s="132" t="s">
        <v>666</v>
      </c>
      <c r="AA11" s="132" t="s">
        <v>667</v>
      </c>
      <c r="AB11" s="132" t="s">
        <v>668</v>
      </c>
      <c r="AC11" s="132" t="s">
        <v>669</v>
      </c>
      <c r="AD11" s="132" t="s">
        <v>670</v>
      </c>
      <c r="AE11" s="132" t="s">
        <v>671</v>
      </c>
      <c r="AF11" s="332" t="s">
        <v>761</v>
      </c>
      <c r="AG11" s="336" t="s">
        <v>762</v>
      </c>
      <c r="AH11" s="331"/>
      <c r="AI11" s="331"/>
      <c r="AJ11" s="331"/>
      <c r="AK11" s="331"/>
      <c r="AL11" s="132" t="s">
        <v>677</v>
      </c>
      <c r="AM11" s="132" t="s">
        <v>678</v>
      </c>
      <c r="AN11" s="132" t="s">
        <v>679</v>
      </c>
      <c r="AO11" s="132" t="s">
        <v>680</v>
      </c>
      <c r="AP11" s="338" t="s">
        <v>660</v>
      </c>
      <c r="AQ11" s="338" t="s">
        <v>313</v>
      </c>
      <c r="AR11" s="132" t="s">
        <v>681</v>
      </c>
      <c r="AS11" s="132" t="s">
        <v>682</v>
      </c>
      <c r="AT11" s="135" t="s">
        <v>683</v>
      </c>
      <c r="AU11" s="132" t="s">
        <v>684</v>
      </c>
      <c r="AV11" s="338" t="s">
        <v>660</v>
      </c>
      <c r="AW11" s="331"/>
      <c r="AX11" s="142" t="s">
        <v>685</v>
      </c>
      <c r="AY11" s="142" t="s">
        <v>413</v>
      </c>
      <c r="AZ11" s="341" t="s">
        <v>414</v>
      </c>
      <c r="BA11" s="142" t="s">
        <v>415</v>
      </c>
      <c r="BB11" s="341" t="s">
        <v>394</v>
      </c>
      <c r="BC11" s="341" t="s">
        <v>416</v>
      </c>
      <c r="BD11" s="142" t="s">
        <v>686</v>
      </c>
      <c r="BE11" s="341" t="s">
        <v>660</v>
      </c>
      <c r="BF11" s="142" t="s">
        <v>687</v>
      </c>
      <c r="BG11" s="342" t="s">
        <v>688</v>
      </c>
      <c r="BH11" s="122"/>
      <c r="BI11" s="338"/>
      <c r="BJ11" s="132" t="s">
        <v>54</v>
      </c>
      <c r="BK11" s="132" t="s">
        <v>726</v>
      </c>
      <c r="BL11" s="132" t="s">
        <v>693</v>
      </c>
      <c r="BM11" s="132" t="s">
        <v>694</v>
      </c>
      <c r="BN11" s="338" t="s">
        <v>416</v>
      </c>
      <c r="BO11" s="338" t="s">
        <v>695</v>
      </c>
      <c r="BP11" s="338"/>
      <c r="BQ11" s="132" t="s">
        <v>727</v>
      </c>
      <c r="BR11" s="132" t="s">
        <v>139</v>
      </c>
      <c r="BS11" s="338" t="s">
        <v>660</v>
      </c>
      <c r="BT11" s="122"/>
      <c r="BU11" s="340"/>
      <c r="BV11" s="132" t="s">
        <v>727</v>
      </c>
      <c r="BW11" s="132" t="s">
        <v>139</v>
      </c>
      <c r="BX11" s="338" t="s">
        <v>660</v>
      </c>
      <c r="BY11" s="338"/>
      <c r="BZ11" s="338"/>
      <c r="CA11" s="124"/>
      <c r="CB11" s="124"/>
      <c r="CC11" s="124"/>
      <c r="CD11" s="124"/>
      <c r="CE11" s="124"/>
      <c r="CF11" s="126"/>
      <c r="CG11" s="346"/>
      <c r="CH11" s="331"/>
      <c r="CI11" s="331"/>
      <c r="CJ11" s="331"/>
      <c r="CK11" s="331"/>
      <c r="CL11" s="338"/>
      <c r="CM11" s="132" t="s">
        <v>694</v>
      </c>
      <c r="CN11" s="338" t="s">
        <v>416</v>
      </c>
      <c r="CO11" s="338" t="s">
        <v>695</v>
      </c>
      <c r="CP11" s="338"/>
      <c r="CR11" s="117"/>
      <c r="CT11" s="331"/>
      <c r="CU11" s="331"/>
      <c r="CV11" s="132" t="s">
        <v>667</v>
      </c>
      <c r="CW11" s="134" t="s">
        <v>669</v>
      </c>
      <c r="CX11" s="331"/>
      <c r="CY11" s="331"/>
      <c r="DC11" s="331"/>
      <c r="DD11" s="331"/>
    </row>
    <row r="12" spans="1:108" ht="15" customHeight="1" x14ac:dyDescent="0.25">
      <c r="A12" s="123"/>
      <c r="B12" s="124"/>
      <c r="C12" s="188"/>
      <c r="D12" s="124"/>
      <c r="E12" s="124"/>
      <c r="F12" s="124"/>
      <c r="G12" s="124"/>
      <c r="H12" s="125"/>
      <c r="I12" s="124"/>
      <c r="J12" s="124"/>
      <c r="K12" s="124"/>
      <c r="L12" s="126"/>
      <c r="M12" s="331"/>
      <c r="N12" s="331"/>
      <c r="O12" s="348"/>
      <c r="P12" s="138" t="s">
        <v>95</v>
      </c>
      <c r="Q12" s="138" t="s">
        <v>95</v>
      </c>
      <c r="R12" s="138" t="s">
        <v>95</v>
      </c>
      <c r="S12" s="138" t="s">
        <v>411</v>
      </c>
      <c r="T12" s="141" t="s">
        <v>411</v>
      </c>
      <c r="U12" s="141" t="s">
        <v>101</v>
      </c>
      <c r="V12" s="132" t="s">
        <v>101</v>
      </c>
      <c r="W12" s="138" t="s">
        <v>95</v>
      </c>
      <c r="X12" s="138" t="s">
        <v>95</v>
      </c>
      <c r="Y12" s="331"/>
      <c r="Z12" s="132" t="s">
        <v>101</v>
      </c>
      <c r="AA12" s="132" t="s">
        <v>101</v>
      </c>
      <c r="AB12" s="132" t="s">
        <v>101</v>
      </c>
      <c r="AC12" s="132" t="s">
        <v>101</v>
      </c>
      <c r="AD12" s="132" t="s">
        <v>101</v>
      </c>
      <c r="AE12" s="132" t="s">
        <v>101</v>
      </c>
      <c r="AF12" s="334"/>
      <c r="AG12" s="337"/>
      <c r="AH12" s="331"/>
      <c r="AI12" s="132" t="s">
        <v>147</v>
      </c>
      <c r="AJ12" s="132" t="s">
        <v>53</v>
      </c>
      <c r="AK12" s="331"/>
      <c r="AL12" s="132" t="s">
        <v>95</v>
      </c>
      <c r="AM12" s="132" t="s">
        <v>95</v>
      </c>
      <c r="AN12" s="132" t="s">
        <v>95</v>
      </c>
      <c r="AO12" s="132" t="s">
        <v>95</v>
      </c>
      <c r="AP12" s="338"/>
      <c r="AQ12" s="338"/>
      <c r="AR12" s="132" t="s">
        <v>95</v>
      </c>
      <c r="AS12" s="132" t="s">
        <v>95</v>
      </c>
      <c r="AT12" s="135" t="s">
        <v>95</v>
      </c>
      <c r="AU12" s="132" t="s">
        <v>95</v>
      </c>
      <c r="AV12" s="338"/>
      <c r="AW12" s="331"/>
      <c r="AX12" s="132" t="s">
        <v>411</v>
      </c>
      <c r="AY12" s="132" t="s">
        <v>634</v>
      </c>
      <c r="AZ12" s="338"/>
      <c r="BA12" s="132" t="s">
        <v>309</v>
      </c>
      <c r="BB12" s="338"/>
      <c r="BC12" s="338"/>
      <c r="BD12" s="132" t="s">
        <v>309</v>
      </c>
      <c r="BE12" s="338"/>
      <c r="BF12" s="132" t="s">
        <v>101</v>
      </c>
      <c r="BG12" s="331"/>
      <c r="BH12" s="122"/>
      <c r="BI12" s="338"/>
      <c r="BJ12" s="132" t="s">
        <v>101</v>
      </c>
      <c r="BK12" s="132" t="s">
        <v>729</v>
      </c>
      <c r="BL12" s="132" t="s">
        <v>95</v>
      </c>
      <c r="BM12" s="132" t="s">
        <v>309</v>
      </c>
      <c r="BN12" s="338"/>
      <c r="BO12" s="338"/>
      <c r="BP12" s="338"/>
      <c r="BQ12" s="132" t="s">
        <v>309</v>
      </c>
      <c r="BR12" s="132" t="s">
        <v>95</v>
      </c>
      <c r="BS12" s="338"/>
      <c r="BT12" s="122"/>
      <c r="BU12" s="341"/>
      <c r="BV12" s="132" t="s">
        <v>309</v>
      </c>
      <c r="BW12" s="132" t="s">
        <v>95</v>
      </c>
      <c r="BX12" s="338"/>
      <c r="BY12" s="132" t="s">
        <v>634</v>
      </c>
      <c r="BZ12" s="338"/>
      <c r="CA12" s="124"/>
      <c r="CB12" s="124"/>
      <c r="CC12" s="124"/>
      <c r="CD12" s="124"/>
      <c r="CE12" s="124"/>
      <c r="CF12" s="126"/>
      <c r="CG12" s="346"/>
      <c r="CH12" s="136" t="s">
        <v>411</v>
      </c>
      <c r="CI12" s="136" t="s">
        <v>95</v>
      </c>
      <c r="CJ12" s="136" t="s">
        <v>634</v>
      </c>
      <c r="CK12" s="136" t="s">
        <v>634</v>
      </c>
      <c r="CL12" s="338"/>
      <c r="CM12" s="132" t="s">
        <v>309</v>
      </c>
      <c r="CN12" s="338"/>
      <c r="CO12" s="338"/>
      <c r="CP12" s="338"/>
      <c r="CR12" s="117"/>
      <c r="CT12" s="331"/>
      <c r="CU12" s="331"/>
      <c r="CV12" s="132" t="s">
        <v>101</v>
      </c>
      <c r="CW12" s="134" t="s">
        <v>101</v>
      </c>
      <c r="CX12" s="331"/>
      <c r="CY12" s="331"/>
      <c r="DC12" s="331"/>
      <c r="DD12" s="331"/>
    </row>
    <row r="13" spans="1:108" ht="15" customHeight="1" x14ac:dyDescent="0.25">
      <c r="A13" s="123"/>
      <c r="B13" s="124"/>
      <c r="C13" s="188"/>
      <c r="D13" s="124"/>
      <c r="E13" s="124"/>
      <c r="F13" s="124"/>
      <c r="G13" s="124"/>
      <c r="H13" s="125"/>
      <c r="I13" s="124"/>
      <c r="J13" s="124"/>
      <c r="K13" s="124"/>
      <c r="L13" s="126"/>
      <c r="M13" s="349" t="str">
        <f>Y13</f>
        <v>Z1</v>
      </c>
      <c r="N13" s="143">
        <v>233</v>
      </c>
      <c r="O13" s="144" t="s">
        <v>803</v>
      </c>
      <c r="P13" s="145">
        <v>51.249499999999998</v>
      </c>
      <c r="Q13" s="145">
        <v>5.3667999999999996</v>
      </c>
      <c r="R13" s="145">
        <v>340.64440000000002</v>
      </c>
      <c r="S13" s="145">
        <v>42.111400000000003</v>
      </c>
      <c r="T13" s="145">
        <v>141.01429999999999</v>
      </c>
      <c r="U13" s="145">
        <v>0.4</v>
      </c>
      <c r="V13" s="146">
        <f t="shared" ref="V13:V36" si="0">+U13-0.075</f>
        <v>0.32500000000000001</v>
      </c>
      <c r="W13" s="147">
        <f>(AA13*AC13*U13+W51*X51*(U51-U13))*$T$8</f>
        <v>84.768000000000015</v>
      </c>
      <c r="X13" s="147">
        <f>(AA13*AC13-W51*X51)*(U51-U13)*$T$7</f>
        <v>176.76800000000003</v>
      </c>
      <c r="Y13" s="349" t="s">
        <v>698</v>
      </c>
      <c r="Z13" s="148">
        <f t="shared" ref="Z13:Z36" si="1">IF(O13="Medianera",3*W51/2,MAX(6*AE13,SQRT(N51/$T$6),1))</f>
        <v>2.0657596751069458</v>
      </c>
      <c r="AA13" s="149">
        <v>2.7</v>
      </c>
      <c r="AB13" s="148">
        <f>IF(O13="Medianera",2*N51/(AA13*$T$6),MAX(Z13,AD13*6,1))</f>
        <v>2.0657596751069458</v>
      </c>
      <c r="AC13" s="149">
        <v>2.7</v>
      </c>
      <c r="AD13" s="150">
        <f>P51/N51</f>
        <v>0.23417284919934286</v>
      </c>
      <c r="AE13" s="150">
        <f t="shared" ref="AE13:AE36" si="2">O51/N51</f>
        <v>6.9931535466780381E-2</v>
      </c>
      <c r="AF13" s="53" t="str">
        <f>IF(AD13&gt;AC13/6,"N/C","OK")</f>
        <v>OK</v>
      </c>
      <c r="AG13" s="53" t="str">
        <f>IF(AE13&gt;AA13/6,"N/C","OK")</f>
        <v>OK</v>
      </c>
      <c r="AH13" s="155" t="str">
        <f>O13</f>
        <v>Esquinera</v>
      </c>
      <c r="AI13" s="153">
        <f>IF(OR(AH13="L",AH13="Esquinera"),AC13-X51/2,AC13/2)</f>
        <v>2.5250000000000004</v>
      </c>
      <c r="AJ13" s="153">
        <f>IF(OR(AH13="B",AH13="Esquinera"),AA13-W51/2,AA13/2)</f>
        <v>2.1500000000000004</v>
      </c>
      <c r="AK13" s="349" t="str">
        <f>Y13</f>
        <v>Z1</v>
      </c>
      <c r="AL13" s="153">
        <f t="shared" ref="AL13:AL36" si="3">N51/(AA13*AC13)*(AA13*AC13-(W51-V13)*(X51-V13))</f>
        <v>600.57995483539105</v>
      </c>
      <c r="AM13" s="153">
        <f t="shared" ref="AM13:AM36" si="4">0.75*0.17*(1+2/R51)*SQRT($O$6)*T51*V13*(1000^2)/(10^3)</f>
        <v>1506.9598160707758</v>
      </c>
      <c r="AN13" s="153">
        <f t="shared" ref="AN13:AN36" si="5">0.75*0.083*(Q51*V13/T51+2)*SQRT($O$6)*T51*V13*(1000^2)/(10^3)</f>
        <v>1595.1003151168702</v>
      </c>
      <c r="AO13" s="153">
        <f t="shared" ref="AO13:AO36" si="6">0.75*0.33*SQRT($O$6)*T51*V13*(1000^2)/(10^3)</f>
        <v>1787.6680171035673</v>
      </c>
      <c r="AP13" s="53" t="str">
        <f t="shared" ref="AP13:AP36" si="7">IF(AL13&lt;MIN(AM13:AO13),"OK","N/C")</f>
        <v>OK</v>
      </c>
      <c r="AQ13" s="153">
        <f t="shared" ref="AQ13:AQ36" si="8">IF(AP13&lt;&gt;"OK",AL13*10^3/(1000^2*0.75*0.33*SQRT($O$6)*T51)+0.075,V13+0.075)</f>
        <v>0.4</v>
      </c>
      <c r="AR13" s="150">
        <f t="shared" ref="AR13:AR36" si="9">+N51/AA13*((AA13-W51)/2-V13)</f>
        <v>105.93914444444445</v>
      </c>
      <c r="AS13" s="153">
        <f t="shared" ref="AS13:AS36" si="10">+N51/AC13*((AC13-X51)/2-V13)</f>
        <v>189.57531111111112</v>
      </c>
      <c r="AT13" s="154">
        <f t="shared" ref="AT13:AT36" si="11">0.75*0.17*SQRT($O$6)*AA13*V13*(1000^2/10^3)</f>
        <v>592.01992774209054</v>
      </c>
      <c r="AU13" s="153">
        <f t="shared" ref="AU13:AU36" si="12">0.75*0.17*SQRT($O$6)*AC13*V13*(1000^2/10^3)</f>
        <v>592.01992774209054</v>
      </c>
      <c r="AV13" s="53" t="str">
        <f t="shared" ref="AV13:AV36" si="13">IF(AND(AR13&lt;AT13,AS13&lt;AU13),"OK","N/C")</f>
        <v>OK</v>
      </c>
      <c r="AW13" s="349" t="str">
        <f>AK13</f>
        <v>Z1</v>
      </c>
      <c r="AX13" s="153">
        <f t="shared" ref="AX13:AX36" si="14">SUM(N51/(2*AA13)*(AA13/2-W51/2)^2,P51)</f>
        <v>212.3838288888889</v>
      </c>
      <c r="AY13" s="153">
        <f t="shared" ref="AY13:AY36" si="15">AX13/(0.9*AA13*V13^2)</f>
        <v>827.46274678506381</v>
      </c>
      <c r="AZ13" s="150">
        <f t="shared" ref="AZ13:AZ36" si="16">MAX(0.85*$O$6/$O$7*(1-SQRT(1-2*AY13/(0.85*$O$6*10^3))),0.0018)</f>
        <v>2.0056429589799959E-3</v>
      </c>
      <c r="BA13" s="148">
        <f t="shared" ref="BA13:BA36" si="17">+AZ13*AA13*V13*100^2</f>
        <v>17.599516965049464</v>
      </c>
      <c r="BB13" s="144">
        <v>5</v>
      </c>
      <c r="BC13" s="144">
        <v>13</v>
      </c>
      <c r="BD13" s="155">
        <f t="shared" ref="BD13:BD36" si="18">VLOOKUP(BB13,$N$91:$T$102,7,)*BC13</f>
        <v>25.87</v>
      </c>
      <c r="BE13" s="53" t="str">
        <f t="shared" ref="BE13:BE36" si="19">IF(BD13&gt;=BA13,"OK","N/C")</f>
        <v>OK</v>
      </c>
      <c r="BF13" s="148">
        <f t="shared" ref="BF13:BF36" si="20">ROUND((AA13-2*0.075)/BC13,2)</f>
        <v>0.2</v>
      </c>
      <c r="BG13" s="155" t="str">
        <f t="shared" ref="BG13:BG36" si="21">BC13&amp;"#"&amp;BB13&amp;"@"&amp;ROUNDDOWN(BF13*100/5,0)*5</f>
        <v>13#5@20</v>
      </c>
      <c r="BH13" s="197">
        <f t="shared" ref="BH13:BH36" si="22">BA13/BD13</f>
        <v>0.68030602879974733</v>
      </c>
      <c r="BI13" s="349" t="str">
        <f>AW13</f>
        <v>Z1</v>
      </c>
      <c r="BJ13" s="155">
        <f t="shared" ref="BJ13:BJ36" si="23">IF(AQ51="SÍ",U51-U13-AU51/2,0)</f>
        <v>1.3250000000000002</v>
      </c>
      <c r="BK13" s="153">
        <f t="shared" ref="BK13:BK36" si="24">IF(AQ51="SÍ",O51,0)</f>
        <v>42.111400000000003</v>
      </c>
      <c r="BL13" s="153">
        <f t="shared" ref="BL13:BL36" si="25">IF(AQ51="SÍ",(N51*(AA13-W51)-2*BK13)/(2*(BJ13+U13)),0)</f>
        <v>254.85966376811598</v>
      </c>
      <c r="BM13" s="153">
        <f t="shared" ref="BM13:BM36" si="26">MAX(0.0033*2*AV51*(AT51-0.04)*100^2,0.0033*AV51*AT51*100^2,BL13*100^2/(0.9*10^3*$O$7))</f>
        <v>9.2317499999999999</v>
      </c>
      <c r="BN13" s="144">
        <v>8</v>
      </c>
      <c r="BO13" s="155" t="s">
        <v>191</v>
      </c>
      <c r="BP13" s="144">
        <v>5</v>
      </c>
      <c r="BQ13" s="153">
        <f t="shared" ref="BQ13:BQ36" si="27">BN13*VLOOKUP(BP13,$N$91:$T$102,7,)</f>
        <v>15.92</v>
      </c>
      <c r="BR13" s="153">
        <f t="shared" ref="BR13:BR36" si="28">0.9*$O$7*BQ13*10^3/(100^2)</f>
        <v>601.77599999999995</v>
      </c>
      <c r="BS13" s="53" t="str">
        <f t="shared" ref="BS13:BS36" si="29">IF(AND(BR13&gt;=BL13,BQ13&gt;=BM13),"OK","N/C")</f>
        <v>OK</v>
      </c>
      <c r="BT13" s="122"/>
      <c r="BU13" s="349" t="str">
        <f>BI13</f>
        <v>Z1</v>
      </c>
      <c r="BV13" s="153">
        <f t="shared" ref="BV13:BV36" si="30">BR51*VLOOKUP(BT51,$N$91:$T$102,7,)</f>
        <v>15.92</v>
      </c>
      <c r="BW13" s="153">
        <f t="shared" ref="BW13:BW36" si="31">0.9*$O$7*BV13*10^3/(100^2)</f>
        <v>601.77599999999995</v>
      </c>
      <c r="BX13" s="155" t="str">
        <f t="shared" ref="BX13:BX36" si="32">IF(AND(BW13&gt;=BP51,BV13&gt;=BQ51),"OK","N/C")</f>
        <v>OK</v>
      </c>
      <c r="BY13" s="153">
        <f t="shared" ref="BY13:BY36" si="33">N51/(AA13*AC13)+BM51*BO51^2*BJ13^2*AA13*BP51/(6*10^3*$O$8*V51)</f>
        <v>92.694367835899712</v>
      </c>
      <c r="BZ13" s="53" t="str">
        <f t="shared" ref="BZ13:BZ36" si="34">IF(AND(BY13&lt;=$T$6,BY13&gt;0),"OK","N/C")</f>
        <v>OK</v>
      </c>
      <c r="CF13" s="122"/>
      <c r="CG13" s="349" t="str">
        <f>BU13</f>
        <v>Z1</v>
      </c>
      <c r="CH13" s="153">
        <f t="shared" ref="CH13:CH36" si="35">SQRT(O51^2+P51^2)</f>
        <v>147.16794085142999</v>
      </c>
      <c r="CI13" s="153">
        <f t="shared" ref="CI13:CI36" si="36">IF(AQ51="SÍ",(N51*(AA13-W51)/2*SQRT(2)/2-CH13)/(BJ13+U13+BM51*BO51^2*BJ13^2*AA13^4/(36*10^3*$O$8*V51)),0)</f>
        <v>101.26378628863581</v>
      </c>
      <c r="CJ13" s="150">
        <f t="shared" ref="CJ13:CJ36" si="37">IF(O13="Esquinera",N51/(AA13^2)+BM51*AA13*SQRT(2)*BO51^2*AC13^2*CI13/(6*10^3*$O$8*V51),0)</f>
        <v>116.25109128525212</v>
      </c>
      <c r="CK13" s="150">
        <f t="shared" ref="CK13:CK36" si="38">IF(O13="Esquinera",N51/(AA13^2)-BM51*AA13*SQRT(2)*BO51^2*AC13^2*CI13/(6*10^3*$O$8*V51),0)</f>
        <v>48.956151513101801</v>
      </c>
      <c r="CL13" s="53" t="str">
        <f t="shared" ref="CL13:CL36" si="39">IF(AND(CJ13&lt;=$T$6,CK13&gt;=0),"OK","N/C")</f>
        <v>OK</v>
      </c>
      <c r="CM13" s="158">
        <f t="shared" ref="CM13:CM36" si="40">BQ51</f>
        <v>9.2317499999999999</v>
      </c>
      <c r="CN13" s="144">
        <v>8</v>
      </c>
      <c r="CO13" s="155" t="s">
        <v>191</v>
      </c>
      <c r="CP13" s="144">
        <v>5</v>
      </c>
      <c r="CR13" s="117"/>
      <c r="CT13" s="349" t="str">
        <f>AW13</f>
        <v>Z1</v>
      </c>
      <c r="CU13" s="111">
        <f t="shared" ref="CU13:CU36" si="41">N13</f>
        <v>233</v>
      </c>
      <c r="CV13" s="156">
        <f t="shared" ref="CV13:CV36" si="42">AA13</f>
        <v>2.7</v>
      </c>
      <c r="CW13" s="156">
        <f t="shared" ref="CW13:CW36" si="43">AC13</f>
        <v>2.7</v>
      </c>
      <c r="CX13" s="140" t="str">
        <f t="shared" ref="CX13:CX36" si="44">BG13</f>
        <v>13#5@20</v>
      </c>
      <c r="CY13" s="140" t="str">
        <f t="shared" ref="CY13:CY36" si="45">BG51</f>
        <v>13#5@20</v>
      </c>
      <c r="DB13" s="349" t="s">
        <v>698</v>
      </c>
      <c r="DC13" s="349" t="s">
        <v>843</v>
      </c>
      <c r="DD13" s="349" t="s">
        <v>843</v>
      </c>
    </row>
    <row r="14" spans="1:108" ht="15" customHeight="1" x14ac:dyDescent="0.25">
      <c r="A14" s="123"/>
      <c r="B14" s="124"/>
      <c r="C14" s="188"/>
      <c r="D14" s="124"/>
      <c r="E14" s="124"/>
      <c r="F14" s="124"/>
      <c r="G14" s="124"/>
      <c r="H14" s="125"/>
      <c r="I14" s="124"/>
      <c r="J14" s="124"/>
      <c r="K14" s="124"/>
      <c r="L14" s="126"/>
      <c r="M14" s="350"/>
      <c r="N14" s="143">
        <v>233</v>
      </c>
      <c r="O14" s="144" t="s">
        <v>803</v>
      </c>
      <c r="P14" s="145">
        <v>9.6699999999999994E-2</v>
      </c>
      <c r="Q14" s="145">
        <v>13.6539</v>
      </c>
      <c r="R14" s="145">
        <v>285.69600000000003</v>
      </c>
      <c r="S14" s="145">
        <v>27.907699999999998</v>
      </c>
      <c r="T14" s="145">
        <v>57.377299999999998</v>
      </c>
      <c r="U14" s="145">
        <v>0.4</v>
      </c>
      <c r="V14" s="146">
        <f t="shared" si="0"/>
        <v>0.32500000000000001</v>
      </c>
      <c r="W14" s="147">
        <f t="shared" ref="W14:W36" si="46">(AA14*AC14*U14+W52*X52*(U52-U14))*$T$8</f>
        <v>84.768000000000015</v>
      </c>
      <c r="X14" s="147">
        <f t="shared" ref="X14:X36" si="47">(AA14*AC14-W52*X52)*(U52-U14)*$T$7</f>
        <v>176.76800000000003</v>
      </c>
      <c r="Y14" s="350"/>
      <c r="Z14" s="148">
        <f t="shared" si="1"/>
        <v>1.9692562396518158</v>
      </c>
      <c r="AA14" s="149">
        <v>2.7</v>
      </c>
      <c r="AB14" s="148">
        <f t="shared" ref="AB14:AB36" si="48">IF(O14="Medianera",2*N52/(AA14*$T$6),MAX(Z14,AD14*6,1))</f>
        <v>1.9692562396518158</v>
      </c>
      <c r="AC14" s="149">
        <v>2.7</v>
      </c>
      <c r="AD14" s="150">
        <f t="shared" ref="AD14:AD36" si="49">P52/N52</f>
        <v>0.10485004531898717</v>
      </c>
      <c r="AE14" s="150">
        <f t="shared" si="2"/>
        <v>5.0997931407520014E-2</v>
      </c>
      <c r="AF14" s="53" t="str">
        <f t="shared" ref="AF14:AF36" si="50">IF(AD14&gt;AC14/6,"N/C","OK")</f>
        <v>OK</v>
      </c>
      <c r="AG14" s="53" t="str">
        <f t="shared" ref="AG14:AG36" si="51">IF(AE14&gt;AA14/6,"N/C","OK")</f>
        <v>OK</v>
      </c>
      <c r="AH14" s="155" t="str">
        <f t="shared" ref="AH14:AH36" si="52">O14</f>
        <v>Esquinera</v>
      </c>
      <c r="AI14" s="153">
        <f t="shared" ref="AI14:AI36" si="53">IF(OR(AH14="L",AH14="Esquinera"),AC14-X52/2,AC14/2)</f>
        <v>2.5250000000000004</v>
      </c>
      <c r="AJ14" s="153">
        <f t="shared" ref="AJ14:AJ36" si="54">IF(OR(AH14="B",AH14="Esquinera"),AA14-W52/2,AA14/2)</f>
        <v>2.1500000000000004</v>
      </c>
      <c r="AK14" s="350"/>
      <c r="AL14" s="153">
        <f t="shared" si="3"/>
        <v>545.77759396433476</v>
      </c>
      <c r="AM14" s="153">
        <f t="shared" si="4"/>
        <v>1506.9598160707758</v>
      </c>
      <c r="AN14" s="153">
        <f t="shared" si="5"/>
        <v>1595.1003151168702</v>
      </c>
      <c r="AO14" s="153">
        <f t="shared" si="6"/>
        <v>1787.6680171035673</v>
      </c>
      <c r="AP14" s="53" t="str">
        <f t="shared" si="7"/>
        <v>OK</v>
      </c>
      <c r="AQ14" s="153">
        <f t="shared" si="8"/>
        <v>0.4</v>
      </c>
      <c r="AR14" s="150">
        <f t="shared" si="9"/>
        <v>96.272296296296304</v>
      </c>
      <c r="AS14" s="153">
        <f t="shared" si="10"/>
        <v>172.27674074074076</v>
      </c>
      <c r="AT14" s="154">
        <f t="shared" si="11"/>
        <v>592.01992774209054</v>
      </c>
      <c r="AU14" s="153">
        <f t="shared" si="12"/>
        <v>592.01992774209054</v>
      </c>
      <c r="AV14" s="53" t="str">
        <f t="shared" si="13"/>
        <v>OK</v>
      </c>
      <c r="AW14" s="350"/>
      <c r="AX14" s="153">
        <f t="shared" si="14"/>
        <v>122.23442592592593</v>
      </c>
      <c r="AY14" s="153">
        <f t="shared" si="15"/>
        <v>476.23415755102991</v>
      </c>
      <c r="AZ14" s="150">
        <f t="shared" si="16"/>
        <v>1.8E-3</v>
      </c>
      <c r="BA14" s="148">
        <f t="shared" si="17"/>
        <v>15.795000000000002</v>
      </c>
      <c r="BB14" s="144">
        <v>5</v>
      </c>
      <c r="BC14" s="144">
        <v>13</v>
      </c>
      <c r="BD14" s="155">
        <f t="shared" si="18"/>
        <v>25.87</v>
      </c>
      <c r="BE14" s="53" t="str">
        <f t="shared" si="19"/>
        <v>OK</v>
      </c>
      <c r="BF14" s="148">
        <f t="shared" si="20"/>
        <v>0.2</v>
      </c>
      <c r="BG14" s="155" t="str">
        <f t="shared" si="21"/>
        <v>13#5@20</v>
      </c>
      <c r="BH14" s="197">
        <f t="shared" si="22"/>
        <v>0.61055276381909551</v>
      </c>
      <c r="BI14" s="350"/>
      <c r="BJ14" s="155">
        <f t="shared" si="23"/>
        <v>1.3250000000000002</v>
      </c>
      <c r="BK14" s="153">
        <f t="shared" si="24"/>
        <v>27.907699999999998</v>
      </c>
      <c r="BL14" s="153">
        <f t="shared" si="25"/>
        <v>237.61037681159425</v>
      </c>
      <c r="BM14" s="153">
        <f t="shared" si="26"/>
        <v>9.2317499999999999</v>
      </c>
      <c r="BN14" s="144">
        <v>8</v>
      </c>
      <c r="BO14" s="155" t="s">
        <v>191</v>
      </c>
      <c r="BP14" s="144">
        <v>5</v>
      </c>
      <c r="BQ14" s="153">
        <f t="shared" si="27"/>
        <v>15.92</v>
      </c>
      <c r="BR14" s="153">
        <f t="shared" si="28"/>
        <v>601.77599999999995</v>
      </c>
      <c r="BS14" s="53" t="str">
        <f t="shared" si="29"/>
        <v>OK</v>
      </c>
      <c r="BT14" s="122"/>
      <c r="BU14" s="350"/>
      <c r="BV14" s="153">
        <f t="shared" si="30"/>
        <v>15.92</v>
      </c>
      <c r="BW14" s="153">
        <f t="shared" si="31"/>
        <v>601.77599999999995</v>
      </c>
      <c r="BX14" s="155" t="str">
        <f t="shared" si="32"/>
        <v>OK</v>
      </c>
      <c r="BY14" s="153">
        <f t="shared" si="33"/>
        <v>86.331939800621214</v>
      </c>
      <c r="BZ14" s="53" t="str">
        <f t="shared" si="34"/>
        <v>OK</v>
      </c>
      <c r="CF14" s="122"/>
      <c r="CG14" s="350"/>
      <c r="CH14" s="153">
        <f t="shared" si="35"/>
        <v>63.804343696804843</v>
      </c>
      <c r="CI14" s="153">
        <f t="shared" si="36"/>
        <v>128.62666112752405</v>
      </c>
      <c r="CJ14" s="150">
        <f t="shared" si="37"/>
        <v>117.80559933286901</v>
      </c>
      <c r="CK14" s="150">
        <f t="shared" si="38"/>
        <v>32.326636606774336</v>
      </c>
      <c r="CL14" s="53" t="str">
        <f t="shared" si="39"/>
        <v>OK</v>
      </c>
      <c r="CM14" s="158">
        <f t="shared" si="40"/>
        <v>9.2317499999999999</v>
      </c>
      <c r="CN14" s="144">
        <v>8</v>
      </c>
      <c r="CO14" s="155" t="s">
        <v>191</v>
      </c>
      <c r="CP14" s="144">
        <v>5</v>
      </c>
      <c r="CR14" s="117"/>
      <c r="CT14" s="350"/>
      <c r="CU14" s="111">
        <f t="shared" si="41"/>
        <v>233</v>
      </c>
      <c r="CV14" s="156">
        <f t="shared" si="42"/>
        <v>2.7</v>
      </c>
      <c r="CW14" s="156">
        <f t="shared" si="43"/>
        <v>2.7</v>
      </c>
      <c r="CX14" s="140" t="str">
        <f t="shared" si="44"/>
        <v>13#5@20</v>
      </c>
      <c r="CY14" s="140" t="str">
        <f t="shared" si="45"/>
        <v>13#5@20</v>
      </c>
      <c r="DB14" s="350"/>
      <c r="DC14" s="350"/>
      <c r="DD14" s="350"/>
    </row>
    <row r="15" spans="1:108" ht="15" customHeight="1" x14ac:dyDescent="0.25">
      <c r="A15" s="123"/>
      <c r="B15" s="124"/>
      <c r="C15" s="188"/>
      <c r="D15" s="124"/>
      <c r="E15" s="124"/>
      <c r="F15" s="124"/>
      <c r="G15" s="124"/>
      <c r="H15" s="125"/>
      <c r="I15" s="124"/>
      <c r="J15" s="124"/>
      <c r="K15" s="124"/>
      <c r="L15" s="126"/>
      <c r="M15" s="349" t="str">
        <f>Y15</f>
        <v>Z2</v>
      </c>
      <c r="N15" s="143">
        <v>238</v>
      </c>
      <c r="O15" s="144" t="s">
        <v>802</v>
      </c>
      <c r="P15" s="145">
        <v>22.0029</v>
      </c>
      <c r="Q15" s="145">
        <v>2.4994999999999998</v>
      </c>
      <c r="R15" s="145">
        <v>554.11770000000001</v>
      </c>
      <c r="S15" s="145">
        <v>54.421999999999997</v>
      </c>
      <c r="T15" s="145">
        <v>91.715800000000002</v>
      </c>
      <c r="U15" s="145">
        <v>0.4</v>
      </c>
      <c r="V15" s="146">
        <f t="shared" si="0"/>
        <v>0.32500000000000001</v>
      </c>
      <c r="W15" s="147">
        <f t="shared" si="46"/>
        <v>95.136000000000024</v>
      </c>
      <c r="X15" s="147">
        <f t="shared" si="47"/>
        <v>204.41600000000005</v>
      </c>
      <c r="Y15" s="349" t="s">
        <v>838</v>
      </c>
      <c r="Z15" s="148">
        <f t="shared" si="1"/>
        <v>1.6500000000000001</v>
      </c>
      <c r="AA15" s="149">
        <v>2.7</v>
      </c>
      <c r="AB15" s="148">
        <f t="shared" si="48"/>
        <v>4.4811457904369254</v>
      </c>
      <c r="AC15" s="149">
        <v>3.1</v>
      </c>
      <c r="AD15" s="150">
        <f t="shared" si="49"/>
        <v>0.10743710360107663</v>
      </c>
      <c r="AE15" s="150">
        <f t="shared" si="2"/>
        <v>6.375065203790177E-2</v>
      </c>
      <c r="AF15" s="53" t="str">
        <f t="shared" si="50"/>
        <v>OK</v>
      </c>
      <c r="AG15" s="53" t="str">
        <f t="shared" si="51"/>
        <v>OK</v>
      </c>
      <c r="AH15" s="155" t="s">
        <v>147</v>
      </c>
      <c r="AI15" s="153">
        <f t="shared" si="53"/>
        <v>2.9250000000000003</v>
      </c>
      <c r="AJ15" s="153">
        <f t="shared" si="54"/>
        <v>1.35</v>
      </c>
      <c r="AK15" s="349" t="str">
        <f>Y15</f>
        <v>Z2</v>
      </c>
      <c r="AL15" s="153">
        <f t="shared" si="3"/>
        <v>851.69361273148149</v>
      </c>
      <c r="AM15" s="153">
        <f t="shared" si="4"/>
        <v>1506.9598160707758</v>
      </c>
      <c r="AN15" s="153">
        <f t="shared" si="5"/>
        <v>1943.0248804947107</v>
      </c>
      <c r="AO15" s="153">
        <f t="shared" si="6"/>
        <v>1787.6680171035673</v>
      </c>
      <c r="AP15" s="53" t="str">
        <f t="shared" si="7"/>
        <v>OK</v>
      </c>
      <c r="AQ15" s="153">
        <f t="shared" si="8"/>
        <v>0.4</v>
      </c>
      <c r="AR15" s="150">
        <f t="shared" si="9"/>
        <v>150.1826324074074</v>
      </c>
      <c r="AS15" s="153">
        <f t="shared" si="10"/>
        <v>289.14618870967746</v>
      </c>
      <c r="AT15" s="154">
        <f t="shared" si="11"/>
        <v>592.01992774209054</v>
      </c>
      <c r="AU15" s="153">
        <f t="shared" si="12"/>
        <v>679.72658370388172</v>
      </c>
      <c r="AV15" s="53" t="str">
        <f t="shared" si="13"/>
        <v>OK</v>
      </c>
      <c r="AW15" s="349" t="str">
        <f>AK15</f>
        <v>Z2</v>
      </c>
      <c r="AX15" s="153">
        <f t="shared" si="14"/>
        <v>192.89146814814816</v>
      </c>
      <c r="AY15" s="153">
        <f t="shared" si="15"/>
        <v>751.51910058450096</v>
      </c>
      <c r="AZ15" s="150">
        <f t="shared" si="16"/>
        <v>1.8185104287454081E-3</v>
      </c>
      <c r="BA15" s="148">
        <f t="shared" si="17"/>
        <v>15.957429012240958</v>
      </c>
      <c r="BB15" s="144">
        <v>5</v>
      </c>
      <c r="BC15" s="144">
        <v>13</v>
      </c>
      <c r="BD15" s="155">
        <f t="shared" si="18"/>
        <v>25.87</v>
      </c>
      <c r="BE15" s="53" t="str">
        <f t="shared" si="19"/>
        <v>OK</v>
      </c>
      <c r="BF15" s="148">
        <f t="shared" si="20"/>
        <v>0.2</v>
      </c>
      <c r="BG15" s="155" t="str">
        <f t="shared" si="21"/>
        <v>13#5@20</v>
      </c>
      <c r="BH15" s="197">
        <f t="shared" si="22"/>
        <v>0.61683142683575409</v>
      </c>
      <c r="BI15" s="349" t="str">
        <f>AW15</f>
        <v>Z2</v>
      </c>
      <c r="BJ15" s="155">
        <f t="shared" si="23"/>
        <v>1.3250000000000002</v>
      </c>
      <c r="BK15" s="153">
        <f t="shared" si="24"/>
        <v>54.421999999999997</v>
      </c>
      <c r="BL15" s="153">
        <f t="shared" si="25"/>
        <v>364.35580289855073</v>
      </c>
      <c r="BM15" s="153">
        <f t="shared" si="26"/>
        <v>9.6390424047235648</v>
      </c>
      <c r="BN15" s="144">
        <v>8</v>
      </c>
      <c r="BO15" s="155" t="s">
        <v>191</v>
      </c>
      <c r="BP15" s="144">
        <v>5</v>
      </c>
      <c r="BQ15" s="153">
        <f t="shared" si="27"/>
        <v>15.92</v>
      </c>
      <c r="BR15" s="153">
        <f t="shared" si="28"/>
        <v>601.77599999999995</v>
      </c>
      <c r="BS15" s="53" t="str">
        <f t="shared" si="29"/>
        <v>OK</v>
      </c>
      <c r="BT15" s="122"/>
      <c r="BU15" s="349" t="str">
        <f>BI15</f>
        <v>Z2</v>
      </c>
      <c r="BV15" s="153">
        <f t="shared" si="30"/>
        <v>15.92</v>
      </c>
      <c r="BW15" s="153">
        <f t="shared" si="31"/>
        <v>601.77599999999995</v>
      </c>
      <c r="BX15" s="155" t="str">
        <f t="shared" si="32"/>
        <v>OK</v>
      </c>
      <c r="BY15" s="153">
        <f t="shared" si="33"/>
        <v>118.58830028984059</v>
      </c>
      <c r="BZ15" s="53" t="str">
        <f t="shared" si="34"/>
        <v>OK</v>
      </c>
      <c r="CF15" s="122"/>
      <c r="CG15" s="349" t="str">
        <f>BU15</f>
        <v>Z2</v>
      </c>
      <c r="CH15" s="153">
        <f t="shared" si="35"/>
        <v>106.64680986152375</v>
      </c>
      <c r="CI15" s="153">
        <f t="shared" si="36"/>
        <v>197.75795591921951</v>
      </c>
      <c r="CJ15" s="150">
        <f t="shared" si="37"/>
        <v>0</v>
      </c>
      <c r="CK15" s="150">
        <f t="shared" si="38"/>
        <v>0</v>
      </c>
      <c r="CL15" s="53" t="str">
        <f t="shared" si="39"/>
        <v>OK</v>
      </c>
      <c r="CM15" s="158">
        <f t="shared" si="40"/>
        <v>9.6390424047235648</v>
      </c>
      <c r="CN15" s="144">
        <v>8</v>
      </c>
      <c r="CO15" s="155" t="s">
        <v>191</v>
      </c>
      <c r="CP15" s="144">
        <v>5</v>
      </c>
      <c r="CR15" s="117"/>
      <c r="CT15" s="349" t="str">
        <f t="shared" ref="CT15" si="55">AW15</f>
        <v>Z2</v>
      </c>
      <c r="CU15" s="111">
        <f t="shared" si="41"/>
        <v>238</v>
      </c>
      <c r="CV15" s="156">
        <f t="shared" si="42"/>
        <v>2.7</v>
      </c>
      <c r="CW15" s="156">
        <f t="shared" si="43"/>
        <v>3.1</v>
      </c>
      <c r="CX15" s="140" t="str">
        <f t="shared" si="44"/>
        <v>13#5@20</v>
      </c>
      <c r="CY15" s="140" t="str">
        <f t="shared" si="45"/>
        <v>14#5@20</v>
      </c>
      <c r="DB15" s="349" t="s">
        <v>838</v>
      </c>
      <c r="DC15" s="349" t="s">
        <v>843</v>
      </c>
      <c r="DD15" s="349" t="s">
        <v>844</v>
      </c>
    </row>
    <row r="16" spans="1:108" ht="15" customHeight="1" x14ac:dyDescent="0.25">
      <c r="A16" s="123"/>
      <c r="B16" s="124"/>
      <c r="C16" s="188"/>
      <c r="D16" s="124"/>
      <c r="E16" s="124"/>
      <c r="F16" s="124"/>
      <c r="G16" s="124"/>
      <c r="H16" s="125"/>
      <c r="I16" s="124"/>
      <c r="J16" s="124"/>
      <c r="K16" s="124"/>
      <c r="L16" s="126"/>
      <c r="M16" s="350"/>
      <c r="N16" s="143">
        <v>238</v>
      </c>
      <c r="O16" s="144" t="s">
        <v>802</v>
      </c>
      <c r="P16" s="145">
        <v>35.411000000000001</v>
      </c>
      <c r="Q16" s="145">
        <v>20.979800000000001</v>
      </c>
      <c r="R16" s="145">
        <v>515.33799999999997</v>
      </c>
      <c r="S16" s="145">
        <v>14.9503</v>
      </c>
      <c r="T16" s="145">
        <v>117.4787</v>
      </c>
      <c r="U16" s="145">
        <v>0.4</v>
      </c>
      <c r="V16" s="146">
        <f t="shared" si="0"/>
        <v>0.32500000000000001</v>
      </c>
      <c r="W16" s="147">
        <f t="shared" si="46"/>
        <v>95.136000000000024</v>
      </c>
      <c r="X16" s="147">
        <f t="shared" si="47"/>
        <v>204.41600000000005</v>
      </c>
      <c r="Y16" s="350"/>
      <c r="Z16" s="148">
        <f t="shared" si="1"/>
        <v>1.6500000000000001</v>
      </c>
      <c r="AA16" s="149">
        <v>2.7</v>
      </c>
      <c r="AB16" s="148">
        <f t="shared" si="48"/>
        <v>4.2775805363235291</v>
      </c>
      <c r="AC16" s="149">
        <v>3.1</v>
      </c>
      <c r="AD16" s="150">
        <f t="shared" si="49"/>
        <v>0.14416510203831193</v>
      </c>
      <c r="AE16" s="150">
        <f t="shared" si="2"/>
        <v>1.8346402581943574E-2</v>
      </c>
      <c r="AF16" s="53" t="str">
        <f t="shared" si="50"/>
        <v>OK</v>
      </c>
      <c r="AG16" s="53" t="str">
        <f t="shared" si="51"/>
        <v>OK</v>
      </c>
      <c r="AH16" s="155" t="s">
        <v>147</v>
      </c>
      <c r="AI16" s="153">
        <f t="shared" si="53"/>
        <v>2.9250000000000003</v>
      </c>
      <c r="AJ16" s="153">
        <f t="shared" si="54"/>
        <v>1.35</v>
      </c>
      <c r="AK16" s="350"/>
      <c r="AL16" s="153">
        <f t="shared" si="3"/>
        <v>813.00368055555555</v>
      </c>
      <c r="AM16" s="153">
        <f t="shared" si="4"/>
        <v>1506.9598160707758</v>
      </c>
      <c r="AN16" s="153">
        <f t="shared" si="5"/>
        <v>1943.0248804947107</v>
      </c>
      <c r="AO16" s="153">
        <f t="shared" si="6"/>
        <v>1787.6680171035673</v>
      </c>
      <c r="AP16" s="53" t="str">
        <f t="shared" si="7"/>
        <v>OK</v>
      </c>
      <c r="AQ16" s="153">
        <f t="shared" si="8"/>
        <v>0.4</v>
      </c>
      <c r="AR16" s="150">
        <f t="shared" si="9"/>
        <v>143.36027777777778</v>
      </c>
      <c r="AS16" s="153">
        <f t="shared" si="10"/>
        <v>276.01112903225811</v>
      </c>
      <c r="AT16" s="154">
        <f t="shared" si="11"/>
        <v>592.01992774209054</v>
      </c>
      <c r="AU16" s="153">
        <f t="shared" si="12"/>
        <v>679.72658370388172</v>
      </c>
      <c r="AV16" s="53" t="str">
        <f t="shared" si="13"/>
        <v>OK</v>
      </c>
      <c r="AW16" s="350"/>
      <c r="AX16" s="153">
        <f t="shared" si="14"/>
        <v>214.05825555555555</v>
      </c>
      <c r="AY16" s="153">
        <f t="shared" si="15"/>
        <v>833.98643409279669</v>
      </c>
      <c r="AZ16" s="150">
        <f t="shared" si="16"/>
        <v>2.0217478479409991E-3</v>
      </c>
      <c r="BA16" s="148">
        <f t="shared" si="17"/>
        <v>17.740837365682268</v>
      </c>
      <c r="BB16" s="144">
        <v>5</v>
      </c>
      <c r="BC16" s="144">
        <v>13</v>
      </c>
      <c r="BD16" s="155">
        <f t="shared" si="18"/>
        <v>25.87</v>
      </c>
      <c r="BE16" s="53" t="str">
        <f t="shared" si="19"/>
        <v>OK</v>
      </c>
      <c r="BF16" s="148">
        <f t="shared" si="20"/>
        <v>0.2</v>
      </c>
      <c r="BG16" s="155" t="str">
        <f t="shared" si="21"/>
        <v>13#5@20</v>
      </c>
      <c r="BH16" s="197">
        <f t="shared" si="22"/>
        <v>0.68576874239204744</v>
      </c>
      <c r="BI16" s="350"/>
      <c r="BJ16" s="155">
        <f t="shared" si="23"/>
        <v>1.3250000000000002</v>
      </c>
      <c r="BK16" s="153">
        <f t="shared" si="24"/>
        <v>14.9503</v>
      </c>
      <c r="BL16" s="153">
        <f t="shared" si="25"/>
        <v>369.25315942028988</v>
      </c>
      <c r="BM16" s="153">
        <f t="shared" si="26"/>
        <v>9.7686021010658699</v>
      </c>
      <c r="BN16" s="144">
        <v>8</v>
      </c>
      <c r="BO16" s="155" t="s">
        <v>191</v>
      </c>
      <c r="BP16" s="144">
        <v>5</v>
      </c>
      <c r="BQ16" s="153">
        <f t="shared" si="27"/>
        <v>15.92</v>
      </c>
      <c r="BR16" s="153">
        <f t="shared" si="28"/>
        <v>601.77599999999995</v>
      </c>
      <c r="BS16" s="53" t="str">
        <f t="shared" si="29"/>
        <v>OK</v>
      </c>
      <c r="BT16" s="122"/>
      <c r="BU16" s="350"/>
      <c r="BV16" s="153">
        <f t="shared" si="30"/>
        <v>15.92</v>
      </c>
      <c r="BW16" s="153">
        <f t="shared" si="31"/>
        <v>601.77599999999995</v>
      </c>
      <c r="BX16" s="155" t="str">
        <f t="shared" si="32"/>
        <v>OK</v>
      </c>
      <c r="BY16" s="153">
        <f t="shared" si="33"/>
        <v>112.36100978373763</v>
      </c>
      <c r="BZ16" s="53" t="str">
        <f t="shared" si="34"/>
        <v>OK</v>
      </c>
      <c r="CF16" s="122"/>
      <c r="CG16" s="350"/>
      <c r="CH16" s="153">
        <f t="shared" si="35"/>
        <v>118.42616443919815</v>
      </c>
      <c r="CI16" s="153">
        <f t="shared" si="36"/>
        <v>180.0370468322879</v>
      </c>
      <c r="CJ16" s="150">
        <f t="shared" si="37"/>
        <v>0</v>
      </c>
      <c r="CK16" s="150">
        <f t="shared" si="38"/>
        <v>0</v>
      </c>
      <c r="CL16" s="53" t="str">
        <f t="shared" si="39"/>
        <v>OK</v>
      </c>
      <c r="CM16" s="158">
        <f t="shared" si="40"/>
        <v>9.7686021010658699</v>
      </c>
      <c r="CN16" s="144">
        <v>8</v>
      </c>
      <c r="CO16" s="155" t="s">
        <v>191</v>
      </c>
      <c r="CP16" s="144">
        <v>5</v>
      </c>
      <c r="CR16" s="117"/>
      <c r="CT16" s="350"/>
      <c r="CU16" s="111">
        <f t="shared" si="41"/>
        <v>238</v>
      </c>
      <c r="CV16" s="156">
        <f t="shared" si="42"/>
        <v>2.7</v>
      </c>
      <c r="CW16" s="156">
        <f t="shared" si="43"/>
        <v>3.1</v>
      </c>
      <c r="CX16" s="140" t="str">
        <f t="shared" si="44"/>
        <v>13#5@20</v>
      </c>
      <c r="CY16" s="140" t="str">
        <f t="shared" si="45"/>
        <v>14#5@20</v>
      </c>
      <c r="DB16" s="350"/>
      <c r="DC16" s="350"/>
      <c r="DD16" s="350"/>
    </row>
    <row r="17" spans="1:108" ht="15" customHeight="1" x14ac:dyDescent="0.25">
      <c r="A17" s="123"/>
      <c r="B17" s="124"/>
      <c r="C17" s="188"/>
      <c r="D17" s="124"/>
      <c r="E17" s="124"/>
      <c r="F17" s="124"/>
      <c r="G17" s="124"/>
      <c r="H17" s="125"/>
      <c r="I17" s="124"/>
      <c r="J17" s="124"/>
      <c r="K17" s="124"/>
      <c r="L17" s="126"/>
      <c r="M17" s="349" t="str">
        <f>Y17</f>
        <v>Z1</v>
      </c>
      <c r="N17" s="143">
        <v>243</v>
      </c>
      <c r="O17" s="144" t="s">
        <v>803</v>
      </c>
      <c r="P17" s="145">
        <v>5.6044999999999998</v>
      </c>
      <c r="Q17" s="145">
        <v>0.13009999999999999</v>
      </c>
      <c r="R17" s="145">
        <v>320.55029999999999</v>
      </c>
      <c r="S17" s="145">
        <v>50.988500000000002</v>
      </c>
      <c r="T17" s="145">
        <v>59.165399999999998</v>
      </c>
      <c r="U17" s="145">
        <v>0.4</v>
      </c>
      <c r="V17" s="146">
        <f t="shared" si="0"/>
        <v>0.32500000000000001</v>
      </c>
      <c r="W17" s="147">
        <f t="shared" si="46"/>
        <v>84.768000000000015</v>
      </c>
      <c r="X17" s="147">
        <f t="shared" si="47"/>
        <v>176.76800000000003</v>
      </c>
      <c r="Y17" s="349" t="s">
        <v>698</v>
      </c>
      <c r="Z17" s="148">
        <f t="shared" si="1"/>
        <v>2.0310011835408441</v>
      </c>
      <c r="AA17" s="149">
        <v>2.7</v>
      </c>
      <c r="AB17" s="148">
        <f t="shared" si="48"/>
        <v>2.0310011835408441</v>
      </c>
      <c r="AC17" s="149">
        <v>2.7</v>
      </c>
      <c r="AD17" s="150">
        <f t="shared" si="49"/>
        <v>0.1016436909784683</v>
      </c>
      <c r="AE17" s="150">
        <f t="shared" si="2"/>
        <v>8.7596117620359723E-2</v>
      </c>
      <c r="AF17" s="53" t="str">
        <f t="shared" si="50"/>
        <v>OK</v>
      </c>
      <c r="AG17" s="53" t="str">
        <f t="shared" si="51"/>
        <v>OK</v>
      </c>
      <c r="AH17" s="155" t="str">
        <f t="shared" si="52"/>
        <v>Esquinera</v>
      </c>
      <c r="AI17" s="153">
        <f t="shared" si="53"/>
        <v>2.5250000000000004</v>
      </c>
      <c r="AJ17" s="153">
        <f t="shared" si="54"/>
        <v>2.1500000000000004</v>
      </c>
      <c r="AK17" s="349" t="str">
        <f>Y17</f>
        <v>Z1</v>
      </c>
      <c r="AL17" s="153">
        <f t="shared" si="3"/>
        <v>580.53925993655696</v>
      </c>
      <c r="AM17" s="153">
        <f t="shared" si="4"/>
        <v>1506.9598160707758</v>
      </c>
      <c r="AN17" s="153">
        <f t="shared" si="5"/>
        <v>1595.1003151168702</v>
      </c>
      <c r="AO17" s="153">
        <f t="shared" si="6"/>
        <v>1787.6680171035673</v>
      </c>
      <c r="AP17" s="53" t="str">
        <f t="shared" si="7"/>
        <v>OK</v>
      </c>
      <c r="AQ17" s="153">
        <f t="shared" si="8"/>
        <v>0.4</v>
      </c>
      <c r="AR17" s="150">
        <f t="shared" si="9"/>
        <v>102.40407129629631</v>
      </c>
      <c r="AS17" s="153">
        <f t="shared" si="10"/>
        <v>183.24939074074075</v>
      </c>
      <c r="AT17" s="154">
        <f t="shared" si="11"/>
        <v>592.01992774209054</v>
      </c>
      <c r="AU17" s="153">
        <f t="shared" si="12"/>
        <v>592.01992774209054</v>
      </c>
      <c r="AV17" s="53" t="str">
        <f t="shared" si="13"/>
        <v>OK</v>
      </c>
      <c r="AW17" s="349" t="str">
        <f>AK17</f>
        <v>Z1</v>
      </c>
      <c r="AX17" s="153">
        <f t="shared" si="14"/>
        <v>128.15340592592594</v>
      </c>
      <c r="AY17" s="153">
        <f t="shared" si="15"/>
        <v>499.29493140838497</v>
      </c>
      <c r="AZ17" s="150">
        <f t="shared" si="16"/>
        <v>1.8E-3</v>
      </c>
      <c r="BA17" s="148">
        <f t="shared" si="17"/>
        <v>15.795000000000002</v>
      </c>
      <c r="BB17" s="144">
        <v>5</v>
      </c>
      <c r="BC17" s="144">
        <v>13</v>
      </c>
      <c r="BD17" s="155">
        <f t="shared" si="18"/>
        <v>25.87</v>
      </c>
      <c r="BE17" s="53" t="str">
        <f t="shared" si="19"/>
        <v>OK</v>
      </c>
      <c r="BF17" s="148">
        <f t="shared" si="20"/>
        <v>0.2</v>
      </c>
      <c r="BG17" s="155" t="str">
        <f t="shared" si="21"/>
        <v>13#5@20</v>
      </c>
      <c r="BH17" s="197">
        <f t="shared" si="22"/>
        <v>0.61055276381909551</v>
      </c>
      <c r="BI17" s="349" t="str">
        <f>AW17</f>
        <v>Z1</v>
      </c>
      <c r="BJ17" s="155">
        <f t="shared" si="23"/>
        <v>1.3250000000000002</v>
      </c>
      <c r="BK17" s="153">
        <f t="shared" si="24"/>
        <v>50.988500000000002</v>
      </c>
      <c r="BL17" s="153">
        <f t="shared" si="25"/>
        <v>240.39451594202902</v>
      </c>
      <c r="BM17" s="153">
        <f t="shared" si="26"/>
        <v>9.2317499999999999</v>
      </c>
      <c r="BN17" s="144">
        <v>8</v>
      </c>
      <c r="BO17" s="155" t="s">
        <v>191</v>
      </c>
      <c r="BP17" s="144">
        <v>5</v>
      </c>
      <c r="BQ17" s="153">
        <f t="shared" si="27"/>
        <v>15.92</v>
      </c>
      <c r="BR17" s="153">
        <f t="shared" si="28"/>
        <v>601.77599999999995</v>
      </c>
      <c r="BS17" s="53" t="str">
        <f t="shared" si="29"/>
        <v>OK</v>
      </c>
      <c r="BT17" s="122"/>
      <c r="BU17" s="349" t="str">
        <f>BI17</f>
        <v>Z1</v>
      </c>
      <c r="BV17" s="153">
        <f t="shared" si="30"/>
        <v>15.92</v>
      </c>
      <c r="BW17" s="153">
        <f t="shared" si="31"/>
        <v>601.77599999999995</v>
      </c>
      <c r="BX17" s="155" t="str">
        <f t="shared" si="32"/>
        <v>OK</v>
      </c>
      <c r="BY17" s="153">
        <f t="shared" si="33"/>
        <v>91.885866465583618</v>
      </c>
      <c r="BZ17" s="53" t="str">
        <f t="shared" si="34"/>
        <v>OK</v>
      </c>
      <c r="CF17" s="122"/>
      <c r="CG17" s="349" t="str">
        <f>BU17</f>
        <v>Z1</v>
      </c>
      <c r="CH17" s="153">
        <f t="shared" si="35"/>
        <v>78.104876220438371</v>
      </c>
      <c r="CI17" s="153">
        <f t="shared" si="36"/>
        <v>131.46136067254429</v>
      </c>
      <c r="CJ17" s="150">
        <f t="shared" si="37"/>
        <v>123.52861150331117</v>
      </c>
      <c r="CK17" s="150">
        <f t="shared" si="38"/>
        <v>36.165846658554386</v>
      </c>
      <c r="CL17" s="53" t="str">
        <f t="shared" si="39"/>
        <v>OK</v>
      </c>
      <c r="CM17" s="158">
        <f t="shared" si="40"/>
        <v>9.2317499999999999</v>
      </c>
      <c r="CN17" s="144">
        <v>8</v>
      </c>
      <c r="CO17" s="155" t="s">
        <v>191</v>
      </c>
      <c r="CP17" s="144">
        <v>5</v>
      </c>
      <c r="CR17" s="117"/>
      <c r="CT17" s="349" t="str">
        <f t="shared" ref="CT17" si="56">AW17</f>
        <v>Z1</v>
      </c>
      <c r="CU17" s="111">
        <f t="shared" si="41"/>
        <v>243</v>
      </c>
      <c r="CV17" s="156">
        <f t="shared" si="42"/>
        <v>2.7</v>
      </c>
      <c r="CW17" s="156">
        <f t="shared" si="43"/>
        <v>2.7</v>
      </c>
      <c r="CX17" s="140" t="str">
        <f t="shared" si="44"/>
        <v>13#5@20</v>
      </c>
      <c r="CY17" s="140" t="str">
        <f t="shared" si="45"/>
        <v>13#5@20</v>
      </c>
      <c r="DB17" s="349" t="s">
        <v>839</v>
      </c>
      <c r="DC17" s="349" t="s">
        <v>845</v>
      </c>
      <c r="DD17" s="349" t="s">
        <v>846</v>
      </c>
    </row>
    <row r="18" spans="1:108" ht="15" customHeight="1" x14ac:dyDescent="0.25">
      <c r="A18" s="123"/>
      <c r="B18" s="124"/>
      <c r="C18" s="188"/>
      <c r="D18" s="124"/>
      <c r="E18" s="124"/>
      <c r="F18" s="124"/>
      <c r="G18" s="124"/>
      <c r="H18" s="125"/>
      <c r="I18" s="124"/>
      <c r="J18" s="124"/>
      <c r="K18" s="124"/>
      <c r="L18" s="126"/>
      <c r="M18" s="350"/>
      <c r="N18" s="143">
        <v>243</v>
      </c>
      <c r="O18" s="144" t="s">
        <v>803</v>
      </c>
      <c r="P18" s="145">
        <v>44.038899999999998</v>
      </c>
      <c r="Q18" s="145">
        <v>19.0564</v>
      </c>
      <c r="R18" s="145">
        <v>264.31830000000002</v>
      </c>
      <c r="S18" s="145">
        <v>18.5428</v>
      </c>
      <c r="T18" s="145">
        <v>134.9803</v>
      </c>
      <c r="U18" s="145">
        <v>0.4</v>
      </c>
      <c r="V18" s="146">
        <f t="shared" si="0"/>
        <v>0.32500000000000001</v>
      </c>
      <c r="W18" s="147">
        <f t="shared" si="46"/>
        <v>84.768000000000015</v>
      </c>
      <c r="X18" s="147">
        <f t="shared" si="47"/>
        <v>176.76800000000003</v>
      </c>
      <c r="Y18" s="350"/>
      <c r="Z18" s="148">
        <f t="shared" si="1"/>
        <v>1.9304084162327202</v>
      </c>
      <c r="AA18" s="149">
        <v>2.7</v>
      </c>
      <c r="AB18" s="148">
        <f t="shared" si="48"/>
        <v>1.9304084162327202</v>
      </c>
      <c r="AC18" s="149">
        <v>2.7</v>
      </c>
      <c r="AD18" s="150">
        <f t="shared" si="49"/>
        <v>0.2566876414246303</v>
      </c>
      <c r="AE18" s="150">
        <f t="shared" si="2"/>
        <v>3.5262238989012727E-2</v>
      </c>
      <c r="AF18" s="53" t="str">
        <f t="shared" si="50"/>
        <v>OK</v>
      </c>
      <c r="AG18" s="53" t="str">
        <f t="shared" si="51"/>
        <v>OK</v>
      </c>
      <c r="AH18" s="155" t="str">
        <f t="shared" si="52"/>
        <v>Esquinera</v>
      </c>
      <c r="AI18" s="153">
        <f t="shared" si="53"/>
        <v>2.5250000000000004</v>
      </c>
      <c r="AJ18" s="153">
        <f t="shared" si="54"/>
        <v>2.1500000000000004</v>
      </c>
      <c r="AK18" s="350"/>
      <c r="AL18" s="153">
        <f t="shared" si="3"/>
        <v>524.45671055384094</v>
      </c>
      <c r="AM18" s="153">
        <f t="shared" si="4"/>
        <v>1506.9598160707758</v>
      </c>
      <c r="AN18" s="153">
        <f t="shared" si="5"/>
        <v>1595.1003151168702</v>
      </c>
      <c r="AO18" s="153">
        <f t="shared" si="6"/>
        <v>1787.6680171035673</v>
      </c>
      <c r="AP18" s="53" t="str">
        <f t="shared" si="7"/>
        <v>OK</v>
      </c>
      <c r="AQ18" s="153">
        <f t="shared" si="8"/>
        <v>0.4</v>
      </c>
      <c r="AR18" s="150">
        <f t="shared" si="9"/>
        <v>92.511404629629638</v>
      </c>
      <c r="AS18" s="153">
        <f t="shared" si="10"/>
        <v>165.54672407407409</v>
      </c>
      <c r="AT18" s="154">
        <f t="shared" si="11"/>
        <v>592.01992774209054</v>
      </c>
      <c r="AU18" s="153">
        <f t="shared" si="12"/>
        <v>592.01992774209054</v>
      </c>
      <c r="AV18" s="53" t="str">
        <f t="shared" si="13"/>
        <v>OK</v>
      </c>
      <c r="AW18" s="350"/>
      <c r="AX18" s="153">
        <f t="shared" si="14"/>
        <v>197.30377259259262</v>
      </c>
      <c r="AY18" s="153">
        <f t="shared" si="15"/>
        <v>768.70975758674388</v>
      </c>
      <c r="AZ18" s="150">
        <f t="shared" si="16"/>
        <v>1.8608139319036615E-3</v>
      </c>
      <c r="BA18" s="148">
        <f t="shared" si="17"/>
        <v>16.328642252454632</v>
      </c>
      <c r="BB18" s="144">
        <v>5</v>
      </c>
      <c r="BC18" s="144">
        <v>13</v>
      </c>
      <c r="BD18" s="155">
        <f t="shared" si="18"/>
        <v>25.87</v>
      </c>
      <c r="BE18" s="53" t="str">
        <f>IF(BD18&gt;=BA18,"OK","N/C")</f>
        <v>OK</v>
      </c>
      <c r="BF18" s="148">
        <f t="shared" si="20"/>
        <v>0.2</v>
      </c>
      <c r="BG18" s="155" t="str">
        <f t="shared" si="21"/>
        <v>13#5@20</v>
      </c>
      <c r="BH18" s="197">
        <f t="shared" si="22"/>
        <v>0.63118060504269935</v>
      </c>
      <c r="BI18" s="350"/>
      <c r="BJ18" s="155">
        <f t="shared" si="23"/>
        <v>1.3250000000000002</v>
      </c>
      <c r="BK18" s="153">
        <f t="shared" si="24"/>
        <v>18.5428</v>
      </c>
      <c r="BL18" s="153">
        <f t="shared" si="25"/>
        <v>233.12500869565221</v>
      </c>
      <c r="BM18" s="153">
        <f t="shared" si="26"/>
        <v>9.2317499999999999</v>
      </c>
      <c r="BN18" s="144">
        <v>8</v>
      </c>
      <c r="BO18" s="155" t="s">
        <v>191</v>
      </c>
      <c r="BP18" s="144">
        <v>5</v>
      </c>
      <c r="BQ18" s="153">
        <f t="shared" si="27"/>
        <v>15.92</v>
      </c>
      <c r="BR18" s="153">
        <f t="shared" si="28"/>
        <v>601.77599999999995</v>
      </c>
      <c r="BS18" s="53" t="str">
        <f t="shared" si="29"/>
        <v>OK</v>
      </c>
      <c r="BT18" s="122"/>
      <c r="BU18" s="350"/>
      <c r="BV18" s="153">
        <f t="shared" si="30"/>
        <v>15.92</v>
      </c>
      <c r="BW18" s="153">
        <f t="shared" si="31"/>
        <v>601.77599999999995</v>
      </c>
      <c r="BX18" s="155" t="str">
        <f t="shared" si="32"/>
        <v>OK</v>
      </c>
      <c r="BY18" s="153">
        <f t="shared" si="33"/>
        <v>80.594769876173061</v>
      </c>
      <c r="BZ18" s="53" t="str">
        <f t="shared" si="34"/>
        <v>OK</v>
      </c>
      <c r="CF18" s="122"/>
      <c r="CG18" s="350"/>
      <c r="CH18" s="153">
        <f t="shared" si="35"/>
        <v>136.24799748961451</v>
      </c>
      <c r="CI18" s="153">
        <f t="shared" si="36"/>
        <v>84.380994802999751</v>
      </c>
      <c r="CJ18" s="150">
        <f t="shared" si="37"/>
        <v>100.17138162724407</v>
      </c>
      <c r="CK18" s="150">
        <f t="shared" si="38"/>
        <v>44.09591604079435</v>
      </c>
      <c r="CL18" s="53" t="str">
        <f t="shared" si="39"/>
        <v>OK</v>
      </c>
      <c r="CM18" s="158">
        <f t="shared" si="40"/>
        <v>9.2317499999999999</v>
      </c>
      <c r="CN18" s="144">
        <v>8</v>
      </c>
      <c r="CO18" s="155" t="s">
        <v>191</v>
      </c>
      <c r="CP18" s="144">
        <v>5</v>
      </c>
      <c r="CR18" s="117"/>
      <c r="CT18" s="350"/>
      <c r="CU18" s="111">
        <f t="shared" si="41"/>
        <v>243</v>
      </c>
      <c r="CV18" s="156">
        <f t="shared" si="42"/>
        <v>2.7</v>
      </c>
      <c r="CW18" s="156">
        <f t="shared" si="43"/>
        <v>2.7</v>
      </c>
      <c r="CX18" s="140" t="str">
        <f t="shared" si="44"/>
        <v>13#5@20</v>
      </c>
      <c r="CY18" s="140" t="str">
        <f t="shared" si="45"/>
        <v>13#5@20</v>
      </c>
      <c r="DB18" s="350"/>
      <c r="DC18" s="350"/>
      <c r="DD18" s="350"/>
    </row>
    <row r="19" spans="1:108" ht="15" customHeight="1" x14ac:dyDescent="0.25">
      <c r="A19" s="123"/>
      <c r="B19" s="124"/>
      <c r="C19" s="188"/>
      <c r="D19" s="124"/>
      <c r="E19" s="124"/>
      <c r="F19" s="124"/>
      <c r="G19" s="124"/>
      <c r="H19" s="125"/>
      <c r="I19" s="124"/>
      <c r="J19" s="124"/>
      <c r="K19" s="124"/>
      <c r="L19" s="126"/>
      <c r="M19" s="349" t="str">
        <f>Y19</f>
        <v>Z4</v>
      </c>
      <c r="N19" s="143">
        <v>248</v>
      </c>
      <c r="O19" s="144" t="s">
        <v>802</v>
      </c>
      <c r="P19" s="145">
        <f>B104</f>
        <v>7.6805599999999998</v>
      </c>
      <c r="Q19" s="145">
        <f t="shared" ref="Q19:T19" si="57">C104</f>
        <v>58.107280000000003</v>
      </c>
      <c r="R19" s="145">
        <f t="shared" si="57"/>
        <v>363.27</v>
      </c>
      <c r="S19" s="145">
        <f t="shared" si="57"/>
        <v>224.00744</v>
      </c>
      <c r="T19" s="145">
        <f t="shared" si="57"/>
        <v>8.1200799999999997</v>
      </c>
      <c r="U19" s="145">
        <v>0.4</v>
      </c>
      <c r="V19" s="146">
        <f t="shared" si="0"/>
        <v>0.32500000000000001</v>
      </c>
      <c r="W19" s="147">
        <f>(AA19*AC19*U19+W57*X57*(U57-U19))*$T$8</f>
        <v>100.79999999999998</v>
      </c>
      <c r="X19" s="147">
        <f>(AA19*AC19-W57*X57)*(U57-U19)*$T$7</f>
        <v>219.51999999999998</v>
      </c>
      <c r="Y19" s="349" t="s">
        <v>840</v>
      </c>
      <c r="Z19" s="148">
        <f t="shared" si="1"/>
        <v>0.52499999999999991</v>
      </c>
      <c r="AA19" s="149">
        <v>3.2</v>
      </c>
      <c r="AB19" s="148">
        <f t="shared" si="48"/>
        <v>3.0276710862925453</v>
      </c>
      <c r="AC19" s="149">
        <v>2.8</v>
      </c>
      <c r="AD19" s="150">
        <f t="shared" si="49"/>
        <v>1.187858219107945E-2</v>
      </c>
      <c r="AE19" s="150">
        <f t="shared" si="2"/>
        <v>0.32769268128556595</v>
      </c>
      <c r="AF19" s="53" t="str">
        <f t="shared" si="50"/>
        <v>OK</v>
      </c>
      <c r="AG19" s="53" t="str">
        <f t="shared" si="51"/>
        <v>OK</v>
      </c>
      <c r="AH19" s="155" t="s">
        <v>53</v>
      </c>
      <c r="AI19" s="153">
        <f>IF(OR(AH19="L",AH19="Esquinera"),AC19-X57/2,AC19/2)</f>
        <v>1.4</v>
      </c>
      <c r="AJ19" s="153">
        <f t="shared" si="54"/>
        <v>3.0250000000000004</v>
      </c>
      <c r="AK19" s="349" t="str">
        <f>Y19</f>
        <v>Z4</v>
      </c>
      <c r="AL19" s="153">
        <f t="shared" si="3"/>
        <v>682.11181291852665</v>
      </c>
      <c r="AM19" s="153">
        <f t="shared" si="4"/>
        <v>1506.9598160707758</v>
      </c>
      <c r="AN19" s="153">
        <f t="shared" si="5"/>
        <v>1943.0248804947107</v>
      </c>
      <c r="AO19" s="153">
        <f t="shared" si="6"/>
        <v>1787.6680171035673</v>
      </c>
      <c r="AP19" s="53" t="str">
        <f t="shared" si="7"/>
        <v>OK</v>
      </c>
      <c r="AQ19" s="153">
        <f t="shared" si="8"/>
        <v>0.4</v>
      </c>
      <c r="AR19" s="150">
        <f t="shared" si="9"/>
        <v>234.98406249999996</v>
      </c>
      <c r="AS19" s="153">
        <f t="shared" si="10"/>
        <v>128.17312499999997</v>
      </c>
      <c r="AT19" s="154">
        <f t="shared" si="11"/>
        <v>701.65324769432959</v>
      </c>
      <c r="AU19" s="153">
        <f t="shared" si="12"/>
        <v>613.94659173253831</v>
      </c>
      <c r="AV19" s="53" t="str">
        <f t="shared" si="13"/>
        <v>OK</v>
      </c>
      <c r="AW19" s="349" t="str">
        <f>AK19</f>
        <v>Z4</v>
      </c>
      <c r="AX19" s="153">
        <f t="shared" si="14"/>
        <v>225.01303996093748</v>
      </c>
      <c r="AY19" s="153">
        <f t="shared" si="15"/>
        <v>739.68783682096455</v>
      </c>
      <c r="AZ19" s="150">
        <f t="shared" si="16"/>
        <v>1.8E-3</v>
      </c>
      <c r="BA19" s="148">
        <f t="shared" si="17"/>
        <v>18.720000000000002</v>
      </c>
      <c r="BB19" s="144">
        <v>5</v>
      </c>
      <c r="BC19" s="144">
        <v>13</v>
      </c>
      <c r="BD19" s="155">
        <f t="shared" si="18"/>
        <v>25.87</v>
      </c>
      <c r="BE19" s="53" t="str">
        <f t="shared" si="19"/>
        <v>OK</v>
      </c>
      <c r="BF19" s="148">
        <f t="shared" si="20"/>
        <v>0.23</v>
      </c>
      <c r="BG19" s="155" t="str">
        <f t="shared" si="21"/>
        <v>13#5@20</v>
      </c>
      <c r="BH19" s="197">
        <f t="shared" si="22"/>
        <v>0.72361809045226133</v>
      </c>
      <c r="BI19" s="349" t="str">
        <f>AW19</f>
        <v>Z4</v>
      </c>
      <c r="BJ19" s="155">
        <f t="shared" si="23"/>
        <v>1.3250000000000002</v>
      </c>
      <c r="BK19" s="153">
        <f t="shared" si="24"/>
        <v>224.00744</v>
      </c>
      <c r="BL19" s="153">
        <f t="shared" si="25"/>
        <v>434.84539710144924</v>
      </c>
      <c r="BM19" s="153">
        <f t="shared" si="26"/>
        <v>11.503846484165324</v>
      </c>
      <c r="BN19" s="144">
        <v>8</v>
      </c>
      <c r="BO19" s="155" t="s">
        <v>191</v>
      </c>
      <c r="BP19" s="144">
        <v>5</v>
      </c>
      <c r="BQ19" s="153">
        <f t="shared" si="27"/>
        <v>15.92</v>
      </c>
      <c r="BR19" s="153">
        <f t="shared" si="28"/>
        <v>601.77599999999995</v>
      </c>
      <c r="BS19" s="53" t="str">
        <f t="shared" si="29"/>
        <v>OK</v>
      </c>
      <c r="BT19" s="122"/>
      <c r="BU19" s="349" t="str">
        <f>BI19</f>
        <v>Z4</v>
      </c>
      <c r="BV19" s="153">
        <f t="shared" si="30"/>
        <v>15.92</v>
      </c>
      <c r="BW19" s="153">
        <f t="shared" si="31"/>
        <v>601.77599999999995</v>
      </c>
      <c r="BX19" s="155" t="str">
        <f t="shared" si="32"/>
        <v>OK</v>
      </c>
      <c r="BY19" s="153">
        <f t="shared" si="33"/>
        <v>80.199595966976332</v>
      </c>
      <c r="BZ19" s="53" t="str">
        <f t="shared" si="34"/>
        <v>OK</v>
      </c>
      <c r="CF19" s="122"/>
      <c r="CG19" s="349" t="str">
        <f>BU19</f>
        <v>Z4</v>
      </c>
      <c r="CH19" s="153">
        <f t="shared" si="35"/>
        <v>224.15456469713035</v>
      </c>
      <c r="CI19" s="153">
        <f t="shared" si="36"/>
        <v>263.42988833134319</v>
      </c>
      <c r="CJ19" s="150">
        <f t="shared" si="37"/>
        <v>0</v>
      </c>
      <c r="CK19" s="150">
        <f t="shared" si="38"/>
        <v>0</v>
      </c>
      <c r="CL19" s="53" t="str">
        <f t="shared" si="39"/>
        <v>OK</v>
      </c>
      <c r="CM19" s="158">
        <f t="shared" si="40"/>
        <v>11.503846484165324</v>
      </c>
      <c r="CN19" s="144">
        <v>8</v>
      </c>
      <c r="CO19" s="155" t="s">
        <v>191</v>
      </c>
      <c r="CP19" s="144">
        <v>5</v>
      </c>
      <c r="CR19" s="117"/>
      <c r="CT19" s="349" t="str">
        <f t="shared" ref="CT19" si="58">AW19</f>
        <v>Z4</v>
      </c>
      <c r="CU19" s="111">
        <f t="shared" si="41"/>
        <v>248</v>
      </c>
      <c r="CV19" s="156">
        <f t="shared" si="42"/>
        <v>3.2</v>
      </c>
      <c r="CW19" s="156">
        <f t="shared" si="43"/>
        <v>2.8</v>
      </c>
      <c r="CX19" s="140" t="str">
        <f t="shared" si="44"/>
        <v>13#5@20</v>
      </c>
      <c r="CY19" s="140" t="str">
        <f t="shared" si="45"/>
        <v>13#6@20</v>
      </c>
      <c r="DB19" s="349" t="s">
        <v>840</v>
      </c>
      <c r="DC19" s="349" t="s">
        <v>843</v>
      </c>
      <c r="DD19" s="349" t="s">
        <v>847</v>
      </c>
    </row>
    <row r="20" spans="1:108" ht="15" customHeight="1" x14ac:dyDescent="0.25">
      <c r="A20" s="123"/>
      <c r="B20" s="124"/>
      <c r="C20" s="188"/>
      <c r="D20" s="124"/>
      <c r="E20" s="124"/>
      <c r="F20" s="124"/>
      <c r="G20" s="124"/>
      <c r="H20" s="125"/>
      <c r="I20" s="124"/>
      <c r="J20" s="124"/>
      <c r="K20" s="124"/>
      <c r="L20" s="126"/>
      <c r="M20" s="350"/>
      <c r="N20" s="143">
        <v>248</v>
      </c>
      <c r="O20" s="144" t="s">
        <v>802</v>
      </c>
      <c r="P20" s="145">
        <f t="shared" ref="P20:P30" si="59">B105</f>
        <v>14.792</v>
      </c>
      <c r="Q20" s="145">
        <f t="shared" ref="Q20:Q30" si="60">C105</f>
        <v>48.459519999999998</v>
      </c>
      <c r="R20" s="145">
        <f t="shared" ref="R20:R30" si="61">D105</f>
        <v>352.52392000000003</v>
      </c>
      <c r="S20" s="145">
        <f t="shared" ref="S20:S30" si="62">E105</f>
        <v>237.30288000000002</v>
      </c>
      <c r="T20" s="145">
        <f t="shared" ref="T20:T30" si="63">F105</f>
        <v>30.281120000000001</v>
      </c>
      <c r="U20" s="145">
        <v>0.4</v>
      </c>
      <c r="V20" s="146">
        <f t="shared" si="0"/>
        <v>0.32500000000000001</v>
      </c>
      <c r="W20" s="147">
        <f t="shared" si="46"/>
        <v>100.79999999999998</v>
      </c>
      <c r="X20" s="147">
        <f t="shared" si="47"/>
        <v>219.51999999999998</v>
      </c>
      <c r="Y20" s="350"/>
      <c r="Z20" s="148">
        <f t="shared" si="1"/>
        <v>0.52499999999999991</v>
      </c>
      <c r="AA20" s="149">
        <v>3.2</v>
      </c>
      <c r="AB20" s="148">
        <f t="shared" si="48"/>
        <v>2.9800758966218566</v>
      </c>
      <c r="AC20" s="149">
        <v>2.8</v>
      </c>
      <c r="AD20" s="150">
        <f t="shared" si="49"/>
        <v>4.5004672108800506E-2</v>
      </c>
      <c r="AE20" s="150">
        <f t="shared" si="2"/>
        <v>0.35268637041410733</v>
      </c>
      <c r="AF20" s="53" t="str">
        <f t="shared" si="50"/>
        <v>OK</v>
      </c>
      <c r="AG20" s="53" t="str">
        <f t="shared" si="51"/>
        <v>OK</v>
      </c>
      <c r="AH20" s="155" t="s">
        <v>53</v>
      </c>
      <c r="AI20" s="153">
        <f t="shared" si="53"/>
        <v>1.4</v>
      </c>
      <c r="AJ20" s="153">
        <f t="shared" si="54"/>
        <v>3.0250000000000004</v>
      </c>
      <c r="AK20" s="350"/>
      <c r="AL20" s="153">
        <f t="shared" si="3"/>
        <v>671.38897011718745</v>
      </c>
      <c r="AM20" s="153">
        <f t="shared" si="4"/>
        <v>1506.9598160707758</v>
      </c>
      <c r="AN20" s="153">
        <f t="shared" si="5"/>
        <v>1943.0248804947107</v>
      </c>
      <c r="AO20" s="153">
        <f t="shared" si="6"/>
        <v>1787.6680171035673</v>
      </c>
      <c r="AP20" s="53" t="str">
        <f t="shared" si="7"/>
        <v>OK</v>
      </c>
      <c r="AQ20" s="153">
        <f t="shared" si="8"/>
        <v>0.4</v>
      </c>
      <c r="AR20" s="150">
        <f t="shared" si="9"/>
        <v>231.2900975</v>
      </c>
      <c r="AS20" s="153">
        <f t="shared" si="10"/>
        <v>126.15823499999999</v>
      </c>
      <c r="AT20" s="154">
        <f t="shared" si="11"/>
        <v>701.65324769432959</v>
      </c>
      <c r="AU20" s="153">
        <f t="shared" si="12"/>
        <v>613.94659173253831</v>
      </c>
      <c r="AV20" s="53" t="str">
        <f t="shared" si="13"/>
        <v>OK</v>
      </c>
      <c r="AW20" s="350"/>
      <c r="AX20" s="153">
        <f t="shared" si="14"/>
        <v>243.76450828906252</v>
      </c>
      <c r="AY20" s="153">
        <f t="shared" si="15"/>
        <v>801.32974453998179</v>
      </c>
      <c r="AZ20" s="150">
        <f t="shared" si="16"/>
        <v>1.9411764881140212E-3</v>
      </c>
      <c r="BA20" s="148">
        <f t="shared" si="17"/>
        <v>20.18823547638582</v>
      </c>
      <c r="BB20" s="144">
        <v>5</v>
      </c>
      <c r="BC20" s="144">
        <v>13</v>
      </c>
      <c r="BD20" s="155">
        <f t="shared" si="18"/>
        <v>25.87</v>
      </c>
      <c r="BE20" s="53" t="str">
        <f t="shared" si="19"/>
        <v>OK</v>
      </c>
      <c r="BF20" s="148">
        <f t="shared" si="20"/>
        <v>0.23</v>
      </c>
      <c r="BG20" s="155" t="str">
        <f t="shared" si="21"/>
        <v>13#5@20</v>
      </c>
      <c r="BH20" s="197">
        <f t="shared" si="22"/>
        <v>0.78037245753327478</v>
      </c>
      <c r="BI20" s="350"/>
      <c r="BJ20" s="155">
        <f t="shared" si="23"/>
        <v>1.3250000000000002</v>
      </c>
      <c r="BK20" s="153">
        <f t="shared" si="24"/>
        <v>237.30288000000002</v>
      </c>
      <c r="BL20" s="153">
        <f t="shared" si="25"/>
        <v>418.26069913043477</v>
      </c>
      <c r="BM20" s="153">
        <f t="shared" si="26"/>
        <v>11.065097860593513</v>
      </c>
      <c r="BN20" s="144">
        <v>8</v>
      </c>
      <c r="BO20" s="155" t="s">
        <v>191</v>
      </c>
      <c r="BP20" s="144">
        <v>5</v>
      </c>
      <c r="BQ20" s="153">
        <f t="shared" si="27"/>
        <v>15.92</v>
      </c>
      <c r="BR20" s="153">
        <f t="shared" si="28"/>
        <v>601.77599999999995</v>
      </c>
      <c r="BS20" s="53" t="str">
        <f t="shared" si="29"/>
        <v>OK</v>
      </c>
      <c r="BT20" s="122"/>
      <c r="BU20" s="350"/>
      <c r="BV20" s="153">
        <f t="shared" si="30"/>
        <v>15.92</v>
      </c>
      <c r="BW20" s="153">
        <f t="shared" si="31"/>
        <v>601.77599999999995</v>
      </c>
      <c r="BX20" s="155" t="str">
        <f t="shared" si="32"/>
        <v>OK</v>
      </c>
      <c r="BY20" s="153">
        <f t="shared" si="33"/>
        <v>78.848727189068029</v>
      </c>
      <c r="BZ20" s="53" t="str">
        <f t="shared" si="34"/>
        <v>OK</v>
      </c>
      <c r="CF20" s="122"/>
      <c r="CG20" s="350"/>
      <c r="CH20" s="153">
        <f t="shared" si="35"/>
        <v>239.22709521446103</v>
      </c>
      <c r="CI20" s="153">
        <f t="shared" si="36"/>
        <v>248.74572732399713</v>
      </c>
      <c r="CJ20" s="150">
        <f t="shared" si="37"/>
        <v>0</v>
      </c>
      <c r="CK20" s="150">
        <f t="shared" si="38"/>
        <v>0</v>
      </c>
      <c r="CL20" s="53" t="str">
        <f t="shared" si="39"/>
        <v>OK</v>
      </c>
      <c r="CM20" s="158">
        <f t="shared" si="40"/>
        <v>11.065097860593513</v>
      </c>
      <c r="CN20" s="144">
        <v>8</v>
      </c>
      <c r="CO20" s="155" t="s">
        <v>191</v>
      </c>
      <c r="CP20" s="144">
        <v>5</v>
      </c>
      <c r="CR20" s="117"/>
      <c r="CT20" s="350"/>
      <c r="CU20" s="111">
        <f t="shared" si="41"/>
        <v>248</v>
      </c>
      <c r="CV20" s="156">
        <f t="shared" si="42"/>
        <v>3.2</v>
      </c>
      <c r="CW20" s="156">
        <f t="shared" si="43"/>
        <v>2.8</v>
      </c>
      <c r="CX20" s="140" t="str">
        <f t="shared" si="44"/>
        <v>13#5@20</v>
      </c>
      <c r="CY20" s="140" t="str">
        <f t="shared" si="45"/>
        <v>13#6@20</v>
      </c>
      <c r="DB20" s="350"/>
      <c r="DC20" s="350"/>
      <c r="DD20" s="350"/>
    </row>
    <row r="21" spans="1:108" ht="15" customHeight="1" x14ac:dyDescent="0.25">
      <c r="A21" s="123"/>
      <c r="B21" s="124"/>
      <c r="C21" s="188"/>
      <c r="D21" s="124"/>
      <c r="E21" s="124"/>
      <c r="F21" s="124"/>
      <c r="G21" s="124"/>
      <c r="H21" s="125"/>
      <c r="I21" s="124"/>
      <c r="J21" s="124"/>
      <c r="K21" s="124"/>
      <c r="L21" s="126"/>
      <c r="M21" s="349" t="str">
        <f>Y21</f>
        <v>Z3</v>
      </c>
      <c r="N21" s="143">
        <v>253</v>
      </c>
      <c r="O21" s="144" t="s">
        <v>837</v>
      </c>
      <c r="P21" s="145">
        <f t="shared" si="59"/>
        <v>2.7080800000000003</v>
      </c>
      <c r="Q21" s="145">
        <f t="shared" si="60"/>
        <v>60.917439999999999</v>
      </c>
      <c r="R21" s="145">
        <f t="shared" si="61"/>
        <v>676.86056000000008</v>
      </c>
      <c r="S21" s="145">
        <f t="shared" si="62"/>
        <v>222.61176</v>
      </c>
      <c r="T21" s="145">
        <f t="shared" si="63"/>
        <v>9.656480000000002</v>
      </c>
      <c r="U21" s="145">
        <v>0.4</v>
      </c>
      <c r="V21" s="146">
        <f t="shared" si="0"/>
        <v>0.32500000000000001</v>
      </c>
      <c r="W21" s="147">
        <f t="shared" si="46"/>
        <v>125.76</v>
      </c>
      <c r="X21" s="147">
        <f t="shared" si="47"/>
        <v>286.08</v>
      </c>
      <c r="Y21" s="349" t="s">
        <v>839</v>
      </c>
      <c r="Z21" s="148">
        <f t="shared" si="1"/>
        <v>2.7776064418737154</v>
      </c>
      <c r="AA21" s="149">
        <v>3.4</v>
      </c>
      <c r="AB21" s="148">
        <f t="shared" si="48"/>
        <v>2.7776064418737154</v>
      </c>
      <c r="AC21" s="149">
        <v>3.4</v>
      </c>
      <c r="AD21" s="150">
        <f t="shared" si="49"/>
        <v>8.8697299834217067E-3</v>
      </c>
      <c r="AE21" s="150">
        <f t="shared" si="2"/>
        <v>0.20447473637746635</v>
      </c>
      <c r="AF21" s="53" t="str">
        <f t="shared" si="50"/>
        <v>OK</v>
      </c>
      <c r="AG21" s="53" t="str">
        <f t="shared" si="51"/>
        <v>OK</v>
      </c>
      <c r="AH21" s="155" t="str">
        <f t="shared" si="52"/>
        <v>Central</v>
      </c>
      <c r="AI21" s="153">
        <f t="shared" si="53"/>
        <v>1.7</v>
      </c>
      <c r="AJ21" s="153">
        <f t="shared" si="54"/>
        <v>1.7</v>
      </c>
      <c r="AK21" s="349" t="str">
        <f>Y21</f>
        <v>Z3</v>
      </c>
      <c r="AL21" s="153">
        <f t="shared" si="3"/>
        <v>1086.8758564230104</v>
      </c>
      <c r="AM21" s="153">
        <f t="shared" si="4"/>
        <v>1506.9598160707758</v>
      </c>
      <c r="AN21" s="153">
        <f t="shared" si="5"/>
        <v>2290.9494458725517</v>
      </c>
      <c r="AO21" s="153">
        <f t="shared" si="6"/>
        <v>1787.6680171035673</v>
      </c>
      <c r="AP21" s="53" t="str">
        <f t="shared" si="7"/>
        <v>OK</v>
      </c>
      <c r="AQ21" s="153">
        <f t="shared" si="8"/>
        <v>0.4</v>
      </c>
      <c r="AR21" s="150">
        <f t="shared" si="9"/>
        <v>384.24725647058818</v>
      </c>
      <c r="AS21" s="153">
        <f t="shared" si="10"/>
        <v>264.16998882352937</v>
      </c>
      <c r="AT21" s="154">
        <f t="shared" si="11"/>
        <v>745.50657567522512</v>
      </c>
      <c r="AU21" s="153">
        <f t="shared" si="12"/>
        <v>745.50657567522512</v>
      </c>
      <c r="AV21" s="53" t="str">
        <f t="shared" si="13"/>
        <v>OK</v>
      </c>
      <c r="AW21" s="349" t="str">
        <f>AK21</f>
        <v>Z3</v>
      </c>
      <c r="AX21" s="153">
        <f t="shared" si="14"/>
        <v>381.99607409558814</v>
      </c>
      <c r="AY21" s="153">
        <f t="shared" si="15"/>
        <v>1181.8728362782631</v>
      </c>
      <c r="AZ21" s="150">
        <f t="shared" si="16"/>
        <v>2.8875532100571272E-3</v>
      </c>
      <c r="BA21" s="148">
        <f t="shared" si="17"/>
        <v>31.907462971131256</v>
      </c>
      <c r="BB21" s="144">
        <v>6</v>
      </c>
      <c r="BC21" s="144">
        <v>14</v>
      </c>
      <c r="BD21" s="155">
        <f t="shared" si="18"/>
        <v>39.76</v>
      </c>
      <c r="BE21" s="53" t="str">
        <f t="shared" si="19"/>
        <v>OK</v>
      </c>
      <c r="BF21" s="148">
        <f t="shared" si="20"/>
        <v>0.23</v>
      </c>
      <c r="BG21" s="155" t="str">
        <f t="shared" si="21"/>
        <v>14#6@20</v>
      </c>
      <c r="BH21" s="197">
        <f t="shared" si="22"/>
        <v>0.80250158378096725</v>
      </c>
      <c r="BI21" s="349" t="str">
        <f>AW21</f>
        <v>Z3</v>
      </c>
      <c r="BJ21" s="155">
        <f t="shared" si="23"/>
        <v>0</v>
      </c>
      <c r="BK21" s="153">
        <f t="shared" si="24"/>
        <v>0</v>
      </c>
      <c r="BL21" s="153">
        <f t="shared" si="25"/>
        <v>0</v>
      </c>
      <c r="BM21" s="153">
        <f t="shared" si="26"/>
        <v>9.2317499999999999</v>
      </c>
      <c r="BN21" s="144">
        <v>8</v>
      </c>
      <c r="BO21" s="155" t="s">
        <v>191</v>
      </c>
      <c r="BP21" s="144">
        <v>5</v>
      </c>
      <c r="BQ21" s="153">
        <f t="shared" si="27"/>
        <v>15.92</v>
      </c>
      <c r="BR21" s="153">
        <f t="shared" si="28"/>
        <v>601.77599999999995</v>
      </c>
      <c r="BS21" s="53" t="str">
        <f t="shared" si="29"/>
        <v>OK</v>
      </c>
      <c r="BT21" s="122"/>
      <c r="BU21" s="349" t="str">
        <f>BI21</f>
        <v>Z3</v>
      </c>
      <c r="BV21" s="153">
        <f t="shared" si="30"/>
        <v>15.92</v>
      </c>
      <c r="BW21" s="153">
        <f t="shared" si="31"/>
        <v>601.77599999999995</v>
      </c>
      <c r="BX21" s="155" t="str">
        <f t="shared" si="32"/>
        <v>OK</v>
      </c>
      <c r="BY21" s="153">
        <f t="shared" si="33"/>
        <v>94.178249134948103</v>
      </c>
      <c r="BZ21" s="53" t="str">
        <f t="shared" si="34"/>
        <v>OK</v>
      </c>
      <c r="CB21" s="166" t="s">
        <v>731</v>
      </c>
      <c r="CF21" s="117"/>
      <c r="CG21" s="349" t="str">
        <f>BU21</f>
        <v>Z3</v>
      </c>
      <c r="CH21" s="153">
        <f t="shared" si="35"/>
        <v>222.82110155074633</v>
      </c>
      <c r="CI21" s="153">
        <f t="shared" si="36"/>
        <v>0</v>
      </c>
      <c r="CJ21" s="150">
        <f t="shared" si="37"/>
        <v>0</v>
      </c>
      <c r="CK21" s="150">
        <f t="shared" si="38"/>
        <v>0</v>
      </c>
      <c r="CL21" s="53" t="str">
        <f t="shared" si="39"/>
        <v>OK</v>
      </c>
      <c r="CM21" s="158">
        <f t="shared" si="40"/>
        <v>9.2317499999999999</v>
      </c>
      <c r="CN21" s="144">
        <v>8</v>
      </c>
      <c r="CO21" s="155" t="s">
        <v>191</v>
      </c>
      <c r="CP21" s="144">
        <v>5</v>
      </c>
      <c r="CR21" s="117"/>
      <c r="CT21" s="349" t="str">
        <f t="shared" ref="CT21" si="64">AW21</f>
        <v>Z3</v>
      </c>
      <c r="CU21" s="111">
        <f t="shared" si="41"/>
        <v>253</v>
      </c>
      <c r="CV21" s="156">
        <f t="shared" si="42"/>
        <v>3.4</v>
      </c>
      <c r="CW21" s="156">
        <f t="shared" si="43"/>
        <v>3.4</v>
      </c>
      <c r="CX21" s="140" t="str">
        <f t="shared" si="44"/>
        <v>14#6@20</v>
      </c>
      <c r="CY21" s="140" t="str">
        <f t="shared" si="45"/>
        <v>16#6@20</v>
      </c>
    </row>
    <row r="22" spans="1:108" ht="15" customHeight="1" x14ac:dyDescent="0.25">
      <c r="A22" s="123"/>
      <c r="B22" s="124"/>
      <c r="C22" s="188"/>
      <c r="D22" s="124"/>
      <c r="E22" s="124"/>
      <c r="F22" s="124"/>
      <c r="G22" s="124"/>
      <c r="H22" s="125"/>
      <c r="I22" s="124"/>
      <c r="J22" s="124"/>
      <c r="K22" s="124"/>
      <c r="L22" s="126"/>
      <c r="M22" s="350"/>
      <c r="N22" s="143">
        <v>253</v>
      </c>
      <c r="O22" s="144" t="s">
        <v>837</v>
      </c>
      <c r="P22" s="145">
        <f t="shared" si="59"/>
        <v>5.9469600000000007</v>
      </c>
      <c r="Q22" s="145">
        <f t="shared" si="60"/>
        <v>46.84328</v>
      </c>
      <c r="R22" s="145">
        <f t="shared" si="61"/>
        <v>673.20328000000006</v>
      </c>
      <c r="S22" s="145">
        <f t="shared" si="62"/>
        <v>243.34392</v>
      </c>
      <c r="T22" s="145">
        <f t="shared" si="63"/>
        <v>15.309520000000001</v>
      </c>
      <c r="U22" s="145">
        <v>0.4</v>
      </c>
      <c r="V22" s="146">
        <f t="shared" si="0"/>
        <v>0.32500000000000001</v>
      </c>
      <c r="W22" s="147">
        <f t="shared" si="46"/>
        <v>125.76</v>
      </c>
      <c r="X22" s="147">
        <f t="shared" si="47"/>
        <v>286.08</v>
      </c>
      <c r="Y22" s="350"/>
      <c r="Z22" s="148">
        <f t="shared" si="1"/>
        <v>2.772937100004349</v>
      </c>
      <c r="AA22" s="149">
        <v>3.4</v>
      </c>
      <c r="AB22" s="148">
        <f t="shared" si="48"/>
        <v>2.772937100004349</v>
      </c>
      <c r="AC22" s="149">
        <v>3.4</v>
      </c>
      <c r="AD22" s="150">
        <f t="shared" si="49"/>
        <v>1.4109593858781374E-2</v>
      </c>
      <c r="AE22" s="150">
        <f t="shared" si="2"/>
        <v>0.22427116455668014</v>
      </c>
      <c r="AF22" s="53" t="str">
        <f t="shared" si="50"/>
        <v>OK</v>
      </c>
      <c r="AG22" s="53" t="str">
        <f t="shared" si="51"/>
        <v>OK</v>
      </c>
      <c r="AH22" s="155" t="str">
        <f t="shared" si="52"/>
        <v>Central</v>
      </c>
      <c r="AI22" s="153">
        <f t="shared" si="53"/>
        <v>1.7</v>
      </c>
      <c r="AJ22" s="153">
        <f t="shared" si="54"/>
        <v>1.7</v>
      </c>
      <c r="AK22" s="350"/>
      <c r="AL22" s="153">
        <f t="shared" si="3"/>
        <v>1083.2247061634951</v>
      </c>
      <c r="AM22" s="153">
        <f t="shared" si="4"/>
        <v>1506.9598160707758</v>
      </c>
      <c r="AN22" s="153">
        <f t="shared" si="5"/>
        <v>2290.9494458725517</v>
      </c>
      <c r="AO22" s="153">
        <f t="shared" si="6"/>
        <v>1787.6680171035673</v>
      </c>
      <c r="AP22" s="53" t="str">
        <f t="shared" si="7"/>
        <v>OK</v>
      </c>
      <c r="AQ22" s="153">
        <f t="shared" si="8"/>
        <v>0.4</v>
      </c>
      <c r="AR22" s="150">
        <f t="shared" si="9"/>
        <v>382.95645176470589</v>
      </c>
      <c r="AS22" s="153">
        <f t="shared" si="10"/>
        <v>263.2825605882353</v>
      </c>
      <c r="AT22" s="154">
        <f t="shared" si="11"/>
        <v>745.50657567522512</v>
      </c>
      <c r="AU22" s="153">
        <f t="shared" si="12"/>
        <v>745.50657567522512</v>
      </c>
      <c r="AV22" s="53" t="str">
        <f t="shared" si="13"/>
        <v>OK</v>
      </c>
      <c r="AW22" s="350"/>
      <c r="AX22" s="153">
        <f t="shared" si="14"/>
        <v>386.3983108897059</v>
      </c>
      <c r="AY22" s="153">
        <f t="shared" si="15"/>
        <v>1195.4930916647897</v>
      </c>
      <c r="AZ22" s="150">
        <f t="shared" si="16"/>
        <v>2.9217344667855426E-3</v>
      </c>
      <c r="BA22" s="148">
        <f t="shared" si="17"/>
        <v>32.285165857980246</v>
      </c>
      <c r="BB22" s="144">
        <v>6</v>
      </c>
      <c r="BC22" s="144">
        <v>14</v>
      </c>
      <c r="BD22" s="155">
        <f t="shared" si="18"/>
        <v>39.76</v>
      </c>
      <c r="BE22" s="53" t="str">
        <f t="shared" si="19"/>
        <v>OK</v>
      </c>
      <c r="BF22" s="148">
        <f t="shared" si="20"/>
        <v>0.23</v>
      </c>
      <c r="BG22" s="155" t="str">
        <f t="shared" si="21"/>
        <v>14#6@20</v>
      </c>
      <c r="BH22" s="197">
        <f t="shared" si="22"/>
        <v>0.81200115336972456</v>
      </c>
      <c r="BI22" s="350"/>
      <c r="BJ22" s="155">
        <f t="shared" si="23"/>
        <v>0</v>
      </c>
      <c r="BK22" s="153">
        <f t="shared" si="24"/>
        <v>0</v>
      </c>
      <c r="BL22" s="153">
        <f t="shared" si="25"/>
        <v>0</v>
      </c>
      <c r="BM22" s="153">
        <f t="shared" si="26"/>
        <v>9.2317499999999999</v>
      </c>
      <c r="BN22" s="144">
        <v>8</v>
      </c>
      <c r="BO22" s="155" t="s">
        <v>191</v>
      </c>
      <c r="BP22" s="144">
        <v>5</v>
      </c>
      <c r="BQ22" s="153">
        <f t="shared" si="27"/>
        <v>15.92</v>
      </c>
      <c r="BR22" s="153">
        <f t="shared" si="28"/>
        <v>601.77599999999995</v>
      </c>
      <c r="BS22" s="53" t="str">
        <f t="shared" si="29"/>
        <v>OK</v>
      </c>
      <c r="BT22" s="122"/>
      <c r="BU22" s="350"/>
      <c r="BV22" s="153">
        <f t="shared" si="30"/>
        <v>15.92</v>
      </c>
      <c r="BW22" s="153">
        <f t="shared" si="31"/>
        <v>601.77599999999995</v>
      </c>
      <c r="BX22" s="155" t="str">
        <f t="shared" si="32"/>
        <v>OK</v>
      </c>
      <c r="BY22" s="153">
        <f t="shared" si="33"/>
        <v>93.861875432525977</v>
      </c>
      <c r="BZ22" s="53" t="str">
        <f t="shared" si="34"/>
        <v>OK</v>
      </c>
      <c r="CB22" s="166"/>
      <c r="CF22" s="117"/>
      <c r="CG22" s="350"/>
      <c r="CH22" s="153">
        <f t="shared" si="35"/>
        <v>243.82502907535314</v>
      </c>
      <c r="CI22" s="153">
        <f t="shared" si="36"/>
        <v>0</v>
      </c>
      <c r="CJ22" s="150">
        <f t="shared" si="37"/>
        <v>0</v>
      </c>
      <c r="CK22" s="150">
        <f t="shared" si="38"/>
        <v>0</v>
      </c>
      <c r="CL22" s="53" t="str">
        <f t="shared" si="39"/>
        <v>OK</v>
      </c>
      <c r="CM22" s="158">
        <f t="shared" si="40"/>
        <v>9.2317499999999999</v>
      </c>
      <c r="CN22" s="144">
        <v>8</v>
      </c>
      <c r="CO22" s="155" t="s">
        <v>191</v>
      </c>
      <c r="CP22" s="144">
        <v>5</v>
      </c>
      <c r="CR22" s="117"/>
      <c r="CT22" s="350"/>
      <c r="CU22" s="111">
        <f t="shared" si="41"/>
        <v>253</v>
      </c>
      <c r="CV22" s="156">
        <f t="shared" si="42"/>
        <v>3.4</v>
      </c>
      <c r="CW22" s="156">
        <f t="shared" si="43"/>
        <v>3.4</v>
      </c>
      <c r="CX22" s="140" t="str">
        <f t="shared" si="44"/>
        <v>14#6@20</v>
      </c>
      <c r="CY22" s="140" t="str">
        <f t="shared" si="45"/>
        <v>16#6@20</v>
      </c>
    </row>
    <row r="23" spans="1:108" ht="15" customHeight="1" x14ac:dyDescent="0.25">
      <c r="A23" s="123"/>
      <c r="B23" s="124"/>
      <c r="C23" s="188"/>
      <c r="D23" s="124"/>
      <c r="E23" s="124"/>
      <c r="F23" s="124"/>
      <c r="G23" s="124"/>
      <c r="H23" s="125"/>
      <c r="I23" s="124"/>
      <c r="J23" s="124"/>
      <c r="K23" s="124"/>
      <c r="L23" s="126"/>
      <c r="M23" s="349" t="str">
        <f>Y23</f>
        <v>Z4</v>
      </c>
      <c r="N23" s="143">
        <v>258</v>
      </c>
      <c r="O23" s="144" t="s">
        <v>802</v>
      </c>
      <c r="P23" s="145">
        <f t="shared" si="59"/>
        <v>17.198</v>
      </c>
      <c r="Q23" s="145">
        <f t="shared" si="60"/>
        <v>53.627360000000003</v>
      </c>
      <c r="R23" s="145">
        <f t="shared" si="61"/>
        <v>358.22088000000002</v>
      </c>
      <c r="S23" s="145">
        <f t="shared" si="62"/>
        <v>234.06064000000003</v>
      </c>
      <c r="T23" s="145">
        <f t="shared" si="63"/>
        <v>34.046080000000003</v>
      </c>
      <c r="U23" s="145">
        <v>0.4</v>
      </c>
      <c r="V23" s="146">
        <f t="shared" si="0"/>
        <v>0.32500000000000001</v>
      </c>
      <c r="W23" s="147">
        <f t="shared" si="46"/>
        <v>100.79999999999998</v>
      </c>
      <c r="X23" s="147">
        <f t="shared" si="47"/>
        <v>219.51999999999998</v>
      </c>
      <c r="Y23" s="349" t="s">
        <v>840</v>
      </c>
      <c r="Z23" s="148">
        <f t="shared" si="1"/>
        <v>0.52499999999999991</v>
      </c>
      <c r="AA23" s="149">
        <v>3.2</v>
      </c>
      <c r="AB23" s="148">
        <f t="shared" si="48"/>
        <v>3.005308157292383</v>
      </c>
      <c r="AC23" s="149">
        <v>2.8</v>
      </c>
      <c r="AD23" s="150">
        <f t="shared" si="49"/>
        <v>5.0175429371329849E-2</v>
      </c>
      <c r="AE23" s="150">
        <f t="shared" si="2"/>
        <v>0.34494699862446021</v>
      </c>
      <c r="AF23" s="53" t="str">
        <f t="shared" si="50"/>
        <v>OK</v>
      </c>
      <c r="AG23" s="53" t="str">
        <f t="shared" si="51"/>
        <v>OK</v>
      </c>
      <c r="AH23" s="155" t="s">
        <v>53</v>
      </c>
      <c r="AI23" s="153">
        <f t="shared" si="53"/>
        <v>1.4</v>
      </c>
      <c r="AJ23" s="153">
        <f t="shared" si="54"/>
        <v>3.0250000000000004</v>
      </c>
      <c r="AK23" s="349" t="str">
        <f>Y23</f>
        <v>Z4</v>
      </c>
      <c r="AL23" s="153">
        <f t="shared" si="3"/>
        <v>677.07361107700888</v>
      </c>
      <c r="AM23" s="153">
        <f t="shared" si="4"/>
        <v>1506.9598160707758</v>
      </c>
      <c r="AN23" s="153">
        <f t="shared" si="5"/>
        <v>1943.0248804947107</v>
      </c>
      <c r="AO23" s="153">
        <f t="shared" si="6"/>
        <v>1787.6680171035673</v>
      </c>
      <c r="AP23" s="53" t="str">
        <f t="shared" si="7"/>
        <v>OK</v>
      </c>
      <c r="AQ23" s="153">
        <f t="shared" si="8"/>
        <v>0.4</v>
      </c>
      <c r="AR23" s="150">
        <f t="shared" si="9"/>
        <v>233.24842750000002</v>
      </c>
      <c r="AS23" s="153">
        <f t="shared" si="10"/>
        <v>127.22641499999999</v>
      </c>
      <c r="AT23" s="154">
        <f t="shared" si="11"/>
        <v>701.65324769432959</v>
      </c>
      <c r="AU23" s="153">
        <f t="shared" si="12"/>
        <v>613.94659173253831</v>
      </c>
      <c r="AV23" s="53" t="str">
        <f t="shared" si="13"/>
        <v>OK</v>
      </c>
      <c r="AW23" s="349" t="str">
        <f>AK23</f>
        <v>Z4</v>
      </c>
      <c r="AX23" s="153">
        <f t="shared" si="14"/>
        <v>249.33702913281252</v>
      </c>
      <c r="AY23" s="153">
        <f t="shared" si="15"/>
        <v>819.64835349379507</v>
      </c>
      <c r="AZ23" s="150">
        <f t="shared" si="16"/>
        <v>1.9863579753192917E-3</v>
      </c>
      <c r="BA23" s="148">
        <f t="shared" si="17"/>
        <v>20.658122943320638</v>
      </c>
      <c r="BB23" s="144">
        <v>5</v>
      </c>
      <c r="BC23" s="144">
        <v>13</v>
      </c>
      <c r="BD23" s="155">
        <f t="shared" si="18"/>
        <v>25.87</v>
      </c>
      <c r="BE23" s="53" t="str">
        <f t="shared" si="19"/>
        <v>OK</v>
      </c>
      <c r="BF23" s="148">
        <f t="shared" si="20"/>
        <v>0.23</v>
      </c>
      <c r="BG23" s="155" t="str">
        <f t="shared" si="21"/>
        <v>13#5@20</v>
      </c>
      <c r="BH23" s="197">
        <f t="shared" si="22"/>
        <v>0.79853586947509225</v>
      </c>
      <c r="BI23" s="349" t="str">
        <f>AW23</f>
        <v>Z4</v>
      </c>
      <c r="BJ23" s="155">
        <f t="shared" si="23"/>
        <v>1.3250000000000002</v>
      </c>
      <c r="BK23" s="153">
        <f t="shared" si="24"/>
        <v>234.06064000000003</v>
      </c>
      <c r="BL23" s="153">
        <f t="shared" si="25"/>
        <v>424.84644289855072</v>
      </c>
      <c r="BM23" s="153">
        <f t="shared" si="26"/>
        <v>11.239323886205046</v>
      </c>
      <c r="BN23" s="144">
        <v>8</v>
      </c>
      <c r="BO23" s="155" t="s">
        <v>191</v>
      </c>
      <c r="BP23" s="144">
        <v>5</v>
      </c>
      <c r="BQ23" s="153">
        <f t="shared" si="27"/>
        <v>15.92</v>
      </c>
      <c r="BR23" s="153">
        <f t="shared" si="28"/>
        <v>601.77599999999995</v>
      </c>
      <c r="BS23" s="53" t="str">
        <f t="shared" si="29"/>
        <v>OK</v>
      </c>
      <c r="BT23" s="122"/>
      <c r="BU23" s="349" t="str">
        <f>BI23</f>
        <v>Z4</v>
      </c>
      <c r="BV23" s="153">
        <f t="shared" si="30"/>
        <v>15.92</v>
      </c>
      <c r="BW23" s="153">
        <f t="shared" si="31"/>
        <v>601.77599999999995</v>
      </c>
      <c r="BX23" s="155" t="str">
        <f t="shared" si="32"/>
        <v>OK</v>
      </c>
      <c r="BY23" s="153">
        <f t="shared" si="33"/>
        <v>79.502151110214228</v>
      </c>
      <c r="BZ23" s="53" t="str">
        <f t="shared" si="34"/>
        <v>OK</v>
      </c>
      <c r="CB23" s="351" t="s">
        <v>732</v>
      </c>
      <c r="CC23" s="351"/>
      <c r="CD23" s="351"/>
      <c r="CE23" s="351"/>
      <c r="CF23" s="117"/>
      <c r="CG23" s="349" t="str">
        <f>BU23</f>
        <v>Z4</v>
      </c>
      <c r="CH23" s="153">
        <f t="shared" si="35"/>
        <v>236.52382281828613</v>
      </c>
      <c r="CI23" s="153">
        <f t="shared" si="36"/>
        <v>253.53281901264003</v>
      </c>
      <c r="CJ23" s="150">
        <f t="shared" si="37"/>
        <v>0</v>
      </c>
      <c r="CK23" s="150">
        <f t="shared" si="38"/>
        <v>0</v>
      </c>
      <c r="CL23" s="53" t="str">
        <f t="shared" si="39"/>
        <v>OK</v>
      </c>
      <c r="CM23" s="158">
        <f t="shared" si="40"/>
        <v>11.239323886205046</v>
      </c>
      <c r="CN23" s="144">
        <v>8</v>
      </c>
      <c r="CO23" s="155" t="s">
        <v>191</v>
      </c>
      <c r="CP23" s="144">
        <v>5</v>
      </c>
      <c r="CR23" s="117"/>
      <c r="CT23" s="349" t="str">
        <f t="shared" ref="CT23" si="65">AW23</f>
        <v>Z4</v>
      </c>
      <c r="CU23" s="111">
        <f t="shared" si="41"/>
        <v>258</v>
      </c>
      <c r="CV23" s="156">
        <f t="shared" si="42"/>
        <v>3.2</v>
      </c>
      <c r="CW23" s="156">
        <f t="shared" si="43"/>
        <v>2.8</v>
      </c>
      <c r="CX23" s="140" t="str">
        <f t="shared" si="44"/>
        <v>13#5@20</v>
      </c>
      <c r="CY23" s="140" t="str">
        <f t="shared" si="45"/>
        <v>13#6@20</v>
      </c>
    </row>
    <row r="24" spans="1:108" ht="15" customHeight="1" x14ac:dyDescent="0.25">
      <c r="A24" s="123"/>
      <c r="B24" s="124"/>
      <c r="C24" s="188"/>
      <c r="D24" s="124"/>
      <c r="E24" s="124"/>
      <c r="F24" s="124"/>
      <c r="G24" s="124"/>
      <c r="H24" s="125"/>
      <c r="I24" s="124"/>
      <c r="J24" s="124"/>
      <c r="K24" s="124"/>
      <c r="L24" s="126"/>
      <c r="M24" s="350"/>
      <c r="N24" s="143">
        <v>258</v>
      </c>
      <c r="O24" s="144" t="s">
        <v>802</v>
      </c>
      <c r="P24" s="145">
        <f t="shared" si="59"/>
        <v>10.347200000000001</v>
      </c>
      <c r="Q24" s="145">
        <f t="shared" si="60"/>
        <v>54.105440000000002</v>
      </c>
      <c r="R24" s="145">
        <f t="shared" si="61"/>
        <v>348.00792000000001</v>
      </c>
      <c r="S24" s="145">
        <f t="shared" si="62"/>
        <v>230.69479999999999</v>
      </c>
      <c r="T24" s="145">
        <f t="shared" si="63"/>
        <v>12.37096</v>
      </c>
      <c r="U24" s="145">
        <v>0.4</v>
      </c>
      <c r="V24" s="146">
        <f t="shared" si="0"/>
        <v>0.32500000000000001</v>
      </c>
      <c r="W24" s="147">
        <f t="shared" si="46"/>
        <v>100.79999999999998</v>
      </c>
      <c r="X24" s="147">
        <f t="shared" si="47"/>
        <v>219.51999999999998</v>
      </c>
      <c r="Y24" s="350"/>
      <c r="Z24" s="148">
        <f t="shared" si="1"/>
        <v>0.52499999999999991</v>
      </c>
      <c r="AA24" s="149">
        <v>3.2</v>
      </c>
      <c r="AB24" s="148">
        <f t="shared" si="48"/>
        <v>2.9600741958572208</v>
      </c>
      <c r="AC24" s="149">
        <v>2.8</v>
      </c>
      <c r="AD24" s="150">
        <f t="shared" si="49"/>
        <v>1.8510314517460234E-2</v>
      </c>
      <c r="AE24" s="150">
        <f t="shared" si="2"/>
        <v>0.34518204775883071</v>
      </c>
      <c r="AF24" s="53" t="str">
        <f t="shared" si="50"/>
        <v>OK</v>
      </c>
      <c r="AG24" s="53" t="str">
        <f t="shared" si="51"/>
        <v>OK</v>
      </c>
      <c r="AH24" s="155" t="s">
        <v>53</v>
      </c>
      <c r="AI24" s="153">
        <f t="shared" si="53"/>
        <v>1.4</v>
      </c>
      <c r="AJ24" s="153">
        <f t="shared" si="54"/>
        <v>3.0250000000000004</v>
      </c>
      <c r="AK24" s="350"/>
      <c r="AL24" s="153">
        <f t="shared" si="3"/>
        <v>666.88273546316964</v>
      </c>
      <c r="AM24" s="153">
        <f t="shared" si="4"/>
        <v>1506.9598160707758</v>
      </c>
      <c r="AN24" s="153">
        <f t="shared" si="5"/>
        <v>1943.0248804947107</v>
      </c>
      <c r="AO24" s="153">
        <f t="shared" si="6"/>
        <v>1787.6680171035673</v>
      </c>
      <c r="AP24" s="53" t="str">
        <f t="shared" si="7"/>
        <v>OK</v>
      </c>
      <c r="AQ24" s="153">
        <f t="shared" si="8"/>
        <v>0.4</v>
      </c>
      <c r="AR24" s="150">
        <f t="shared" si="9"/>
        <v>229.73772249999999</v>
      </c>
      <c r="AS24" s="153">
        <f t="shared" si="10"/>
        <v>125.31148499999998</v>
      </c>
      <c r="AT24" s="154">
        <f t="shared" si="11"/>
        <v>701.65324769432959</v>
      </c>
      <c r="AU24" s="153">
        <f t="shared" si="12"/>
        <v>613.94659173253831</v>
      </c>
      <c r="AV24" s="53" t="str">
        <f t="shared" si="13"/>
        <v>OK</v>
      </c>
      <c r="AW24" s="350"/>
      <c r="AX24" s="153">
        <f t="shared" si="14"/>
        <v>224.42148852343749</v>
      </c>
      <c r="AY24" s="153">
        <f t="shared" si="15"/>
        <v>737.74322328546168</v>
      </c>
      <c r="AZ24" s="150">
        <f t="shared" si="16"/>
        <v>1.8E-3</v>
      </c>
      <c r="BA24" s="148">
        <f t="shared" si="17"/>
        <v>18.720000000000002</v>
      </c>
      <c r="BB24" s="144">
        <v>5</v>
      </c>
      <c r="BC24" s="144">
        <v>13</v>
      </c>
      <c r="BD24" s="155">
        <f t="shared" si="18"/>
        <v>25.87</v>
      </c>
      <c r="BE24" s="53" t="str">
        <f t="shared" si="19"/>
        <v>OK</v>
      </c>
      <c r="BF24" s="148">
        <f t="shared" si="20"/>
        <v>0.23</v>
      </c>
      <c r="BG24" s="155" t="str">
        <f t="shared" si="21"/>
        <v>13#5@20</v>
      </c>
      <c r="BH24" s="197">
        <f t="shared" si="22"/>
        <v>0.72361809045226133</v>
      </c>
      <c r="BI24" s="350"/>
      <c r="BJ24" s="155">
        <f t="shared" si="23"/>
        <v>1.3250000000000002</v>
      </c>
      <c r="BK24" s="153">
        <f t="shared" si="24"/>
        <v>230.69479999999999</v>
      </c>
      <c r="BL24" s="153">
        <f t="shared" si="25"/>
        <v>418.36086144927532</v>
      </c>
      <c r="BM24" s="153">
        <f t="shared" si="26"/>
        <v>11.067747657388235</v>
      </c>
      <c r="BN24" s="144">
        <v>8</v>
      </c>
      <c r="BO24" s="155" t="s">
        <v>191</v>
      </c>
      <c r="BP24" s="144">
        <v>5</v>
      </c>
      <c r="BQ24" s="153">
        <f t="shared" si="27"/>
        <v>15.92</v>
      </c>
      <c r="BR24" s="153">
        <f t="shared" si="28"/>
        <v>601.77599999999995</v>
      </c>
      <c r="BS24" s="53" t="str">
        <f t="shared" si="29"/>
        <v>OK</v>
      </c>
      <c r="BT24" s="122"/>
      <c r="BU24" s="350"/>
      <c r="BV24" s="153">
        <f t="shared" si="30"/>
        <v>15.92</v>
      </c>
      <c r="BW24" s="153">
        <f t="shared" si="31"/>
        <v>601.77599999999995</v>
      </c>
      <c r="BX24" s="155" t="str">
        <f t="shared" si="32"/>
        <v>OK</v>
      </c>
      <c r="BY24" s="153">
        <f t="shared" si="33"/>
        <v>78.39110870864836</v>
      </c>
      <c r="BZ24" s="53" t="str">
        <f t="shared" si="34"/>
        <v>OK</v>
      </c>
      <c r="CB24" s="351"/>
      <c r="CC24" s="351"/>
      <c r="CD24" s="351"/>
      <c r="CE24" s="351"/>
      <c r="CF24" s="117"/>
      <c r="CG24" s="350"/>
      <c r="CH24" s="153">
        <f t="shared" si="35"/>
        <v>231.02625694574544</v>
      </c>
      <c r="CI24" s="153">
        <f t="shared" si="36"/>
        <v>250.81529443405404</v>
      </c>
      <c r="CJ24" s="150">
        <f t="shared" si="37"/>
        <v>0</v>
      </c>
      <c r="CK24" s="150">
        <f t="shared" si="38"/>
        <v>0</v>
      </c>
      <c r="CL24" s="53" t="str">
        <f t="shared" si="39"/>
        <v>OK</v>
      </c>
      <c r="CM24" s="158">
        <f t="shared" si="40"/>
        <v>11.067747657388235</v>
      </c>
      <c r="CN24" s="144">
        <v>8</v>
      </c>
      <c r="CO24" s="155" t="s">
        <v>191</v>
      </c>
      <c r="CP24" s="144">
        <v>5</v>
      </c>
      <c r="CR24" s="117"/>
      <c r="CT24" s="350"/>
      <c r="CU24" s="111">
        <f t="shared" si="41"/>
        <v>258</v>
      </c>
      <c r="CV24" s="156">
        <f t="shared" si="42"/>
        <v>3.2</v>
      </c>
      <c r="CW24" s="156">
        <f t="shared" si="43"/>
        <v>2.8</v>
      </c>
      <c r="CX24" s="140" t="str">
        <f t="shared" si="44"/>
        <v>13#5@20</v>
      </c>
      <c r="CY24" s="140" t="str">
        <f t="shared" si="45"/>
        <v>13#6@20</v>
      </c>
    </row>
    <row r="25" spans="1:108" ht="15" customHeight="1" x14ac:dyDescent="0.25">
      <c r="A25" s="123"/>
      <c r="B25" s="124"/>
      <c r="C25" s="188"/>
      <c r="D25" s="124"/>
      <c r="E25" s="124"/>
      <c r="F25" s="124"/>
      <c r="G25" s="124"/>
      <c r="H25" s="125"/>
      <c r="I25" s="124"/>
      <c r="J25" s="124"/>
      <c r="K25" s="124"/>
      <c r="L25" s="126"/>
      <c r="M25" s="349" t="str">
        <f>Y25</f>
        <v>Z4</v>
      </c>
      <c r="N25" s="143">
        <v>263</v>
      </c>
      <c r="O25" s="144" t="s">
        <v>802</v>
      </c>
      <c r="P25" s="145">
        <f t="shared" si="59"/>
        <v>16.953440000000001</v>
      </c>
      <c r="Q25" s="145">
        <f t="shared" si="60"/>
        <v>53.498080000000009</v>
      </c>
      <c r="R25" s="145">
        <f t="shared" si="61"/>
        <v>357.60888</v>
      </c>
      <c r="S25" s="145">
        <f t="shared" si="62"/>
        <v>233.69880000000001</v>
      </c>
      <c r="T25" s="145">
        <f t="shared" si="63"/>
        <v>33.684320000000007</v>
      </c>
      <c r="U25" s="145">
        <v>0.4</v>
      </c>
      <c r="V25" s="146">
        <f t="shared" si="0"/>
        <v>0.32500000000000001</v>
      </c>
      <c r="W25" s="147">
        <f t="shared" si="46"/>
        <v>100.79999999999998</v>
      </c>
      <c r="X25" s="147">
        <f t="shared" si="47"/>
        <v>219.51999999999998</v>
      </c>
      <c r="Y25" s="349" t="s">
        <v>840</v>
      </c>
      <c r="Z25" s="148">
        <f t="shared" si="1"/>
        <v>0.52499999999999991</v>
      </c>
      <c r="AA25" s="149">
        <v>3.2</v>
      </c>
      <c r="AB25" s="148">
        <f t="shared" si="48"/>
        <v>3.0025975636546596</v>
      </c>
      <c r="AC25" s="149">
        <v>2.8</v>
      </c>
      <c r="AD25" s="150">
        <f t="shared" si="49"/>
        <v>4.9687099921159883E-2</v>
      </c>
      <c r="AE25" s="150">
        <f t="shared" si="2"/>
        <v>0.34472465607306779</v>
      </c>
      <c r="AF25" s="53" t="str">
        <f t="shared" si="50"/>
        <v>OK</v>
      </c>
      <c r="AG25" s="53" t="str">
        <f t="shared" si="51"/>
        <v>OK</v>
      </c>
      <c r="AH25" s="155" t="s">
        <v>53</v>
      </c>
      <c r="AI25" s="153">
        <f t="shared" si="53"/>
        <v>1.4</v>
      </c>
      <c r="AJ25" s="153">
        <f t="shared" si="54"/>
        <v>3.0250000000000004</v>
      </c>
      <c r="AK25" s="349" t="str">
        <f>Y25</f>
        <v>Z4</v>
      </c>
      <c r="AL25" s="153">
        <f t="shared" si="3"/>
        <v>676.46293445870538</v>
      </c>
      <c r="AM25" s="153">
        <f t="shared" si="4"/>
        <v>1506.9598160707758</v>
      </c>
      <c r="AN25" s="153">
        <f t="shared" si="5"/>
        <v>1943.0248804947107</v>
      </c>
      <c r="AO25" s="153">
        <f t="shared" si="6"/>
        <v>1787.6680171035673</v>
      </c>
      <c r="AP25" s="53" t="str">
        <f t="shared" si="7"/>
        <v>OK</v>
      </c>
      <c r="AQ25" s="153">
        <f t="shared" si="8"/>
        <v>0.4</v>
      </c>
      <c r="AR25" s="150">
        <f t="shared" si="9"/>
        <v>233.03805249999999</v>
      </c>
      <c r="AS25" s="153">
        <f t="shared" si="10"/>
        <v>127.11166499999999</v>
      </c>
      <c r="AT25" s="154">
        <f t="shared" si="11"/>
        <v>701.65324769432959</v>
      </c>
      <c r="AU25" s="153">
        <f t="shared" si="12"/>
        <v>613.94659173253831</v>
      </c>
      <c r="AV25" s="53" t="str">
        <f t="shared" si="13"/>
        <v>OK</v>
      </c>
      <c r="AW25" s="349" t="str">
        <f>AK25</f>
        <v>Z4</v>
      </c>
      <c r="AX25" s="153">
        <f t="shared" si="14"/>
        <v>248.78109061718752</v>
      </c>
      <c r="AY25" s="153">
        <f t="shared" si="15"/>
        <v>817.82081070738809</v>
      </c>
      <c r="AZ25" s="150">
        <f t="shared" si="16"/>
        <v>1.9818488005787049E-3</v>
      </c>
      <c r="BA25" s="148">
        <f t="shared" si="17"/>
        <v>20.611227526018531</v>
      </c>
      <c r="BB25" s="144">
        <v>5</v>
      </c>
      <c r="BC25" s="144">
        <v>13</v>
      </c>
      <c r="BD25" s="155">
        <f t="shared" si="18"/>
        <v>25.87</v>
      </c>
      <c r="BE25" s="53" t="str">
        <f t="shared" si="19"/>
        <v>OK</v>
      </c>
      <c r="BF25" s="148">
        <f t="shared" si="20"/>
        <v>0.23</v>
      </c>
      <c r="BG25" s="155" t="str">
        <f t="shared" si="21"/>
        <v>13#5@20</v>
      </c>
      <c r="BH25" s="197">
        <f t="shared" si="22"/>
        <v>0.79672313591103716</v>
      </c>
      <c r="BI25" s="349" t="str">
        <f>AW25</f>
        <v>Z4</v>
      </c>
      <c r="BJ25" s="155">
        <f t="shared" si="23"/>
        <v>1.3250000000000002</v>
      </c>
      <c r="BK25" s="153">
        <f t="shared" si="24"/>
        <v>233.69880000000001</v>
      </c>
      <c r="BL25" s="153">
        <f t="shared" si="25"/>
        <v>424.55063999999993</v>
      </c>
      <c r="BM25" s="153">
        <f t="shared" si="26"/>
        <v>11.231498412698411</v>
      </c>
      <c r="BN25" s="144">
        <v>8</v>
      </c>
      <c r="BO25" s="155" t="s">
        <v>191</v>
      </c>
      <c r="BP25" s="144">
        <v>5</v>
      </c>
      <c r="BQ25" s="153">
        <f t="shared" si="27"/>
        <v>15.92</v>
      </c>
      <c r="BR25" s="153">
        <f t="shared" si="28"/>
        <v>601.77599999999995</v>
      </c>
      <c r="BS25" s="53" t="str">
        <f t="shared" si="29"/>
        <v>OK</v>
      </c>
      <c r="BT25" s="122"/>
      <c r="BU25" s="349" t="str">
        <f>BI25</f>
        <v>Z4</v>
      </c>
      <c r="BV25" s="153">
        <f t="shared" si="30"/>
        <v>15.92</v>
      </c>
      <c r="BW25" s="153">
        <f t="shared" si="31"/>
        <v>601.77599999999995</v>
      </c>
      <c r="BX25" s="155" t="str">
        <f t="shared" si="32"/>
        <v>OK</v>
      </c>
      <c r="BY25" s="153">
        <f t="shared" si="33"/>
        <v>79.431783944291524</v>
      </c>
      <c r="BZ25" s="53" t="str">
        <f t="shared" si="34"/>
        <v>OK</v>
      </c>
      <c r="CB25" s="114"/>
      <c r="CC25" s="114"/>
      <c r="CD25" s="114"/>
      <c r="CE25" s="114"/>
      <c r="CF25" s="117"/>
      <c r="CG25" s="349" t="str">
        <f>BU25</f>
        <v>Z4</v>
      </c>
      <c r="CH25" s="153">
        <f t="shared" si="35"/>
        <v>236.11387620235791</v>
      </c>
      <c r="CI25" s="153">
        <f t="shared" si="36"/>
        <v>253.41561976977934</v>
      </c>
      <c r="CJ25" s="150">
        <f t="shared" si="37"/>
        <v>0</v>
      </c>
      <c r="CK25" s="150">
        <f t="shared" si="38"/>
        <v>0</v>
      </c>
      <c r="CL25" s="53" t="str">
        <f t="shared" si="39"/>
        <v>OK</v>
      </c>
      <c r="CM25" s="158">
        <f t="shared" si="40"/>
        <v>11.231498412698411</v>
      </c>
      <c r="CN25" s="144">
        <v>8</v>
      </c>
      <c r="CO25" s="155" t="s">
        <v>191</v>
      </c>
      <c r="CP25" s="144">
        <v>5</v>
      </c>
      <c r="CR25" s="117"/>
      <c r="CT25" s="349" t="str">
        <f t="shared" ref="CT25" si="66">AW25</f>
        <v>Z4</v>
      </c>
      <c r="CU25" s="111">
        <f t="shared" si="41"/>
        <v>263</v>
      </c>
      <c r="CV25" s="156">
        <f t="shared" si="42"/>
        <v>3.2</v>
      </c>
      <c r="CW25" s="156">
        <f t="shared" si="43"/>
        <v>2.8</v>
      </c>
      <c r="CX25" s="140" t="str">
        <f t="shared" si="44"/>
        <v>13#5@20</v>
      </c>
      <c r="CY25" s="140" t="str">
        <f t="shared" si="45"/>
        <v>13#6@20</v>
      </c>
    </row>
    <row r="26" spans="1:108" ht="15" customHeight="1" x14ac:dyDescent="0.25">
      <c r="A26" s="123"/>
      <c r="B26" s="124"/>
      <c r="C26" s="188"/>
      <c r="D26" s="124"/>
      <c r="E26" s="124"/>
      <c r="F26" s="124"/>
      <c r="G26" s="124"/>
      <c r="H26" s="125"/>
      <c r="I26" s="124"/>
      <c r="J26" s="124"/>
      <c r="K26" s="124"/>
      <c r="L26" s="126"/>
      <c r="M26" s="350"/>
      <c r="N26" s="143">
        <v>263</v>
      </c>
      <c r="O26" s="144" t="s">
        <v>802</v>
      </c>
      <c r="P26" s="145">
        <f t="shared" si="59"/>
        <v>10.076720000000002</v>
      </c>
      <c r="Q26" s="145">
        <f t="shared" si="60"/>
        <v>54.269440000000003</v>
      </c>
      <c r="R26" s="145">
        <f t="shared" si="61"/>
        <v>347.30136000000005</v>
      </c>
      <c r="S26" s="145">
        <f t="shared" si="62"/>
        <v>230.37184000000002</v>
      </c>
      <c r="T26" s="145">
        <f t="shared" si="63"/>
        <v>11.939920000000001</v>
      </c>
      <c r="U26" s="145">
        <v>0.4</v>
      </c>
      <c r="V26" s="146">
        <f t="shared" si="0"/>
        <v>0.32500000000000001</v>
      </c>
      <c r="W26" s="147">
        <f t="shared" si="46"/>
        <v>100.79999999999998</v>
      </c>
      <c r="X26" s="147">
        <f t="shared" si="47"/>
        <v>219.51999999999998</v>
      </c>
      <c r="Y26" s="350"/>
      <c r="Z26" s="148">
        <f t="shared" si="1"/>
        <v>0.52499999999999991</v>
      </c>
      <c r="AA26" s="149">
        <v>3.2</v>
      </c>
      <c r="AB26" s="148">
        <f t="shared" si="48"/>
        <v>2.956944788928022</v>
      </c>
      <c r="AC26" s="149">
        <v>2.8</v>
      </c>
      <c r="AD26" s="150">
        <f t="shared" si="49"/>
        <v>1.788426901140491E-2</v>
      </c>
      <c r="AE26" s="150">
        <f t="shared" si="2"/>
        <v>0.34506361510063133</v>
      </c>
      <c r="AF26" s="53" t="str">
        <f t="shared" si="50"/>
        <v>OK</v>
      </c>
      <c r="AG26" s="53" t="str">
        <f t="shared" si="51"/>
        <v>OK</v>
      </c>
      <c r="AH26" s="155" t="s">
        <v>53</v>
      </c>
      <c r="AI26" s="153">
        <f t="shared" si="53"/>
        <v>1.4</v>
      </c>
      <c r="AJ26" s="153">
        <f t="shared" si="54"/>
        <v>3.0250000000000004</v>
      </c>
      <c r="AK26" s="350"/>
      <c r="AL26" s="153">
        <f t="shared" si="3"/>
        <v>666.17770332031239</v>
      </c>
      <c r="AM26" s="153">
        <f t="shared" si="4"/>
        <v>1506.9598160707758</v>
      </c>
      <c r="AN26" s="153">
        <f t="shared" si="5"/>
        <v>1943.0248804947107</v>
      </c>
      <c r="AO26" s="153">
        <f t="shared" si="6"/>
        <v>1787.6680171035673</v>
      </c>
      <c r="AP26" s="53" t="str">
        <f t="shared" si="7"/>
        <v>OK</v>
      </c>
      <c r="AQ26" s="153">
        <f t="shared" si="8"/>
        <v>0.4</v>
      </c>
      <c r="AR26" s="150">
        <f t="shared" si="9"/>
        <v>229.49484249999998</v>
      </c>
      <c r="AS26" s="153">
        <f t="shared" si="10"/>
        <v>125.17900499999999</v>
      </c>
      <c r="AT26" s="154">
        <f t="shared" si="11"/>
        <v>701.65324769432959</v>
      </c>
      <c r="AU26" s="153">
        <f t="shared" si="12"/>
        <v>613.94659173253831</v>
      </c>
      <c r="AV26" s="53" t="str">
        <f t="shared" si="13"/>
        <v>OK</v>
      </c>
      <c r="AW26" s="350"/>
      <c r="AX26" s="153">
        <f t="shared" si="14"/>
        <v>223.76626752343748</v>
      </c>
      <c r="AY26" s="153">
        <f t="shared" si="15"/>
        <v>735.58930809808487</v>
      </c>
      <c r="AZ26" s="150">
        <f t="shared" si="16"/>
        <v>1.8E-3</v>
      </c>
      <c r="BA26" s="148">
        <f t="shared" si="17"/>
        <v>18.720000000000002</v>
      </c>
      <c r="BB26" s="144">
        <v>5</v>
      </c>
      <c r="BC26" s="144">
        <v>13</v>
      </c>
      <c r="BD26" s="155">
        <f t="shared" si="18"/>
        <v>25.87</v>
      </c>
      <c r="BE26" s="53" t="str">
        <f t="shared" si="19"/>
        <v>OK</v>
      </c>
      <c r="BF26" s="148">
        <f t="shared" si="20"/>
        <v>0.23</v>
      </c>
      <c r="BG26" s="155" t="str">
        <f t="shared" si="21"/>
        <v>13#5@20</v>
      </c>
      <c r="BH26" s="197">
        <f t="shared" si="22"/>
        <v>0.72361809045226133</v>
      </c>
      <c r="BI26" s="350"/>
      <c r="BJ26" s="155">
        <f t="shared" si="23"/>
        <v>1.3250000000000002</v>
      </c>
      <c r="BK26" s="153">
        <f t="shared" si="24"/>
        <v>230.37184000000002</v>
      </c>
      <c r="BL26" s="153">
        <f t="shared" si="25"/>
        <v>417.96440463768113</v>
      </c>
      <c r="BM26" s="153">
        <f t="shared" si="26"/>
        <v>11.057259381949237</v>
      </c>
      <c r="BN26" s="144">
        <v>8</v>
      </c>
      <c r="BO26" s="155" t="s">
        <v>191</v>
      </c>
      <c r="BP26" s="144">
        <v>5</v>
      </c>
      <c r="BQ26" s="153">
        <f t="shared" si="27"/>
        <v>15.92</v>
      </c>
      <c r="BR26" s="153">
        <f t="shared" si="28"/>
        <v>601.77599999999995</v>
      </c>
      <c r="BS26" s="53" t="str">
        <f t="shared" si="29"/>
        <v>OK</v>
      </c>
      <c r="BT26" s="122"/>
      <c r="BU26" s="350"/>
      <c r="BV26" s="153">
        <f t="shared" si="30"/>
        <v>15.92</v>
      </c>
      <c r="BW26" s="153">
        <f t="shared" si="31"/>
        <v>601.77599999999995</v>
      </c>
      <c r="BX26" s="155" t="str">
        <f t="shared" si="32"/>
        <v>OK</v>
      </c>
      <c r="BY26" s="153">
        <f t="shared" si="33"/>
        <v>78.30992324698714</v>
      </c>
      <c r="BZ26" s="53" t="str">
        <f t="shared" si="34"/>
        <v>OK</v>
      </c>
      <c r="CB26" s="114"/>
      <c r="CC26" s="114"/>
      <c r="CD26" s="114"/>
      <c r="CE26" s="114"/>
      <c r="CF26" s="117"/>
      <c r="CG26" s="350"/>
      <c r="CH26" s="153">
        <f t="shared" si="35"/>
        <v>230.68104897150093</v>
      </c>
      <c r="CI26" s="153">
        <f t="shared" si="36"/>
        <v>250.60737296993767</v>
      </c>
      <c r="CJ26" s="150">
        <f t="shared" si="37"/>
        <v>0</v>
      </c>
      <c r="CK26" s="150">
        <f t="shared" si="38"/>
        <v>0</v>
      </c>
      <c r="CL26" s="53" t="str">
        <f t="shared" si="39"/>
        <v>OK</v>
      </c>
      <c r="CM26" s="158">
        <f t="shared" si="40"/>
        <v>11.057259381949237</v>
      </c>
      <c r="CN26" s="144">
        <v>8</v>
      </c>
      <c r="CO26" s="155" t="s">
        <v>191</v>
      </c>
      <c r="CP26" s="144">
        <v>5</v>
      </c>
      <c r="CR26" s="117"/>
      <c r="CT26" s="350"/>
      <c r="CU26" s="111">
        <f t="shared" si="41"/>
        <v>263</v>
      </c>
      <c r="CV26" s="156">
        <f t="shared" si="42"/>
        <v>3.2</v>
      </c>
      <c r="CW26" s="156">
        <f t="shared" si="43"/>
        <v>2.8</v>
      </c>
      <c r="CX26" s="140" t="str">
        <f t="shared" si="44"/>
        <v>13#5@20</v>
      </c>
      <c r="CY26" s="140" t="str">
        <f t="shared" si="45"/>
        <v>13#6@20</v>
      </c>
    </row>
    <row r="27" spans="1:108" ht="15" customHeight="1" x14ac:dyDescent="0.25">
      <c r="A27" s="123"/>
      <c r="B27" s="124"/>
      <c r="C27" s="188"/>
      <c r="D27" s="124"/>
      <c r="E27" s="124"/>
      <c r="F27" s="124"/>
      <c r="G27" s="124"/>
      <c r="H27" s="125"/>
      <c r="I27" s="124"/>
      <c r="J27" s="124"/>
      <c r="K27" s="124"/>
      <c r="L27" s="126"/>
      <c r="M27" s="349" t="str">
        <f>Y27</f>
        <v>Z3</v>
      </c>
      <c r="N27" s="143">
        <v>268</v>
      </c>
      <c r="O27" s="144" t="s">
        <v>837</v>
      </c>
      <c r="P27" s="145">
        <f t="shared" si="59"/>
        <v>4.1785600000000001</v>
      </c>
      <c r="Q27" s="145">
        <f t="shared" si="60"/>
        <v>53.639919999999996</v>
      </c>
      <c r="R27" s="145">
        <f t="shared" si="61"/>
        <v>664.81920000000002</v>
      </c>
      <c r="S27" s="145">
        <f t="shared" si="62"/>
        <v>233.5292</v>
      </c>
      <c r="T27" s="145">
        <f t="shared" si="63"/>
        <v>12.13048</v>
      </c>
      <c r="U27" s="145">
        <v>0.4</v>
      </c>
      <c r="V27" s="146">
        <f t="shared" si="0"/>
        <v>0.32500000000000001</v>
      </c>
      <c r="W27" s="147">
        <f t="shared" si="46"/>
        <v>125.76</v>
      </c>
      <c r="X27" s="147">
        <f t="shared" si="47"/>
        <v>286.08</v>
      </c>
      <c r="Y27" s="349" t="s">
        <v>839</v>
      </c>
      <c r="Z27" s="148">
        <f t="shared" si="1"/>
        <v>2.7622031452678897</v>
      </c>
      <c r="AA27" s="149">
        <v>3.4</v>
      </c>
      <c r="AB27" s="148">
        <f t="shared" si="48"/>
        <v>2.7622031452678897</v>
      </c>
      <c r="AC27" s="149">
        <v>3.4</v>
      </c>
      <c r="AD27" s="150">
        <f t="shared" si="49"/>
        <v>1.1266777825332287E-2</v>
      </c>
      <c r="AE27" s="150">
        <f t="shared" si="2"/>
        <v>0.21690168996837625</v>
      </c>
      <c r="AF27" s="53" t="str">
        <f t="shared" si="50"/>
        <v>OK</v>
      </c>
      <c r="AG27" s="53" t="str">
        <f t="shared" si="51"/>
        <v>OK</v>
      </c>
      <c r="AH27" s="155" t="str">
        <f t="shared" si="52"/>
        <v>Central</v>
      </c>
      <c r="AI27" s="153">
        <f t="shared" si="53"/>
        <v>1.7</v>
      </c>
      <c r="AJ27" s="153">
        <f t="shared" si="54"/>
        <v>1.7</v>
      </c>
      <c r="AK27" s="349" t="str">
        <f>Y27</f>
        <v>Z3</v>
      </c>
      <c r="AL27" s="153">
        <f t="shared" si="3"/>
        <v>1074.854678200692</v>
      </c>
      <c r="AM27" s="153">
        <f t="shared" si="4"/>
        <v>1506.9598160707758</v>
      </c>
      <c r="AN27" s="153">
        <f t="shared" si="5"/>
        <v>2290.9494458725517</v>
      </c>
      <c r="AO27" s="153">
        <f t="shared" si="6"/>
        <v>1787.6680171035673</v>
      </c>
      <c r="AP27" s="53" t="str">
        <f t="shared" si="7"/>
        <v>OK</v>
      </c>
      <c r="AQ27" s="153">
        <f t="shared" si="8"/>
        <v>0.4</v>
      </c>
      <c r="AR27" s="150">
        <f t="shared" si="9"/>
        <v>379.99736470588238</v>
      </c>
      <c r="AS27" s="153">
        <f t="shared" si="10"/>
        <v>261.24818823529409</v>
      </c>
      <c r="AT27" s="154">
        <f t="shared" si="11"/>
        <v>745.50657567522512</v>
      </c>
      <c r="AU27" s="153">
        <f t="shared" si="12"/>
        <v>745.50657567522512</v>
      </c>
      <c r="AV27" s="53" t="str">
        <f t="shared" si="13"/>
        <v>OK</v>
      </c>
      <c r="AW27" s="349" t="str">
        <f>AK27</f>
        <v>Z3</v>
      </c>
      <c r="AX27" s="153">
        <f t="shared" si="14"/>
        <v>380.3518847058823</v>
      </c>
      <c r="AY27" s="153">
        <f t="shared" si="15"/>
        <v>1176.7858133762843</v>
      </c>
      <c r="AZ27" s="150">
        <f t="shared" si="16"/>
        <v>2.8747924392476766E-3</v>
      </c>
      <c r="BA27" s="148">
        <f t="shared" si="17"/>
        <v>31.766456453686825</v>
      </c>
      <c r="BB27" s="144">
        <v>6</v>
      </c>
      <c r="BC27" s="144">
        <v>14</v>
      </c>
      <c r="BD27" s="155">
        <f t="shared" si="18"/>
        <v>39.76</v>
      </c>
      <c r="BE27" s="53" t="str">
        <f t="shared" si="19"/>
        <v>OK</v>
      </c>
      <c r="BF27" s="148">
        <f t="shared" si="20"/>
        <v>0.23</v>
      </c>
      <c r="BG27" s="155" t="str">
        <f t="shared" si="21"/>
        <v>14#6@20</v>
      </c>
      <c r="BH27" s="197">
        <f t="shared" si="22"/>
        <v>0.79895514219534269</v>
      </c>
      <c r="BI27" s="349" t="str">
        <f>AW27</f>
        <v>Z3</v>
      </c>
      <c r="BJ27" s="155">
        <f t="shared" si="23"/>
        <v>0</v>
      </c>
      <c r="BK27" s="153">
        <f t="shared" si="24"/>
        <v>0</v>
      </c>
      <c r="BL27" s="153">
        <f t="shared" si="25"/>
        <v>0</v>
      </c>
      <c r="BM27" s="153">
        <f t="shared" si="26"/>
        <v>9.2317499999999999</v>
      </c>
      <c r="BN27" s="144">
        <v>8</v>
      </c>
      <c r="BO27" s="155" t="s">
        <v>191</v>
      </c>
      <c r="BP27" s="144">
        <v>5</v>
      </c>
      <c r="BQ27" s="153">
        <f t="shared" si="27"/>
        <v>15.92</v>
      </c>
      <c r="BR27" s="153">
        <f t="shared" si="28"/>
        <v>601.77599999999995</v>
      </c>
      <c r="BS27" s="53" t="str">
        <f t="shared" si="29"/>
        <v>OK</v>
      </c>
      <c r="BT27" s="122"/>
      <c r="BU27" s="349" t="str">
        <f>BI27</f>
        <v>Z3</v>
      </c>
      <c r="BV27" s="153">
        <f t="shared" si="30"/>
        <v>15.92</v>
      </c>
      <c r="BW27" s="153">
        <f t="shared" si="31"/>
        <v>601.77599999999995</v>
      </c>
      <c r="BX27" s="155" t="str">
        <f t="shared" si="32"/>
        <v>OK</v>
      </c>
      <c r="BY27" s="153">
        <f t="shared" si="33"/>
        <v>93.136608996539806</v>
      </c>
      <c r="BZ27" s="53" t="str">
        <f t="shared" si="34"/>
        <v>OK</v>
      </c>
      <c r="CB27" s="114"/>
      <c r="CC27" s="114"/>
      <c r="CD27" s="114"/>
      <c r="CE27" s="114"/>
      <c r="CF27" s="117"/>
      <c r="CG27" s="349" t="str">
        <f>BU27</f>
        <v>Z3</v>
      </c>
      <c r="CH27" s="153">
        <f t="shared" si="35"/>
        <v>233.84404161250379</v>
      </c>
      <c r="CI27" s="153">
        <f t="shared" si="36"/>
        <v>0</v>
      </c>
      <c r="CJ27" s="150">
        <f t="shared" si="37"/>
        <v>0</v>
      </c>
      <c r="CK27" s="150">
        <f t="shared" si="38"/>
        <v>0</v>
      </c>
      <c r="CL27" s="53" t="str">
        <f t="shared" si="39"/>
        <v>OK</v>
      </c>
      <c r="CM27" s="158">
        <f t="shared" si="40"/>
        <v>9.2317499999999999</v>
      </c>
      <c r="CN27" s="144">
        <v>8</v>
      </c>
      <c r="CO27" s="155" t="s">
        <v>191</v>
      </c>
      <c r="CP27" s="144">
        <v>5</v>
      </c>
      <c r="CR27" s="117"/>
      <c r="CT27" s="349" t="str">
        <f t="shared" ref="CT27" si="67">AW27</f>
        <v>Z3</v>
      </c>
      <c r="CU27" s="111">
        <f t="shared" si="41"/>
        <v>268</v>
      </c>
      <c r="CV27" s="156">
        <f t="shared" si="42"/>
        <v>3.4</v>
      </c>
      <c r="CW27" s="156">
        <f t="shared" si="43"/>
        <v>3.4</v>
      </c>
      <c r="CX27" s="140" t="str">
        <f t="shared" si="44"/>
        <v>14#6@20</v>
      </c>
      <c r="CY27" s="140" t="str">
        <f t="shared" si="45"/>
        <v>16#6@20</v>
      </c>
    </row>
    <row r="28" spans="1:108" ht="15" customHeight="1" x14ac:dyDescent="0.25">
      <c r="A28" s="123"/>
      <c r="B28" s="124"/>
      <c r="C28" s="188"/>
      <c r="D28" s="124"/>
      <c r="E28" s="124"/>
      <c r="F28" s="124"/>
      <c r="G28" s="124"/>
      <c r="H28" s="125"/>
      <c r="I28" s="124"/>
      <c r="J28" s="124"/>
      <c r="K28" s="124"/>
      <c r="L28" s="126"/>
      <c r="M28" s="350"/>
      <c r="N28" s="143">
        <v>268</v>
      </c>
      <c r="O28" s="144" t="s">
        <v>837</v>
      </c>
      <c r="P28" s="145">
        <f t="shared" si="59"/>
        <v>4.3532000000000002</v>
      </c>
      <c r="Q28" s="145">
        <f t="shared" si="60"/>
        <v>53.968719999999998</v>
      </c>
      <c r="R28" s="145">
        <f t="shared" si="61"/>
        <v>661.58960000000002</v>
      </c>
      <c r="S28" s="145">
        <f t="shared" si="62"/>
        <v>232.08087999999998</v>
      </c>
      <c r="T28" s="145">
        <f t="shared" si="63"/>
        <v>12.610480000000001</v>
      </c>
      <c r="U28" s="145">
        <v>0.4</v>
      </c>
      <c r="V28" s="146">
        <f t="shared" si="0"/>
        <v>0.32500000000000001</v>
      </c>
      <c r="W28" s="147">
        <f t="shared" si="46"/>
        <v>125.76</v>
      </c>
      <c r="X28" s="147">
        <f t="shared" si="47"/>
        <v>286.08</v>
      </c>
      <c r="Y28" s="350"/>
      <c r="Z28" s="148">
        <f t="shared" si="1"/>
        <v>2.7580572135019841</v>
      </c>
      <c r="AA28" s="149">
        <v>3.4</v>
      </c>
      <c r="AB28" s="148">
        <f t="shared" si="48"/>
        <v>2.7580572135019841</v>
      </c>
      <c r="AC28" s="149">
        <v>3.4</v>
      </c>
      <c r="AD28" s="150">
        <f t="shared" si="49"/>
        <v>1.1747840752667899E-2</v>
      </c>
      <c r="AE28" s="150">
        <f t="shared" si="2"/>
        <v>0.21620503105187336</v>
      </c>
      <c r="AF28" s="53" t="str">
        <f t="shared" si="50"/>
        <v>OK</v>
      </c>
      <c r="AG28" s="53" t="str">
        <f t="shared" si="51"/>
        <v>OK</v>
      </c>
      <c r="AH28" s="155" t="str">
        <f t="shared" si="52"/>
        <v>Central</v>
      </c>
      <c r="AI28" s="153">
        <f t="shared" si="53"/>
        <v>1.7</v>
      </c>
      <c r="AJ28" s="153">
        <f t="shared" si="54"/>
        <v>1.7</v>
      </c>
      <c r="AK28" s="350"/>
      <c r="AL28" s="153">
        <f t="shared" si="3"/>
        <v>1071.6304911332179</v>
      </c>
      <c r="AM28" s="153">
        <f t="shared" si="4"/>
        <v>1506.9598160707758</v>
      </c>
      <c r="AN28" s="153">
        <f t="shared" si="5"/>
        <v>2290.9494458725517</v>
      </c>
      <c r="AO28" s="153">
        <f t="shared" si="6"/>
        <v>1787.6680171035673</v>
      </c>
      <c r="AP28" s="53" t="str">
        <f t="shared" si="7"/>
        <v>OK</v>
      </c>
      <c r="AQ28" s="153">
        <f t="shared" si="8"/>
        <v>0.4</v>
      </c>
      <c r="AR28" s="150">
        <f t="shared" si="9"/>
        <v>378.85750588235294</v>
      </c>
      <c r="AS28" s="153">
        <f t="shared" si="10"/>
        <v>260.46453529411764</v>
      </c>
      <c r="AT28" s="154">
        <f t="shared" si="11"/>
        <v>745.50657567522512</v>
      </c>
      <c r="AU28" s="153">
        <f t="shared" si="12"/>
        <v>745.50657567522512</v>
      </c>
      <c r="AV28" s="53" t="str">
        <f t="shared" si="13"/>
        <v>OK</v>
      </c>
      <c r="AW28" s="350"/>
      <c r="AX28" s="153">
        <f t="shared" si="14"/>
        <v>379.72734963235285</v>
      </c>
      <c r="AY28" s="153">
        <f t="shared" si="15"/>
        <v>1174.8535394898181</v>
      </c>
      <c r="AZ28" s="150">
        <f t="shared" si="16"/>
        <v>2.8699461333695788E-3</v>
      </c>
      <c r="BA28" s="148">
        <f t="shared" si="17"/>
        <v>31.71290477373385</v>
      </c>
      <c r="BB28" s="144">
        <v>6</v>
      </c>
      <c r="BC28" s="144">
        <v>14</v>
      </c>
      <c r="BD28" s="155">
        <f t="shared" si="18"/>
        <v>39.76</v>
      </c>
      <c r="BE28" s="53" t="str">
        <f t="shared" si="19"/>
        <v>OK</v>
      </c>
      <c r="BF28" s="148">
        <f t="shared" si="20"/>
        <v>0.23</v>
      </c>
      <c r="BG28" s="155" t="str">
        <f t="shared" si="21"/>
        <v>14#6@20</v>
      </c>
      <c r="BH28" s="197">
        <f t="shared" si="22"/>
        <v>0.79760826895708881</v>
      </c>
      <c r="BI28" s="350"/>
      <c r="BJ28" s="155">
        <f t="shared" si="23"/>
        <v>0</v>
      </c>
      <c r="BK28" s="153">
        <f t="shared" si="24"/>
        <v>0</v>
      </c>
      <c r="BL28" s="153">
        <f t="shared" si="25"/>
        <v>0</v>
      </c>
      <c r="BM28" s="153">
        <f t="shared" si="26"/>
        <v>9.2317499999999999</v>
      </c>
      <c r="BN28" s="144">
        <v>8</v>
      </c>
      <c r="BO28" s="155" t="s">
        <v>191</v>
      </c>
      <c r="BP28" s="144">
        <v>5</v>
      </c>
      <c r="BQ28" s="153">
        <f t="shared" si="27"/>
        <v>15.92</v>
      </c>
      <c r="BR28" s="153">
        <f t="shared" si="28"/>
        <v>601.77599999999995</v>
      </c>
      <c r="BS28" s="53" t="str">
        <f t="shared" si="29"/>
        <v>OK</v>
      </c>
      <c r="BT28" s="122"/>
      <c r="BU28" s="350"/>
      <c r="BV28" s="153">
        <f t="shared" si="30"/>
        <v>15.92</v>
      </c>
      <c r="BW28" s="153">
        <f t="shared" si="31"/>
        <v>601.77599999999995</v>
      </c>
      <c r="BX28" s="155" t="str">
        <f t="shared" si="32"/>
        <v>OK</v>
      </c>
      <c r="BY28" s="153">
        <f t="shared" si="33"/>
        <v>92.857231833910035</v>
      </c>
      <c r="BZ28" s="53" t="str">
        <f t="shared" si="34"/>
        <v>OK</v>
      </c>
      <c r="CB28" s="114"/>
      <c r="CC28" s="114"/>
      <c r="CD28" s="114"/>
      <c r="CE28" s="114"/>
      <c r="CF28" s="117"/>
      <c r="CG28" s="350"/>
      <c r="CH28" s="153">
        <f t="shared" si="35"/>
        <v>232.42323263263677</v>
      </c>
      <c r="CI28" s="153">
        <f t="shared" si="36"/>
        <v>0</v>
      </c>
      <c r="CJ28" s="150">
        <f t="shared" si="37"/>
        <v>0</v>
      </c>
      <c r="CK28" s="150">
        <f t="shared" si="38"/>
        <v>0</v>
      </c>
      <c r="CL28" s="53" t="str">
        <f t="shared" si="39"/>
        <v>OK</v>
      </c>
      <c r="CM28" s="158">
        <f t="shared" si="40"/>
        <v>9.2317499999999999</v>
      </c>
      <c r="CN28" s="144">
        <v>8</v>
      </c>
      <c r="CO28" s="155" t="s">
        <v>191</v>
      </c>
      <c r="CP28" s="144">
        <v>5</v>
      </c>
      <c r="CR28" s="117"/>
      <c r="CT28" s="350"/>
      <c r="CU28" s="111">
        <f t="shared" si="41"/>
        <v>268</v>
      </c>
      <c r="CV28" s="156">
        <f t="shared" si="42"/>
        <v>3.4</v>
      </c>
      <c r="CW28" s="156">
        <f t="shared" si="43"/>
        <v>3.4</v>
      </c>
      <c r="CX28" s="140" t="str">
        <f t="shared" si="44"/>
        <v>14#6@20</v>
      </c>
      <c r="CY28" s="140" t="str">
        <f t="shared" si="45"/>
        <v>16#6@20</v>
      </c>
    </row>
    <row r="29" spans="1:108" ht="15" customHeight="1" x14ac:dyDescent="0.25">
      <c r="A29" s="123"/>
      <c r="B29" s="124"/>
      <c r="C29" s="188"/>
      <c r="D29" s="124"/>
      <c r="E29" s="124"/>
      <c r="F29" s="124"/>
      <c r="G29" s="124"/>
      <c r="H29" s="125"/>
      <c r="I29" s="124"/>
      <c r="J29" s="124"/>
      <c r="K29" s="124"/>
      <c r="L29" s="126"/>
      <c r="M29" s="349" t="str">
        <f>Y29</f>
        <v>Z4</v>
      </c>
      <c r="N29" s="143">
        <v>273</v>
      </c>
      <c r="O29" s="144" t="s">
        <v>802</v>
      </c>
      <c r="P29" s="145">
        <f t="shared" si="59"/>
        <v>10.09224</v>
      </c>
      <c r="Q29" s="145">
        <f t="shared" si="60"/>
        <v>53.09640000000001</v>
      </c>
      <c r="R29" s="145">
        <f t="shared" si="61"/>
        <v>357.78352000000001</v>
      </c>
      <c r="S29" s="145">
        <f t="shared" si="62"/>
        <v>232.23919999999998</v>
      </c>
      <c r="T29" s="145">
        <f t="shared" si="63"/>
        <v>12.16272</v>
      </c>
      <c r="U29" s="145">
        <v>0.4</v>
      </c>
      <c r="V29" s="146">
        <f t="shared" si="0"/>
        <v>0.32500000000000001</v>
      </c>
      <c r="W29" s="147">
        <f>(AA29*AC29*U29+W67*X67*(U67-U29))*$T$8</f>
        <v>100.79999999999998</v>
      </c>
      <c r="X29" s="147">
        <f>(AA29*AC29-W67*X67)*(U67-U29)*$T$7</f>
        <v>219.51999999999998</v>
      </c>
      <c r="Y29" s="349" t="s">
        <v>840</v>
      </c>
      <c r="Z29" s="148">
        <f t="shared" si="1"/>
        <v>0.52499999999999991</v>
      </c>
      <c r="AA29" s="149">
        <v>3.2</v>
      </c>
      <c r="AB29" s="148">
        <f>IF(O29="Medianera",2*N67/(AA29*$T$6),MAX(Z29,AD29*6,1))</f>
        <v>3.0033710572378167</v>
      </c>
      <c r="AC29" s="149">
        <v>2.8</v>
      </c>
      <c r="AD29" s="150">
        <f t="shared" si="49"/>
        <v>1.7936376439986627E-2</v>
      </c>
      <c r="AE29" s="150">
        <f t="shared" si="2"/>
        <v>0.34248340135441263</v>
      </c>
      <c r="AF29" s="53" t="str">
        <f t="shared" si="50"/>
        <v>OK</v>
      </c>
      <c r="AG29" s="53" t="str">
        <f>IF(AE29&gt;AA29/6,"N/C","OK")</f>
        <v>OK</v>
      </c>
      <c r="AH29" s="155" t="s">
        <v>53</v>
      </c>
      <c r="AI29" s="153">
        <f t="shared" si="53"/>
        <v>1.4</v>
      </c>
      <c r="AJ29" s="153">
        <f>IF(OR(AH29="B",AH29="Esquinera"),AA29-W67/2,AA29/2)</f>
        <v>3.0250000000000004</v>
      </c>
      <c r="AK29" s="349" t="str">
        <f>Y29</f>
        <v>Z4</v>
      </c>
      <c r="AL29" s="153">
        <f t="shared" si="3"/>
        <v>676.63719681919645</v>
      </c>
      <c r="AM29" s="153">
        <f t="shared" si="4"/>
        <v>1506.9598160707758</v>
      </c>
      <c r="AN29" s="153">
        <f t="shared" si="5"/>
        <v>1943.0248804947107</v>
      </c>
      <c r="AO29" s="153">
        <f t="shared" si="6"/>
        <v>1787.6680171035673</v>
      </c>
      <c r="AP29" s="53" t="str">
        <f t="shared" si="7"/>
        <v>OK</v>
      </c>
      <c r="AQ29" s="153">
        <f t="shared" si="8"/>
        <v>0.4</v>
      </c>
      <c r="AR29" s="150">
        <f t="shared" si="9"/>
        <v>233.098085</v>
      </c>
      <c r="AS29" s="153">
        <f t="shared" si="10"/>
        <v>127.14440999999999</v>
      </c>
      <c r="AT29" s="154">
        <f t="shared" si="11"/>
        <v>701.65324769432959</v>
      </c>
      <c r="AU29" s="153">
        <f t="shared" si="12"/>
        <v>613.94659173253831</v>
      </c>
      <c r="AV29" s="53" t="str">
        <f t="shared" si="13"/>
        <v>OK</v>
      </c>
      <c r="AW29" s="349" t="str">
        <f>AK29</f>
        <v>Z4</v>
      </c>
      <c r="AX29" s="153">
        <f t="shared" si="14"/>
        <v>227.31490129687501</v>
      </c>
      <c r="AY29" s="153">
        <f t="shared" si="15"/>
        <v>747.25477086415174</v>
      </c>
      <c r="AZ29" s="150">
        <f t="shared" si="16"/>
        <v>1.8080216337624992E-3</v>
      </c>
      <c r="BA29" s="148">
        <f t="shared" si="17"/>
        <v>18.803424991129994</v>
      </c>
      <c r="BB29" s="144">
        <v>5</v>
      </c>
      <c r="BC29" s="144">
        <v>13</v>
      </c>
      <c r="BD29" s="155">
        <f t="shared" si="18"/>
        <v>25.87</v>
      </c>
      <c r="BE29" s="53" t="str">
        <f t="shared" si="19"/>
        <v>OK</v>
      </c>
      <c r="BF29" s="148">
        <f t="shared" si="20"/>
        <v>0.23</v>
      </c>
      <c r="BG29" s="155" t="str">
        <f t="shared" si="21"/>
        <v>13#5@20</v>
      </c>
      <c r="BH29" s="197">
        <f t="shared" si="22"/>
        <v>0.72684286784422081</v>
      </c>
      <c r="BI29" s="349" t="str">
        <f>AW29</f>
        <v>Z4</v>
      </c>
      <c r="BJ29" s="155">
        <f t="shared" si="23"/>
        <v>1.3250000000000002</v>
      </c>
      <c r="BK29" s="153">
        <f t="shared" si="24"/>
        <v>232.23919999999998</v>
      </c>
      <c r="BL29" s="153">
        <f t="shared" si="25"/>
        <v>425.54105275362321</v>
      </c>
      <c r="BM29" s="153">
        <f t="shared" si="26"/>
        <v>11.257699808296911</v>
      </c>
      <c r="BN29" s="144">
        <v>8</v>
      </c>
      <c r="BO29" s="155" t="s">
        <v>191</v>
      </c>
      <c r="BP29" s="144">
        <v>5</v>
      </c>
      <c r="BQ29" s="153">
        <f t="shared" si="27"/>
        <v>15.92</v>
      </c>
      <c r="BR29" s="153">
        <f t="shared" si="28"/>
        <v>601.77599999999995</v>
      </c>
      <c r="BS29" s="53" t="str">
        <f t="shared" si="29"/>
        <v>OK</v>
      </c>
      <c r="BT29" s="122"/>
      <c r="BU29" s="349" t="str">
        <f>BI29</f>
        <v>Z4</v>
      </c>
      <c r="BV29" s="153">
        <f t="shared" si="30"/>
        <v>15.92</v>
      </c>
      <c r="BW29" s="153">
        <f t="shared" si="31"/>
        <v>601.77599999999995</v>
      </c>
      <c r="BX29" s="155" t="str">
        <f t="shared" si="32"/>
        <v>OK</v>
      </c>
      <c r="BY29" s="153">
        <f t="shared" si="33"/>
        <v>79.5393053592516</v>
      </c>
      <c r="BZ29" s="53" t="str">
        <f t="shared" si="34"/>
        <v>OK</v>
      </c>
      <c r="CB29" s="114"/>
      <c r="CC29" s="114"/>
      <c r="CD29" s="114"/>
      <c r="CE29" s="114"/>
      <c r="CF29" s="117"/>
      <c r="CG29" s="349" t="str">
        <f>BU29</f>
        <v>Z4</v>
      </c>
      <c r="CH29" s="153">
        <f t="shared" si="35"/>
        <v>232.55747198152631</v>
      </c>
      <c r="CI29" s="153">
        <f t="shared" si="36"/>
        <v>255.53166617069667</v>
      </c>
      <c r="CJ29" s="150">
        <f t="shared" si="37"/>
        <v>0</v>
      </c>
      <c r="CK29" s="150">
        <f t="shared" si="38"/>
        <v>0</v>
      </c>
      <c r="CL29" s="53" t="str">
        <f t="shared" si="39"/>
        <v>OK</v>
      </c>
      <c r="CM29" s="158">
        <f t="shared" si="40"/>
        <v>11.257699808296911</v>
      </c>
      <c r="CN29" s="144">
        <v>8</v>
      </c>
      <c r="CO29" s="155" t="s">
        <v>191</v>
      </c>
      <c r="CP29" s="144">
        <v>5</v>
      </c>
      <c r="CR29" s="117"/>
      <c r="CT29" s="349" t="str">
        <f t="shared" ref="CT29" si="68">AW29</f>
        <v>Z4</v>
      </c>
      <c r="CU29" s="111">
        <f t="shared" si="41"/>
        <v>273</v>
      </c>
      <c r="CV29" s="156">
        <f t="shared" si="42"/>
        <v>3.2</v>
      </c>
      <c r="CW29" s="156">
        <f t="shared" si="43"/>
        <v>2.8</v>
      </c>
      <c r="CX29" s="140" t="str">
        <f t="shared" si="44"/>
        <v>13#5@20</v>
      </c>
      <c r="CY29" s="140" t="str">
        <f t="shared" si="45"/>
        <v>13#6@20</v>
      </c>
    </row>
    <row r="30" spans="1:108" ht="15" customHeight="1" x14ac:dyDescent="0.25">
      <c r="A30" s="123"/>
      <c r="B30" s="124"/>
      <c r="C30" s="188"/>
      <c r="D30" s="124"/>
      <c r="E30" s="124"/>
      <c r="F30" s="124"/>
      <c r="G30" s="124"/>
      <c r="H30" s="125"/>
      <c r="I30" s="124"/>
      <c r="J30" s="124"/>
      <c r="K30" s="124"/>
      <c r="L30" s="126"/>
      <c r="M30" s="350"/>
      <c r="N30" s="143">
        <v>273</v>
      </c>
      <c r="O30" s="144" t="s">
        <v>802</v>
      </c>
      <c r="P30" s="145">
        <f t="shared" si="59"/>
        <v>16.956800000000001</v>
      </c>
      <c r="Q30" s="145">
        <f t="shared" si="60"/>
        <v>54.125599999999999</v>
      </c>
      <c r="R30" s="145">
        <f t="shared" si="61"/>
        <v>347.48896000000002</v>
      </c>
      <c r="S30" s="145">
        <f t="shared" si="62"/>
        <v>230.06399999999999</v>
      </c>
      <c r="T30" s="145">
        <f t="shared" si="63"/>
        <v>33.872480000000003</v>
      </c>
      <c r="U30" s="145">
        <v>0.4</v>
      </c>
      <c r="V30" s="146">
        <f t="shared" si="0"/>
        <v>0.32500000000000001</v>
      </c>
      <c r="W30" s="147">
        <f>(AA30*AC30*U30+W68*X68*(U68-U30))*$T$8</f>
        <v>100.79999999999998</v>
      </c>
      <c r="X30" s="147">
        <f>(AA30*AC30-W68*X68)*(U68-U30)*$T$7</f>
        <v>219.51999999999998</v>
      </c>
      <c r="Y30" s="350"/>
      <c r="Z30" s="148">
        <f t="shared" si="1"/>
        <v>0.52499999999999991</v>
      </c>
      <c r="AA30" s="149">
        <v>3.2</v>
      </c>
      <c r="AB30" s="148">
        <f>IF(O30="Medianera",2*N68/(AA30*$T$6),MAX(Z30,AD30*6,1))</f>
        <v>2.9577756833176245</v>
      </c>
      <c r="AC30" s="149">
        <v>2.8</v>
      </c>
      <c r="AD30" s="150">
        <f t="shared" si="49"/>
        <v>5.0721811219783579E-2</v>
      </c>
      <c r="AE30" s="150">
        <f t="shared" si="2"/>
        <v>0.34450571013602455</v>
      </c>
      <c r="AF30" s="53" t="str">
        <f t="shared" si="50"/>
        <v>OK</v>
      </c>
      <c r="AG30" s="53" t="str">
        <f>IF(AE30&gt;AA30/6,"N/C","OK")</f>
        <v>OK</v>
      </c>
      <c r="AH30" s="155" t="s">
        <v>53</v>
      </c>
      <c r="AI30" s="153">
        <f t="shared" si="53"/>
        <v>1.4</v>
      </c>
      <c r="AJ30" s="153">
        <f>IF(OR(AH30="B",AH30="Esquinera"),AA30-W68/2,AA30/2)</f>
        <v>3.0250000000000004</v>
      </c>
      <c r="AK30" s="350"/>
      <c r="AL30" s="153">
        <f t="shared" si="3"/>
        <v>666.36489765624992</v>
      </c>
      <c r="AM30" s="153">
        <f t="shared" si="4"/>
        <v>1506.9598160707758</v>
      </c>
      <c r="AN30" s="153">
        <f t="shared" si="5"/>
        <v>1943.0248804947107</v>
      </c>
      <c r="AO30" s="153">
        <f t="shared" si="6"/>
        <v>1787.6680171035673</v>
      </c>
      <c r="AP30" s="53" t="str">
        <f t="shared" si="7"/>
        <v>OK</v>
      </c>
      <c r="AQ30" s="153">
        <f t="shared" si="8"/>
        <v>0.4</v>
      </c>
      <c r="AR30" s="150">
        <f t="shared" si="9"/>
        <v>229.55932999999999</v>
      </c>
      <c r="AS30" s="153">
        <f t="shared" si="10"/>
        <v>125.21417999999997</v>
      </c>
      <c r="AT30" s="154">
        <f t="shared" si="11"/>
        <v>701.65324769432959</v>
      </c>
      <c r="AU30" s="153">
        <f t="shared" si="12"/>
        <v>613.94659173253831</v>
      </c>
      <c r="AV30" s="53" t="str">
        <f t="shared" si="13"/>
        <v>OK</v>
      </c>
      <c r="AW30" s="350"/>
      <c r="AX30" s="153">
        <f t="shared" si="14"/>
        <v>245.75835021875</v>
      </c>
      <c r="AY30" s="153">
        <f t="shared" si="15"/>
        <v>807.8841230070675</v>
      </c>
      <c r="AZ30" s="150">
        <f t="shared" si="16"/>
        <v>1.957338088495617E-3</v>
      </c>
      <c r="BA30" s="148">
        <f t="shared" si="17"/>
        <v>20.356316120354418</v>
      </c>
      <c r="BB30" s="144">
        <v>5</v>
      </c>
      <c r="BC30" s="144">
        <v>13</v>
      </c>
      <c r="BD30" s="155">
        <f t="shared" si="18"/>
        <v>25.87</v>
      </c>
      <c r="BE30" s="53" t="str">
        <f t="shared" si="19"/>
        <v>OK</v>
      </c>
      <c r="BF30" s="148">
        <f t="shared" si="20"/>
        <v>0.23</v>
      </c>
      <c r="BG30" s="155" t="str">
        <f t="shared" si="21"/>
        <v>13#5@20</v>
      </c>
      <c r="BH30" s="197">
        <f t="shared" si="22"/>
        <v>0.78686958331482093</v>
      </c>
      <c r="BI30" s="350"/>
      <c r="BJ30" s="155">
        <f t="shared" si="23"/>
        <v>1.3250000000000002</v>
      </c>
      <c r="BK30" s="153">
        <f t="shared" si="24"/>
        <v>230.06399999999999</v>
      </c>
      <c r="BL30" s="153">
        <f t="shared" si="25"/>
        <v>418.2978365217391</v>
      </c>
      <c r="BM30" s="153">
        <f t="shared" si="26"/>
        <v>11.066080331262938</v>
      </c>
      <c r="BN30" s="144">
        <v>8</v>
      </c>
      <c r="BO30" s="155" t="s">
        <v>191</v>
      </c>
      <c r="BP30" s="144">
        <v>5</v>
      </c>
      <c r="BQ30" s="153">
        <f t="shared" si="27"/>
        <v>15.92</v>
      </c>
      <c r="BR30" s="153">
        <f t="shared" si="28"/>
        <v>601.77599999999995</v>
      </c>
      <c r="BS30" s="53" t="str">
        <f t="shared" si="29"/>
        <v>OK</v>
      </c>
      <c r="BT30" s="122"/>
      <c r="BU30" s="350"/>
      <c r="BV30" s="153">
        <f t="shared" si="30"/>
        <v>15.92</v>
      </c>
      <c r="BW30" s="153">
        <f t="shared" si="31"/>
        <v>601.77599999999995</v>
      </c>
      <c r="BX30" s="155" t="str">
        <f t="shared" si="32"/>
        <v>OK</v>
      </c>
      <c r="BY30" s="153">
        <f t="shared" si="33"/>
        <v>78.243255916203623</v>
      </c>
      <c r="BZ30" s="53" t="str">
        <f t="shared" si="34"/>
        <v>OK</v>
      </c>
      <c r="CB30" s="114"/>
      <c r="CC30" s="114"/>
      <c r="CD30" s="114"/>
      <c r="CE30" s="114"/>
      <c r="CF30" s="117"/>
      <c r="CG30" s="350"/>
      <c r="CH30" s="153">
        <f t="shared" si="35"/>
        <v>232.54416569191841</v>
      </c>
      <c r="CI30" s="153">
        <f t="shared" si="36"/>
        <v>249.65826088915</v>
      </c>
      <c r="CJ30" s="150">
        <f t="shared" si="37"/>
        <v>0</v>
      </c>
      <c r="CK30" s="150">
        <f t="shared" si="38"/>
        <v>0</v>
      </c>
      <c r="CL30" s="53" t="str">
        <f t="shared" si="39"/>
        <v>OK</v>
      </c>
      <c r="CM30" s="158">
        <f t="shared" si="40"/>
        <v>11.066080331262938</v>
      </c>
      <c r="CN30" s="144">
        <v>8</v>
      </c>
      <c r="CO30" s="155" t="s">
        <v>191</v>
      </c>
      <c r="CP30" s="144">
        <v>5</v>
      </c>
      <c r="CR30" s="117"/>
      <c r="CT30" s="350"/>
      <c r="CU30" s="111">
        <f t="shared" si="41"/>
        <v>273</v>
      </c>
      <c r="CV30" s="156">
        <f t="shared" si="42"/>
        <v>3.2</v>
      </c>
      <c r="CW30" s="156">
        <f t="shared" si="43"/>
        <v>2.8</v>
      </c>
      <c r="CX30" s="140" t="str">
        <f t="shared" si="44"/>
        <v>13#5@20</v>
      </c>
      <c r="CY30" s="140" t="str">
        <f t="shared" si="45"/>
        <v>13#6@20</v>
      </c>
    </row>
    <row r="31" spans="1:108" ht="15" customHeight="1" x14ac:dyDescent="0.25">
      <c r="A31" s="123"/>
      <c r="B31" s="124"/>
      <c r="C31" s="188"/>
      <c r="D31" s="124"/>
      <c r="E31" s="124"/>
      <c r="F31" s="124"/>
      <c r="G31" s="124"/>
      <c r="H31" s="125"/>
      <c r="I31" s="124"/>
      <c r="J31" s="124"/>
      <c r="K31" s="124"/>
      <c r="L31" s="126"/>
      <c r="M31" s="349" t="str">
        <f>Y31</f>
        <v>Z1</v>
      </c>
      <c r="N31" s="143">
        <v>278</v>
      </c>
      <c r="O31" s="144" t="s">
        <v>803</v>
      </c>
      <c r="P31" s="145">
        <v>0.56340000000000001</v>
      </c>
      <c r="Q31" s="145">
        <v>13.2302</v>
      </c>
      <c r="R31" s="145">
        <v>340.93150000000003</v>
      </c>
      <c r="S31" s="145">
        <v>28.504200000000001</v>
      </c>
      <c r="T31" s="145">
        <v>53.890500000000003</v>
      </c>
      <c r="U31" s="145">
        <v>0.4</v>
      </c>
      <c r="V31" s="146">
        <f t="shared" si="0"/>
        <v>0.32500000000000001</v>
      </c>
      <c r="W31" s="147">
        <f>(AA31*AC31*U31+W69*X69*(U69-U31))*$T$8</f>
        <v>84.768000000000015</v>
      </c>
      <c r="X31" s="147">
        <f>(AA31*AC31-W69*X69)*(U69-U31)*$T$7</f>
        <v>176.76800000000003</v>
      </c>
      <c r="Y31" s="349" t="s">
        <v>698</v>
      </c>
      <c r="Z31" s="148">
        <f>IF(O31="Medianera",3*W69/2,MAX(6*AE31,SQRT(N69/$T$6),1))</f>
        <v>2.0662520598884084</v>
      </c>
      <c r="AA31" s="149">
        <v>2.7</v>
      </c>
      <c r="AB31" s="148">
        <f t="shared" si="48"/>
        <v>2.0662520598884084</v>
      </c>
      <c r="AC31" s="149">
        <v>2.7</v>
      </c>
      <c r="AD31" s="150">
        <f t="shared" si="49"/>
        <v>8.9449638362235295E-2</v>
      </c>
      <c r="AE31" s="150">
        <f t="shared" si="2"/>
        <v>4.7312427641325046E-2</v>
      </c>
      <c r="AF31" s="53" t="str">
        <f t="shared" si="50"/>
        <v>OK</v>
      </c>
      <c r="AG31" s="53" t="str">
        <f t="shared" si="51"/>
        <v>OK</v>
      </c>
      <c r="AH31" s="155" t="str">
        <f t="shared" si="52"/>
        <v>Esquinera</v>
      </c>
      <c r="AI31" s="153">
        <f t="shared" si="53"/>
        <v>2.5250000000000004</v>
      </c>
      <c r="AJ31" s="153">
        <f>IF(OR(AH31="B",AH31="Esquinera"),AA31-W69/2,AA31/2)</f>
        <v>2.1500000000000004</v>
      </c>
      <c r="AK31" s="349" t="str">
        <f>Y31</f>
        <v>Z1</v>
      </c>
      <c r="AL31" s="153">
        <f t="shared" si="3"/>
        <v>600.86629179526756</v>
      </c>
      <c r="AM31" s="153">
        <f t="shared" si="4"/>
        <v>1506.9598160707758</v>
      </c>
      <c r="AN31" s="153">
        <f t="shared" si="5"/>
        <v>1595.1003151168702</v>
      </c>
      <c r="AO31" s="153">
        <f t="shared" si="6"/>
        <v>1787.6680171035673</v>
      </c>
      <c r="AP31" s="53" t="str">
        <f t="shared" si="7"/>
        <v>OK</v>
      </c>
      <c r="AQ31" s="153">
        <f t="shared" si="8"/>
        <v>0.4</v>
      </c>
      <c r="AR31" s="150">
        <f t="shared" si="9"/>
        <v>105.98965277777779</v>
      </c>
      <c r="AS31" s="153">
        <f t="shared" si="10"/>
        <v>189.66569444444448</v>
      </c>
      <c r="AT31" s="154">
        <f t="shared" si="11"/>
        <v>592.01992774209054</v>
      </c>
      <c r="AU31" s="153">
        <f t="shared" si="12"/>
        <v>592.01992774209054</v>
      </c>
      <c r="AV31" s="53" t="str">
        <f t="shared" si="13"/>
        <v>OK</v>
      </c>
      <c r="AW31" s="349" t="str">
        <f>AK31</f>
        <v>Z1</v>
      </c>
      <c r="AX31" s="153">
        <f t="shared" si="14"/>
        <v>125.29405555555557</v>
      </c>
      <c r="AY31" s="153">
        <f t="shared" si="15"/>
        <v>488.15469571404992</v>
      </c>
      <c r="AZ31" s="150">
        <f t="shared" si="16"/>
        <v>1.8E-3</v>
      </c>
      <c r="BA31" s="148">
        <f t="shared" si="17"/>
        <v>15.795000000000002</v>
      </c>
      <c r="BB31" s="144">
        <v>5</v>
      </c>
      <c r="BC31" s="144">
        <v>13</v>
      </c>
      <c r="BD31" s="155">
        <f t="shared" si="18"/>
        <v>25.87</v>
      </c>
      <c r="BE31" s="53" t="str">
        <f t="shared" si="19"/>
        <v>OK</v>
      </c>
      <c r="BF31" s="148">
        <f t="shared" si="20"/>
        <v>0.2</v>
      </c>
      <c r="BG31" s="155" t="str">
        <f t="shared" si="21"/>
        <v>13#5@20</v>
      </c>
      <c r="BH31" s="197">
        <f t="shared" si="22"/>
        <v>0.61055276381909551</v>
      </c>
      <c r="BI31" s="349" t="str">
        <f>AW31</f>
        <v>Z1</v>
      </c>
      <c r="BJ31" s="155">
        <f t="shared" si="23"/>
        <v>1.3250000000000002</v>
      </c>
      <c r="BK31" s="153">
        <f t="shared" si="24"/>
        <v>28.504200000000001</v>
      </c>
      <c r="BL31" s="153">
        <f t="shared" si="25"/>
        <v>262.88104347826089</v>
      </c>
      <c r="BM31" s="153">
        <f t="shared" si="26"/>
        <v>9.2317499999999999</v>
      </c>
      <c r="BN31" s="144">
        <v>8</v>
      </c>
      <c r="BO31" s="155" t="s">
        <v>191</v>
      </c>
      <c r="BP31" s="144">
        <v>5</v>
      </c>
      <c r="BQ31" s="153">
        <f t="shared" si="27"/>
        <v>15.92</v>
      </c>
      <c r="BR31" s="153">
        <f t="shared" si="28"/>
        <v>601.77599999999995</v>
      </c>
      <c r="BS31" s="53" t="str">
        <f t="shared" si="29"/>
        <v>OK</v>
      </c>
      <c r="BT31" s="122"/>
      <c r="BU31" s="349" t="str">
        <f>BI31</f>
        <v>Z1</v>
      </c>
      <c r="BV31" s="153">
        <f t="shared" si="30"/>
        <v>15.92</v>
      </c>
      <c r="BW31" s="153">
        <f t="shared" si="31"/>
        <v>601.77599999999995</v>
      </c>
      <c r="BX31" s="155" t="str">
        <f t="shared" si="32"/>
        <v>OK</v>
      </c>
      <c r="BY31" s="153">
        <f t="shared" si="33"/>
        <v>95.320730757113665</v>
      </c>
      <c r="BZ31" s="53" t="str">
        <f t="shared" si="34"/>
        <v>OK</v>
      </c>
      <c r="CB31" s="114"/>
      <c r="CC31" s="114"/>
      <c r="CD31" s="114"/>
      <c r="CE31" s="114"/>
      <c r="CF31" s="117"/>
      <c r="CG31" s="349" t="str">
        <f>BU31</f>
        <v>Z1</v>
      </c>
      <c r="CH31" s="153">
        <f t="shared" si="35"/>
        <v>60.964542218325569</v>
      </c>
      <c r="CI31" s="153">
        <f t="shared" si="36"/>
        <v>146.46678514887915</v>
      </c>
      <c r="CJ31" s="150">
        <f t="shared" si="37"/>
        <v>131.31032066766119</v>
      </c>
      <c r="CK31" s="150">
        <f t="shared" si="38"/>
        <v>33.975687562791485</v>
      </c>
      <c r="CL31" s="53" t="str">
        <f t="shared" si="39"/>
        <v>OK</v>
      </c>
      <c r="CM31" s="158">
        <f t="shared" si="40"/>
        <v>9.2317499999999999</v>
      </c>
      <c r="CN31" s="144">
        <v>8</v>
      </c>
      <c r="CO31" s="155" t="s">
        <v>191</v>
      </c>
      <c r="CP31" s="144">
        <v>5</v>
      </c>
      <c r="CR31" s="117"/>
      <c r="CT31" s="349" t="str">
        <f t="shared" ref="CT31" si="69">AW31</f>
        <v>Z1</v>
      </c>
      <c r="CU31" s="111">
        <f t="shared" si="41"/>
        <v>278</v>
      </c>
      <c r="CV31" s="156">
        <f t="shared" si="42"/>
        <v>2.7</v>
      </c>
      <c r="CW31" s="156">
        <f t="shared" si="43"/>
        <v>2.7</v>
      </c>
      <c r="CX31" s="140" t="str">
        <f t="shared" si="44"/>
        <v>13#5@20</v>
      </c>
      <c r="CY31" s="140" t="str">
        <f t="shared" si="45"/>
        <v>13#5@20</v>
      </c>
    </row>
    <row r="32" spans="1:108" ht="15" customHeight="1" x14ac:dyDescent="0.25">
      <c r="A32" s="123"/>
      <c r="B32" s="124"/>
      <c r="C32" s="188"/>
      <c r="D32" s="124"/>
      <c r="E32" s="124"/>
      <c r="F32" s="124"/>
      <c r="G32" s="124"/>
      <c r="H32" s="125"/>
      <c r="I32" s="124"/>
      <c r="J32" s="124"/>
      <c r="K32" s="124"/>
      <c r="L32" s="126"/>
      <c r="M32" s="350"/>
      <c r="N32" s="143">
        <v>278</v>
      </c>
      <c r="O32" s="144" t="s">
        <v>803</v>
      </c>
      <c r="P32" s="145">
        <v>52.181800000000003</v>
      </c>
      <c r="Q32" s="145">
        <v>5.6733000000000002</v>
      </c>
      <c r="R32" s="145">
        <v>285.8159</v>
      </c>
      <c r="S32" s="145">
        <v>41.089100000000002</v>
      </c>
      <c r="T32" s="145">
        <v>146.39699999999999</v>
      </c>
      <c r="U32" s="145">
        <v>0.4</v>
      </c>
      <c r="V32" s="146">
        <f t="shared" si="0"/>
        <v>0.32500000000000001</v>
      </c>
      <c r="W32" s="147">
        <f t="shared" si="46"/>
        <v>84.768000000000015</v>
      </c>
      <c r="X32" s="147">
        <f t="shared" si="47"/>
        <v>176.76800000000003</v>
      </c>
      <c r="Y32" s="350"/>
      <c r="Z32" s="148">
        <f t="shared" si="1"/>
        <v>1.9694719624999479</v>
      </c>
      <c r="AA32" s="149">
        <v>2.7</v>
      </c>
      <c r="AB32" s="148">
        <f t="shared" si="48"/>
        <v>1.9694719624999479</v>
      </c>
      <c r="AC32" s="149">
        <v>2.7</v>
      </c>
      <c r="AD32" s="150">
        <f t="shared" si="49"/>
        <v>0.26746413047986123</v>
      </c>
      <c r="AE32" s="150">
        <f t="shared" si="2"/>
        <v>7.5068890781232314E-2</v>
      </c>
      <c r="AF32" s="53" t="str">
        <f t="shared" si="50"/>
        <v>OK</v>
      </c>
      <c r="AG32" s="53" t="str">
        <f t="shared" si="51"/>
        <v>OK</v>
      </c>
      <c r="AH32" s="155" t="str">
        <f t="shared" si="52"/>
        <v>Esquinera</v>
      </c>
      <c r="AI32" s="153">
        <f t="shared" si="53"/>
        <v>2.5250000000000004</v>
      </c>
      <c r="AJ32" s="153">
        <f t="shared" si="54"/>
        <v>2.1500000000000004</v>
      </c>
      <c r="AK32" s="350"/>
      <c r="AL32" s="153">
        <f t="shared" si="3"/>
        <v>545.89717530006874</v>
      </c>
      <c r="AM32" s="153">
        <f t="shared" si="4"/>
        <v>1506.9598160707758</v>
      </c>
      <c r="AN32" s="153">
        <f t="shared" si="5"/>
        <v>1595.1003151168702</v>
      </c>
      <c r="AO32" s="153">
        <f t="shared" si="6"/>
        <v>1787.6680171035673</v>
      </c>
      <c r="AP32" s="53" t="str">
        <f t="shared" si="7"/>
        <v>OK</v>
      </c>
      <c r="AQ32" s="153">
        <f t="shared" si="8"/>
        <v>0.4</v>
      </c>
      <c r="AR32" s="150">
        <f t="shared" si="9"/>
        <v>96.29338981481483</v>
      </c>
      <c r="AS32" s="153">
        <f t="shared" si="10"/>
        <v>172.31448703703708</v>
      </c>
      <c r="AT32" s="154">
        <f t="shared" si="11"/>
        <v>592.01992774209054</v>
      </c>
      <c r="AU32" s="153">
        <f t="shared" si="12"/>
        <v>592.01992774209054</v>
      </c>
      <c r="AV32" s="53" t="str">
        <f t="shared" si="13"/>
        <v>OK</v>
      </c>
      <c r="AW32" s="350"/>
      <c r="AX32" s="153">
        <f t="shared" si="14"/>
        <v>211.2683362962963</v>
      </c>
      <c r="AY32" s="153">
        <f t="shared" si="15"/>
        <v>823.11670702528556</v>
      </c>
      <c r="AZ32" s="150">
        <f t="shared" si="16"/>
        <v>1.9949166154762084E-3</v>
      </c>
      <c r="BA32" s="148">
        <f t="shared" si="17"/>
        <v>17.505393300803732</v>
      </c>
      <c r="BB32" s="144">
        <v>5</v>
      </c>
      <c r="BC32" s="144">
        <v>13</v>
      </c>
      <c r="BD32" s="155">
        <f t="shared" si="18"/>
        <v>25.87</v>
      </c>
      <c r="BE32" s="53" t="str">
        <f t="shared" si="19"/>
        <v>OK</v>
      </c>
      <c r="BF32" s="148">
        <f t="shared" si="20"/>
        <v>0.2</v>
      </c>
      <c r="BG32" s="155" t="str">
        <f t="shared" si="21"/>
        <v>13#5@20</v>
      </c>
      <c r="BH32" s="197">
        <f t="shared" si="22"/>
        <v>0.67666769620424161</v>
      </c>
      <c r="BI32" s="350"/>
      <c r="BJ32" s="155">
        <f t="shared" si="23"/>
        <v>1.3250000000000002</v>
      </c>
      <c r="BK32" s="153">
        <f t="shared" si="24"/>
        <v>41.089100000000002</v>
      </c>
      <c r="BL32" s="153">
        <f t="shared" si="25"/>
        <v>230.02459130434787</v>
      </c>
      <c r="BM32" s="153">
        <f t="shared" si="26"/>
        <v>9.2317499999999999</v>
      </c>
      <c r="BN32" s="144">
        <v>8</v>
      </c>
      <c r="BO32" s="155" t="s">
        <v>191</v>
      </c>
      <c r="BP32" s="144">
        <v>5</v>
      </c>
      <c r="BQ32" s="153">
        <f t="shared" si="27"/>
        <v>15.92</v>
      </c>
      <c r="BR32" s="153">
        <f t="shared" si="28"/>
        <v>601.77599999999995</v>
      </c>
      <c r="BS32" s="53" t="str">
        <f t="shared" si="29"/>
        <v>OK</v>
      </c>
      <c r="BT32" s="122"/>
      <c r="BU32" s="350"/>
      <c r="BV32" s="153">
        <f t="shared" si="30"/>
        <v>15.92</v>
      </c>
      <c r="BW32" s="153">
        <f t="shared" si="31"/>
        <v>601.77599999999995</v>
      </c>
      <c r="BX32" s="155" t="str">
        <f t="shared" si="32"/>
        <v>OK</v>
      </c>
      <c r="BY32" s="153">
        <f t="shared" si="33"/>
        <v>83.714902224938754</v>
      </c>
      <c r="BZ32" s="53" t="str">
        <f t="shared" si="34"/>
        <v>OK</v>
      </c>
      <c r="CB32" s="114"/>
      <c r="CC32" s="114"/>
      <c r="CD32" s="114"/>
      <c r="CE32" s="114"/>
      <c r="CF32" s="117"/>
      <c r="CG32" s="350"/>
      <c r="CH32" s="153">
        <f t="shared" si="35"/>
        <v>152.05392381589499</v>
      </c>
      <c r="CI32" s="153">
        <f t="shared" si="36"/>
        <v>82.473213513120513</v>
      </c>
      <c r="CJ32" s="150">
        <f t="shared" si="37"/>
        <v>102.48638906949748</v>
      </c>
      <c r="CK32" s="150">
        <f t="shared" si="38"/>
        <v>47.678741246003227</v>
      </c>
      <c r="CL32" s="53" t="str">
        <f t="shared" si="39"/>
        <v>OK</v>
      </c>
      <c r="CM32" s="158">
        <f t="shared" si="40"/>
        <v>9.2317499999999999</v>
      </c>
      <c r="CN32" s="144">
        <v>8</v>
      </c>
      <c r="CO32" s="155" t="s">
        <v>191</v>
      </c>
      <c r="CP32" s="144">
        <v>5</v>
      </c>
      <c r="CR32" s="117"/>
      <c r="CT32" s="350"/>
      <c r="CU32" s="111">
        <f t="shared" si="41"/>
        <v>278</v>
      </c>
      <c r="CV32" s="156">
        <f t="shared" si="42"/>
        <v>2.7</v>
      </c>
      <c r="CW32" s="156">
        <f t="shared" si="43"/>
        <v>2.7</v>
      </c>
      <c r="CX32" s="140" t="str">
        <f t="shared" si="44"/>
        <v>13#5@20</v>
      </c>
      <c r="CY32" s="140" t="str">
        <f t="shared" si="45"/>
        <v>13#5@20</v>
      </c>
    </row>
    <row r="33" spans="1:112" ht="15" customHeight="1" x14ac:dyDescent="0.25">
      <c r="A33" s="123"/>
      <c r="B33" s="124"/>
      <c r="C33" s="188"/>
      <c r="D33" s="124"/>
      <c r="E33" s="124"/>
      <c r="F33" s="124"/>
      <c r="G33" s="124"/>
      <c r="H33" s="125"/>
      <c r="I33" s="124"/>
      <c r="J33" s="124"/>
      <c r="K33" s="124"/>
      <c r="L33" s="126"/>
      <c r="M33" s="349" t="str">
        <f>Y33</f>
        <v>Z2</v>
      </c>
      <c r="N33" s="143">
        <v>283</v>
      </c>
      <c r="O33" s="144" t="s">
        <v>802</v>
      </c>
      <c r="P33" s="145">
        <v>28.728300000000001</v>
      </c>
      <c r="Q33" s="145">
        <v>13.965299999999999</v>
      </c>
      <c r="R33" s="145">
        <v>546.98760000000004</v>
      </c>
      <c r="S33" s="145">
        <v>26.7942</v>
      </c>
      <c r="T33" s="145">
        <v>104.53700000000001</v>
      </c>
      <c r="U33" s="145">
        <v>0.4</v>
      </c>
      <c r="V33" s="146">
        <f t="shared" si="0"/>
        <v>0.32500000000000001</v>
      </c>
      <c r="W33" s="147">
        <f t="shared" si="46"/>
        <v>95.136000000000024</v>
      </c>
      <c r="X33" s="147">
        <f t="shared" si="47"/>
        <v>204.41600000000005</v>
      </c>
      <c r="Y33" s="349" t="s">
        <v>838</v>
      </c>
      <c r="Z33" s="148">
        <f t="shared" si="1"/>
        <v>1.6500000000000001</v>
      </c>
      <c r="AA33" s="149">
        <v>2.7</v>
      </c>
      <c r="AB33" s="148">
        <f t="shared" si="48"/>
        <v>4.4437179449828896</v>
      </c>
      <c r="AC33" s="149">
        <v>3.1</v>
      </c>
      <c r="AD33" s="150">
        <f t="shared" si="49"/>
        <v>0.12348743047578635</v>
      </c>
      <c r="AE33" s="150">
        <f t="shared" si="2"/>
        <v>3.1651443122093753E-2</v>
      </c>
      <c r="AF33" s="53" t="str">
        <f t="shared" si="50"/>
        <v>OK</v>
      </c>
      <c r="AG33" s="53" t="str">
        <f t="shared" si="51"/>
        <v>OK</v>
      </c>
      <c r="AH33" s="155" t="s">
        <v>147</v>
      </c>
      <c r="AI33" s="153">
        <f t="shared" si="53"/>
        <v>2.9250000000000003</v>
      </c>
      <c r="AJ33" s="153">
        <f t="shared" si="54"/>
        <v>1.35</v>
      </c>
      <c r="AK33" s="349" t="str">
        <f>Y33</f>
        <v>Z2</v>
      </c>
      <c r="AL33" s="153">
        <f t="shared" si="3"/>
        <v>844.58001759259275</v>
      </c>
      <c r="AM33" s="153">
        <f t="shared" si="4"/>
        <v>1506.9598160707758</v>
      </c>
      <c r="AN33" s="153">
        <f t="shared" si="5"/>
        <v>1943.0248804947107</v>
      </c>
      <c r="AO33" s="153">
        <f t="shared" si="6"/>
        <v>1787.6680171035673</v>
      </c>
      <c r="AP33" s="53" t="str">
        <f t="shared" si="7"/>
        <v>OK</v>
      </c>
      <c r="AQ33" s="153">
        <f t="shared" si="8"/>
        <v>0.4</v>
      </c>
      <c r="AR33" s="150">
        <f t="shared" si="9"/>
        <v>148.928262962963</v>
      </c>
      <c r="AS33" s="153">
        <f t="shared" si="10"/>
        <v>286.73115483870976</v>
      </c>
      <c r="AT33" s="154">
        <f t="shared" si="11"/>
        <v>592.01992774209054</v>
      </c>
      <c r="AU33" s="153">
        <f t="shared" si="12"/>
        <v>679.72658370388172</v>
      </c>
      <c r="AV33" s="53" t="str">
        <f t="shared" si="13"/>
        <v>OK</v>
      </c>
      <c r="AW33" s="349" t="str">
        <f>AK33</f>
        <v>Z2</v>
      </c>
      <c r="AX33" s="153">
        <f t="shared" si="14"/>
        <v>204.8676192592593</v>
      </c>
      <c r="AY33" s="153">
        <f t="shared" si="15"/>
        <v>798.17905085546738</v>
      </c>
      <c r="AZ33" s="150">
        <f t="shared" si="16"/>
        <v>1.9334092954159379E-3</v>
      </c>
      <c r="BA33" s="148">
        <f t="shared" si="17"/>
        <v>16.965666567274855</v>
      </c>
      <c r="BB33" s="144">
        <v>5</v>
      </c>
      <c r="BC33" s="144">
        <v>13</v>
      </c>
      <c r="BD33" s="155">
        <f t="shared" si="18"/>
        <v>25.87</v>
      </c>
      <c r="BE33" s="53" t="str">
        <f t="shared" si="19"/>
        <v>OK</v>
      </c>
      <c r="BF33" s="148">
        <f t="shared" si="20"/>
        <v>0.2</v>
      </c>
      <c r="BG33" s="155" t="str">
        <f t="shared" si="21"/>
        <v>13#5@20</v>
      </c>
      <c r="BH33" s="197">
        <f t="shared" si="22"/>
        <v>0.65580466050540609</v>
      </c>
      <c r="BI33" s="349" t="str">
        <f>AW33</f>
        <v>Z2</v>
      </c>
      <c r="BJ33" s="155">
        <f t="shared" si="23"/>
        <v>1.3250000000000002</v>
      </c>
      <c r="BK33" s="153">
        <f t="shared" si="24"/>
        <v>26.7942</v>
      </c>
      <c r="BL33" s="153">
        <f t="shared" si="25"/>
        <v>377.0652057971015</v>
      </c>
      <c r="BM33" s="153">
        <f t="shared" si="26"/>
        <v>9.9752699946323151</v>
      </c>
      <c r="BN33" s="144">
        <v>8</v>
      </c>
      <c r="BO33" s="155" t="s">
        <v>191</v>
      </c>
      <c r="BP33" s="144">
        <v>5</v>
      </c>
      <c r="BQ33" s="153">
        <f t="shared" si="27"/>
        <v>15.92</v>
      </c>
      <c r="BR33" s="153">
        <f t="shared" si="28"/>
        <v>601.77599999999995</v>
      </c>
      <c r="BS33" s="53" t="str">
        <f t="shared" si="29"/>
        <v>OK</v>
      </c>
      <c r="BT33" s="122"/>
      <c r="BU33" s="349" t="str">
        <f>BI33</f>
        <v>Z2</v>
      </c>
      <c r="BV33" s="153">
        <f t="shared" si="30"/>
        <v>15.92</v>
      </c>
      <c r="BW33" s="153">
        <f t="shared" si="31"/>
        <v>601.77599999999995</v>
      </c>
      <c r="BX33" s="155" t="str">
        <f t="shared" si="32"/>
        <v>OK</v>
      </c>
      <c r="BY33" s="153">
        <f t="shared" si="33"/>
        <v>117.2163956884184</v>
      </c>
      <c r="BZ33" s="53" t="str">
        <f t="shared" si="34"/>
        <v>OK</v>
      </c>
      <c r="CB33" s="114"/>
      <c r="CC33" s="114"/>
      <c r="CD33" s="114"/>
      <c r="CE33" s="114"/>
      <c r="CF33" s="117"/>
      <c r="CG33" s="349" t="str">
        <f>BU33</f>
        <v>Z2</v>
      </c>
      <c r="CH33" s="153">
        <f t="shared" si="35"/>
        <v>107.91623382346143</v>
      </c>
      <c r="CI33" s="153">
        <f t="shared" si="36"/>
        <v>194.97086815773835</v>
      </c>
      <c r="CJ33" s="150">
        <f t="shared" si="37"/>
        <v>0</v>
      </c>
      <c r="CK33" s="150">
        <f t="shared" si="38"/>
        <v>0</v>
      </c>
      <c r="CL33" s="53" t="str">
        <f t="shared" si="39"/>
        <v>OK</v>
      </c>
      <c r="CM33" s="158">
        <f t="shared" si="40"/>
        <v>9.9752699946323151</v>
      </c>
      <c r="CN33" s="144">
        <v>8</v>
      </c>
      <c r="CO33" s="155" t="s">
        <v>191</v>
      </c>
      <c r="CP33" s="144">
        <v>5</v>
      </c>
      <c r="CR33" s="117"/>
      <c r="CT33" s="349" t="str">
        <f t="shared" ref="CT33" si="70">AW33</f>
        <v>Z2</v>
      </c>
      <c r="CU33" s="111">
        <f t="shared" si="41"/>
        <v>283</v>
      </c>
      <c r="CV33" s="156">
        <f t="shared" si="42"/>
        <v>2.7</v>
      </c>
      <c r="CW33" s="156">
        <f t="shared" si="43"/>
        <v>3.1</v>
      </c>
      <c r="CX33" s="140" t="str">
        <f t="shared" si="44"/>
        <v>13#5@20</v>
      </c>
      <c r="CY33" s="140" t="str">
        <f t="shared" si="45"/>
        <v>14#5@20</v>
      </c>
    </row>
    <row r="34" spans="1:112" ht="15" customHeight="1" x14ac:dyDescent="0.25">
      <c r="A34" s="123"/>
      <c r="B34" s="124"/>
      <c r="C34" s="188"/>
      <c r="D34" s="124"/>
      <c r="E34" s="124"/>
      <c r="F34" s="124"/>
      <c r="G34" s="124"/>
      <c r="H34" s="125"/>
      <c r="I34" s="124"/>
      <c r="J34" s="124"/>
      <c r="K34" s="124"/>
      <c r="L34" s="126"/>
      <c r="M34" s="350"/>
      <c r="N34" s="143">
        <v>283</v>
      </c>
      <c r="O34" s="144" t="s">
        <v>802</v>
      </c>
      <c r="P34" s="145">
        <v>29.211600000000001</v>
      </c>
      <c r="Q34" s="145">
        <v>4.4962999999999997</v>
      </c>
      <c r="R34" s="145">
        <v>508.99970000000002</v>
      </c>
      <c r="S34" s="145">
        <v>42.580399999999997</v>
      </c>
      <c r="T34" s="145">
        <v>106.9383</v>
      </c>
      <c r="U34" s="145">
        <v>0.4</v>
      </c>
      <c r="V34" s="146">
        <f t="shared" si="0"/>
        <v>0.32500000000000001</v>
      </c>
      <c r="W34" s="147">
        <f t="shared" si="46"/>
        <v>95.136000000000024</v>
      </c>
      <c r="X34" s="147">
        <f t="shared" si="47"/>
        <v>204.41600000000005</v>
      </c>
      <c r="Y34" s="350"/>
      <c r="Z34" s="148">
        <f t="shared" si="1"/>
        <v>1.6500000000000001</v>
      </c>
      <c r="AA34" s="149">
        <v>2.7</v>
      </c>
      <c r="AB34" s="148">
        <f t="shared" si="48"/>
        <v>4.2443090656791735</v>
      </c>
      <c r="AC34" s="149">
        <v>3.1</v>
      </c>
      <c r="AD34" s="150">
        <f t="shared" si="49"/>
        <v>0.13225907508449983</v>
      </c>
      <c r="AE34" s="150">
        <f t="shared" si="2"/>
        <v>5.2662557013979427E-2</v>
      </c>
      <c r="AF34" s="53" t="str">
        <f t="shared" si="50"/>
        <v>OK</v>
      </c>
      <c r="AG34" s="53" t="str">
        <f t="shared" si="51"/>
        <v>OK</v>
      </c>
      <c r="AH34" s="155" t="s">
        <v>147</v>
      </c>
      <c r="AI34" s="153">
        <f t="shared" si="53"/>
        <v>2.9250000000000003</v>
      </c>
      <c r="AJ34" s="153">
        <f t="shared" si="54"/>
        <v>1.35</v>
      </c>
      <c r="AK34" s="350"/>
      <c r="AL34" s="153">
        <f t="shared" si="3"/>
        <v>806.68005254629645</v>
      </c>
      <c r="AM34" s="153">
        <f t="shared" si="4"/>
        <v>1506.9598160707758</v>
      </c>
      <c r="AN34" s="153">
        <f t="shared" si="5"/>
        <v>1943.0248804947107</v>
      </c>
      <c r="AO34" s="153">
        <f t="shared" si="6"/>
        <v>1787.6680171035673</v>
      </c>
      <c r="AP34" s="53" t="str">
        <f t="shared" si="7"/>
        <v>OK</v>
      </c>
      <c r="AQ34" s="153">
        <f t="shared" si="8"/>
        <v>0.4</v>
      </c>
      <c r="AR34" s="150">
        <f t="shared" si="9"/>
        <v>142.24520648148149</v>
      </c>
      <c r="AS34" s="153">
        <f t="shared" si="10"/>
        <v>273.86428548387096</v>
      </c>
      <c r="AT34" s="154">
        <f t="shared" si="11"/>
        <v>592.01992774209054</v>
      </c>
      <c r="AU34" s="153">
        <f t="shared" si="12"/>
        <v>679.72658370388172</v>
      </c>
      <c r="AV34" s="53" t="str">
        <f t="shared" si="13"/>
        <v>OK</v>
      </c>
      <c r="AW34" s="350"/>
      <c r="AX34" s="153">
        <f t="shared" si="14"/>
        <v>202.76664962962963</v>
      </c>
      <c r="AY34" s="153">
        <f t="shared" si="15"/>
        <v>789.99352133685761</v>
      </c>
      <c r="AZ34" s="150">
        <f t="shared" si="16"/>
        <v>1.9132352112117747E-3</v>
      </c>
      <c r="BA34" s="148">
        <f t="shared" si="17"/>
        <v>16.788638978383325</v>
      </c>
      <c r="BB34" s="144">
        <v>5</v>
      </c>
      <c r="BC34" s="144">
        <v>13</v>
      </c>
      <c r="BD34" s="155">
        <f t="shared" si="18"/>
        <v>25.87</v>
      </c>
      <c r="BE34" s="53" t="str">
        <f t="shared" si="19"/>
        <v>OK</v>
      </c>
      <c r="BF34" s="148">
        <f t="shared" si="20"/>
        <v>0.2</v>
      </c>
      <c r="BG34" s="155" t="str">
        <f t="shared" si="21"/>
        <v>13#5@20</v>
      </c>
      <c r="BH34" s="197">
        <f t="shared" si="22"/>
        <v>0.64896169224520006</v>
      </c>
      <c r="BI34" s="350"/>
      <c r="BJ34" s="155">
        <f t="shared" si="23"/>
        <v>1.3250000000000002</v>
      </c>
      <c r="BK34" s="153">
        <f t="shared" si="24"/>
        <v>42.580399999999997</v>
      </c>
      <c r="BL34" s="153">
        <f t="shared" si="25"/>
        <v>350.29620869565218</v>
      </c>
      <c r="BM34" s="153">
        <f t="shared" si="26"/>
        <v>9.2670954681389475</v>
      </c>
      <c r="BN34" s="144">
        <v>8</v>
      </c>
      <c r="BO34" s="155" t="s">
        <v>191</v>
      </c>
      <c r="BP34" s="144">
        <v>5</v>
      </c>
      <c r="BQ34" s="153">
        <f t="shared" si="27"/>
        <v>15.92</v>
      </c>
      <c r="BR34" s="153">
        <f t="shared" si="28"/>
        <v>601.77599999999995</v>
      </c>
      <c r="BS34" s="53" t="str">
        <f t="shared" si="29"/>
        <v>OK</v>
      </c>
      <c r="BT34" s="122"/>
      <c r="BU34" s="350"/>
      <c r="BV34" s="153">
        <f t="shared" si="30"/>
        <v>15.92</v>
      </c>
      <c r="BW34" s="153">
        <f t="shared" si="31"/>
        <v>601.77599999999995</v>
      </c>
      <c r="BX34" s="155" t="str">
        <f t="shared" si="32"/>
        <v>OK</v>
      </c>
      <c r="BY34" s="153">
        <f t="shared" si="33"/>
        <v>111.75729259488726</v>
      </c>
      <c r="BZ34" s="53" t="str">
        <f t="shared" si="34"/>
        <v>OK</v>
      </c>
      <c r="CB34" s="114"/>
      <c r="CC34" s="114"/>
      <c r="CD34" s="114"/>
      <c r="CE34" s="114"/>
      <c r="CF34" s="117"/>
      <c r="CG34" s="350"/>
      <c r="CH34" s="153">
        <f t="shared" si="35"/>
        <v>115.10382474553137</v>
      </c>
      <c r="CI34" s="153">
        <f t="shared" si="36"/>
        <v>179.8987418533944</v>
      </c>
      <c r="CJ34" s="150">
        <f t="shared" si="37"/>
        <v>0</v>
      </c>
      <c r="CK34" s="150">
        <f t="shared" si="38"/>
        <v>0</v>
      </c>
      <c r="CL34" s="53" t="str">
        <f t="shared" si="39"/>
        <v>OK</v>
      </c>
      <c r="CM34" s="158">
        <f t="shared" si="40"/>
        <v>9.2670954681389475</v>
      </c>
      <c r="CN34" s="144">
        <v>8</v>
      </c>
      <c r="CO34" s="155" t="s">
        <v>191</v>
      </c>
      <c r="CP34" s="144">
        <v>5</v>
      </c>
      <c r="CR34" s="117"/>
      <c r="CT34" s="350"/>
      <c r="CU34" s="111">
        <f t="shared" si="41"/>
        <v>283</v>
      </c>
      <c r="CV34" s="156">
        <f t="shared" si="42"/>
        <v>2.7</v>
      </c>
      <c r="CW34" s="156">
        <f t="shared" si="43"/>
        <v>3.1</v>
      </c>
      <c r="CX34" s="140" t="str">
        <f t="shared" si="44"/>
        <v>13#5@20</v>
      </c>
      <c r="CY34" s="140" t="str">
        <f t="shared" si="45"/>
        <v>14#5@20</v>
      </c>
    </row>
    <row r="35" spans="1:112" ht="15" customHeight="1" x14ac:dyDescent="0.25">
      <c r="A35" s="123"/>
      <c r="B35" s="124"/>
      <c r="C35" s="188"/>
      <c r="D35" s="124"/>
      <c r="E35" s="124"/>
      <c r="F35" s="124"/>
      <c r="G35" s="124"/>
      <c r="H35" s="125"/>
      <c r="I35" s="124"/>
      <c r="J35" s="124"/>
      <c r="K35" s="124"/>
      <c r="L35" s="126"/>
      <c r="M35" s="349" t="str">
        <f>Y35</f>
        <v>Z1</v>
      </c>
      <c r="N35" s="143">
        <v>288</v>
      </c>
      <c r="O35" s="144" t="s">
        <v>803</v>
      </c>
      <c r="P35" s="145">
        <v>51.8003</v>
      </c>
      <c r="Q35" s="145">
        <v>13.2714</v>
      </c>
      <c r="R35" s="145">
        <v>340.34500000000003</v>
      </c>
      <c r="S35" s="145">
        <v>28.778700000000001</v>
      </c>
      <c r="T35" s="145">
        <v>144.03110000000001</v>
      </c>
      <c r="U35" s="145">
        <v>0.4</v>
      </c>
      <c r="V35" s="146">
        <f t="shared" si="0"/>
        <v>0.32500000000000001</v>
      </c>
      <c r="W35" s="147">
        <f t="shared" si="46"/>
        <v>84.768000000000015</v>
      </c>
      <c r="X35" s="147">
        <f t="shared" si="47"/>
        <v>176.76800000000003</v>
      </c>
      <c r="Y35" s="349" t="s">
        <v>698</v>
      </c>
      <c r="Z35" s="148">
        <f t="shared" si="1"/>
        <v>2.0652460704272624</v>
      </c>
      <c r="AA35" s="149">
        <v>2.7</v>
      </c>
      <c r="AB35" s="148">
        <f t="shared" si="48"/>
        <v>2.0652460704272624</v>
      </c>
      <c r="AC35" s="149">
        <v>2.7</v>
      </c>
      <c r="AD35" s="150">
        <f t="shared" si="49"/>
        <v>0.23930162274602454</v>
      </c>
      <c r="AE35" s="150">
        <f t="shared" si="2"/>
        <v>4.7814601225159119E-2</v>
      </c>
      <c r="AF35" s="53" t="str">
        <f t="shared" si="50"/>
        <v>OK</v>
      </c>
      <c r="AG35" s="53" t="str">
        <f t="shared" si="51"/>
        <v>OK</v>
      </c>
      <c r="AH35" s="155" t="str">
        <f t="shared" si="52"/>
        <v>Esquinera</v>
      </c>
      <c r="AI35" s="153">
        <f t="shared" si="53"/>
        <v>2.5250000000000004</v>
      </c>
      <c r="AJ35" s="153">
        <f t="shared" si="54"/>
        <v>2.1500000000000004</v>
      </c>
      <c r="AK35" s="349" t="str">
        <f>Y35</f>
        <v>Z1</v>
      </c>
      <c r="AL35" s="153">
        <f t="shared" si="3"/>
        <v>600.2813505658437</v>
      </c>
      <c r="AM35" s="153">
        <f t="shared" si="4"/>
        <v>1506.9598160707758</v>
      </c>
      <c r="AN35" s="153">
        <f t="shared" si="5"/>
        <v>1595.1003151168702</v>
      </c>
      <c r="AO35" s="153">
        <f t="shared" si="6"/>
        <v>1787.6680171035673</v>
      </c>
      <c r="AP35" s="53" t="str">
        <f t="shared" si="7"/>
        <v>OK</v>
      </c>
      <c r="AQ35" s="153">
        <f t="shared" si="8"/>
        <v>0.4</v>
      </c>
      <c r="AR35" s="150">
        <f t="shared" si="9"/>
        <v>105.88647222222224</v>
      </c>
      <c r="AS35" s="153">
        <f t="shared" si="10"/>
        <v>189.4810555555556</v>
      </c>
      <c r="AT35" s="154">
        <f t="shared" si="11"/>
        <v>592.01992774209054</v>
      </c>
      <c r="AU35" s="153">
        <f t="shared" si="12"/>
        <v>592.01992774209054</v>
      </c>
      <c r="AV35" s="53" t="str">
        <f t="shared" si="13"/>
        <v>OK</v>
      </c>
      <c r="AW35" s="349" t="str">
        <f>AK35</f>
        <v>Z1</v>
      </c>
      <c r="AX35" s="153">
        <f t="shared" si="14"/>
        <v>215.36514444444447</v>
      </c>
      <c r="AY35" s="153">
        <f t="shared" si="15"/>
        <v>839.07816765556549</v>
      </c>
      <c r="AZ35" s="150">
        <f t="shared" si="16"/>
        <v>2.0343210017142277E-3</v>
      </c>
      <c r="BA35" s="148">
        <f t="shared" si="17"/>
        <v>17.851166790042349</v>
      </c>
      <c r="BB35" s="144">
        <v>5</v>
      </c>
      <c r="BC35" s="144">
        <v>13</v>
      </c>
      <c r="BD35" s="155">
        <f t="shared" si="18"/>
        <v>25.87</v>
      </c>
      <c r="BE35" s="53" t="str">
        <f t="shared" si="19"/>
        <v>OK</v>
      </c>
      <c r="BF35" s="148">
        <f t="shared" si="20"/>
        <v>0.2</v>
      </c>
      <c r="BG35" s="155" t="str">
        <f t="shared" si="21"/>
        <v>13#5@20</v>
      </c>
      <c r="BH35" s="197">
        <f t="shared" si="22"/>
        <v>0.69003350560658483</v>
      </c>
      <c r="BI35" s="349" t="str">
        <f>AW35</f>
        <v>Z1</v>
      </c>
      <c r="BJ35" s="155">
        <f t="shared" si="23"/>
        <v>1.3250000000000002</v>
      </c>
      <c r="BK35" s="153">
        <f t="shared" si="24"/>
        <v>28.778700000000001</v>
      </c>
      <c r="BL35" s="153">
        <f t="shared" si="25"/>
        <v>262.44991304347832</v>
      </c>
      <c r="BM35" s="153">
        <f t="shared" si="26"/>
        <v>9.2317499999999999</v>
      </c>
      <c r="BN35" s="144">
        <v>8</v>
      </c>
      <c r="BO35" s="155" t="s">
        <v>191</v>
      </c>
      <c r="BP35" s="144">
        <v>5</v>
      </c>
      <c r="BQ35" s="153">
        <f t="shared" si="27"/>
        <v>15.92</v>
      </c>
      <c r="BR35" s="153">
        <f t="shared" si="28"/>
        <v>601.77599999999995</v>
      </c>
      <c r="BS35" s="53" t="str">
        <f t="shared" si="29"/>
        <v>OK</v>
      </c>
      <c r="BT35" s="122"/>
      <c r="BU35" s="349" t="str">
        <f>BI35</f>
        <v>Z1</v>
      </c>
      <c r="BV35" s="153">
        <f t="shared" si="30"/>
        <v>15.92</v>
      </c>
      <c r="BW35" s="153">
        <f t="shared" si="31"/>
        <v>601.77599999999995</v>
      </c>
      <c r="BX35" s="155" t="str">
        <f t="shared" si="32"/>
        <v>OK</v>
      </c>
      <c r="BY35" s="153">
        <f t="shared" si="33"/>
        <v>92.556861703224882</v>
      </c>
      <c r="BZ35" s="53" t="str">
        <f t="shared" si="34"/>
        <v>OK</v>
      </c>
      <c r="CB35" s="114"/>
      <c r="CC35" s="114"/>
      <c r="CD35" s="114"/>
      <c r="CE35" s="114"/>
      <c r="CF35" s="117"/>
      <c r="CG35" s="349" t="str">
        <f>BU35</f>
        <v>Z1</v>
      </c>
      <c r="CH35" s="153">
        <f t="shared" si="35"/>
        <v>146.87808325580778</v>
      </c>
      <c r="CI35" s="153">
        <f t="shared" si="36"/>
        <v>101.32685027054798</v>
      </c>
      <c r="CJ35" s="150">
        <f t="shared" si="37"/>
        <v>116.23097593920383</v>
      </c>
      <c r="CK35" s="150">
        <f t="shared" si="38"/>
        <v>48.894126941454601</v>
      </c>
      <c r="CL35" s="53" t="str">
        <f t="shared" si="39"/>
        <v>OK</v>
      </c>
      <c r="CM35" s="158">
        <f t="shared" si="40"/>
        <v>9.2317499999999999</v>
      </c>
      <c r="CN35" s="144">
        <v>8</v>
      </c>
      <c r="CO35" s="155" t="s">
        <v>191</v>
      </c>
      <c r="CP35" s="144">
        <v>5</v>
      </c>
      <c r="CR35" s="117"/>
      <c r="CT35" s="349" t="str">
        <f t="shared" ref="CT35" si="71">AW35</f>
        <v>Z1</v>
      </c>
      <c r="CU35" s="111">
        <f t="shared" si="41"/>
        <v>288</v>
      </c>
      <c r="CV35" s="156">
        <f t="shared" si="42"/>
        <v>2.7</v>
      </c>
      <c r="CW35" s="156">
        <f t="shared" si="43"/>
        <v>2.7</v>
      </c>
      <c r="CX35" s="140" t="str">
        <f t="shared" si="44"/>
        <v>13#5@20</v>
      </c>
      <c r="CY35" s="140" t="str">
        <f t="shared" si="45"/>
        <v>13#5@20</v>
      </c>
    </row>
    <row r="36" spans="1:112" ht="15" customHeight="1" x14ac:dyDescent="0.25">
      <c r="A36" s="123"/>
      <c r="B36" s="124"/>
      <c r="C36" s="188"/>
      <c r="D36" s="124"/>
      <c r="E36" s="124"/>
      <c r="F36" s="124"/>
      <c r="G36" s="124"/>
      <c r="H36" s="125"/>
      <c r="I36" s="124"/>
      <c r="J36" s="124"/>
      <c r="K36" s="124"/>
      <c r="L36" s="126"/>
      <c r="M36" s="350"/>
      <c r="N36" s="143">
        <v>288</v>
      </c>
      <c r="O36" s="144" t="s">
        <v>803</v>
      </c>
      <c r="P36" s="145">
        <v>6.7699999999999996E-2</v>
      </c>
      <c r="Q36" s="145">
        <v>5.7374999999999998</v>
      </c>
      <c r="R36" s="145">
        <v>285.3</v>
      </c>
      <c r="S36" s="145">
        <v>41.116100000000003</v>
      </c>
      <c r="T36" s="145">
        <v>56.236800000000002</v>
      </c>
      <c r="U36" s="145">
        <v>0.4</v>
      </c>
      <c r="V36" s="146">
        <f t="shared" si="0"/>
        <v>0.32500000000000001</v>
      </c>
      <c r="W36" s="147">
        <f t="shared" si="46"/>
        <v>84.768000000000015</v>
      </c>
      <c r="X36" s="147">
        <f t="shared" si="47"/>
        <v>176.76800000000003</v>
      </c>
      <c r="Y36" s="350"/>
      <c r="Z36" s="148">
        <f t="shared" si="1"/>
        <v>1.9685435925473287</v>
      </c>
      <c r="AA36" s="149">
        <v>2.7</v>
      </c>
      <c r="AB36" s="148">
        <f t="shared" si="48"/>
        <v>1.9685435925473287</v>
      </c>
      <c r="AC36" s="149">
        <v>2.7</v>
      </c>
      <c r="AD36" s="150">
        <f t="shared" si="49"/>
        <v>0.10284033969965402</v>
      </c>
      <c r="AE36" s="150">
        <f t="shared" si="2"/>
        <v>7.5189087770373572E-2</v>
      </c>
      <c r="AF36" s="53" t="str">
        <f t="shared" si="50"/>
        <v>OK</v>
      </c>
      <c r="AG36" s="53" t="str">
        <f t="shared" si="51"/>
        <v>OK</v>
      </c>
      <c r="AH36" s="155" t="str">
        <f t="shared" si="52"/>
        <v>Esquinera</v>
      </c>
      <c r="AI36" s="153">
        <f t="shared" si="53"/>
        <v>2.5250000000000004</v>
      </c>
      <c r="AJ36" s="153">
        <f t="shared" si="54"/>
        <v>2.1500000000000004</v>
      </c>
      <c r="AK36" s="350"/>
      <c r="AL36" s="153">
        <f t="shared" si="3"/>
        <v>545.38264643347043</v>
      </c>
      <c r="AM36" s="153">
        <f t="shared" si="4"/>
        <v>1506.9598160707758</v>
      </c>
      <c r="AN36" s="153">
        <f t="shared" si="5"/>
        <v>1595.1003151168702</v>
      </c>
      <c r="AO36" s="153">
        <f t="shared" si="6"/>
        <v>1787.6680171035673</v>
      </c>
      <c r="AP36" s="53" t="str">
        <f t="shared" si="7"/>
        <v>OK</v>
      </c>
      <c r="AQ36" s="153">
        <f t="shared" si="8"/>
        <v>0.4</v>
      </c>
      <c r="AR36" s="150">
        <f t="shared" si="9"/>
        <v>96.202629629629641</v>
      </c>
      <c r="AS36" s="153">
        <f t="shared" si="10"/>
        <v>172.15207407407411</v>
      </c>
      <c r="AT36" s="154">
        <f t="shared" si="11"/>
        <v>592.01992774209054</v>
      </c>
      <c r="AU36" s="153">
        <f t="shared" si="12"/>
        <v>592.01992774209054</v>
      </c>
      <c r="AV36" s="53" t="str">
        <f t="shared" si="13"/>
        <v>OK</v>
      </c>
      <c r="AW36" s="350"/>
      <c r="AX36" s="153">
        <f t="shared" si="14"/>
        <v>121.0469925925926</v>
      </c>
      <c r="AY36" s="153">
        <f t="shared" si="15"/>
        <v>471.60783146601437</v>
      </c>
      <c r="AZ36" s="150">
        <f t="shared" si="16"/>
        <v>1.8E-3</v>
      </c>
      <c r="BA36" s="148">
        <f t="shared" si="17"/>
        <v>15.795000000000002</v>
      </c>
      <c r="BB36" s="144">
        <v>5</v>
      </c>
      <c r="BC36" s="144">
        <v>13</v>
      </c>
      <c r="BD36" s="155">
        <f t="shared" si="18"/>
        <v>25.87</v>
      </c>
      <c r="BE36" s="53" t="str">
        <f t="shared" si="19"/>
        <v>OK</v>
      </c>
      <c r="BF36" s="148">
        <f t="shared" si="20"/>
        <v>0.2</v>
      </c>
      <c r="BG36" s="155" t="str">
        <f t="shared" si="21"/>
        <v>13#5@20</v>
      </c>
      <c r="BH36" s="197">
        <f t="shared" si="22"/>
        <v>0.61055276381909551</v>
      </c>
      <c r="BI36" s="350"/>
      <c r="BJ36" s="155">
        <f t="shared" si="23"/>
        <v>1.3250000000000002</v>
      </c>
      <c r="BK36" s="153">
        <f t="shared" si="24"/>
        <v>41.116100000000003</v>
      </c>
      <c r="BL36" s="153">
        <f t="shared" si="25"/>
        <v>229.76968115942029</v>
      </c>
      <c r="BM36" s="153">
        <f t="shared" si="26"/>
        <v>9.2317499999999999</v>
      </c>
      <c r="BN36" s="144">
        <v>8</v>
      </c>
      <c r="BO36" s="155" t="s">
        <v>191</v>
      </c>
      <c r="BP36" s="144">
        <v>5</v>
      </c>
      <c r="BQ36" s="153">
        <f t="shared" si="27"/>
        <v>15.92</v>
      </c>
      <c r="BR36" s="153">
        <f t="shared" si="28"/>
        <v>601.77599999999995</v>
      </c>
      <c r="BS36" s="53" t="str">
        <f t="shared" si="29"/>
        <v>OK</v>
      </c>
      <c r="BT36" s="122"/>
      <c r="BU36" s="350"/>
      <c r="BV36" s="153">
        <f t="shared" si="30"/>
        <v>15.92</v>
      </c>
      <c r="BW36" s="153">
        <f t="shared" si="31"/>
        <v>601.77599999999995</v>
      </c>
      <c r="BX36" s="155" t="str">
        <f t="shared" si="32"/>
        <v>OK</v>
      </c>
      <c r="BY36" s="153">
        <f t="shared" si="33"/>
        <v>86.30201275348297</v>
      </c>
      <c r="BZ36" s="53" t="str">
        <f t="shared" si="34"/>
        <v>OK</v>
      </c>
      <c r="CB36" s="114"/>
      <c r="CC36" s="114"/>
      <c r="CD36" s="114"/>
      <c r="CE36" s="114"/>
      <c r="CF36" s="117"/>
      <c r="CG36" s="350"/>
      <c r="CH36" s="153">
        <f t="shared" si="35"/>
        <v>69.664276020425277</v>
      </c>
      <c r="CI36" s="153">
        <f t="shared" si="36"/>
        <v>125.44238586518424</v>
      </c>
      <c r="CJ36" s="150">
        <f t="shared" si="37"/>
        <v>116.69322185804009</v>
      </c>
      <c r="CK36" s="150">
        <f t="shared" si="38"/>
        <v>33.33037210629459</v>
      </c>
      <c r="CL36" s="53" t="str">
        <f t="shared" si="39"/>
        <v>OK</v>
      </c>
      <c r="CM36" s="158">
        <f t="shared" si="40"/>
        <v>9.2317499999999999</v>
      </c>
      <c r="CN36" s="144">
        <v>8</v>
      </c>
      <c r="CO36" s="155" t="s">
        <v>191</v>
      </c>
      <c r="CP36" s="144">
        <v>5</v>
      </c>
      <c r="CR36" s="117"/>
      <c r="CT36" s="350"/>
      <c r="CU36" s="111">
        <f t="shared" si="41"/>
        <v>288</v>
      </c>
      <c r="CV36" s="156">
        <f t="shared" si="42"/>
        <v>2.7</v>
      </c>
      <c r="CW36" s="156">
        <f t="shared" si="43"/>
        <v>2.7</v>
      </c>
      <c r="CX36" s="140" t="str">
        <f t="shared" si="44"/>
        <v>13#5@20</v>
      </c>
      <c r="CY36" s="140" t="str">
        <f t="shared" si="45"/>
        <v>13#5@20</v>
      </c>
    </row>
    <row r="37" spans="1:112" ht="15" customHeight="1" x14ac:dyDescent="0.25">
      <c r="A37" s="123"/>
      <c r="B37" s="124"/>
      <c r="C37" s="188"/>
      <c r="D37" s="124"/>
      <c r="E37" s="124"/>
      <c r="F37" s="124"/>
      <c r="G37" s="124"/>
      <c r="H37" s="125"/>
      <c r="I37" s="124"/>
      <c r="J37" s="124"/>
      <c r="K37" s="124"/>
      <c r="L37" s="126"/>
      <c r="M37" s="349">
        <f>Y37</f>
        <v>0</v>
      </c>
      <c r="N37" s="143"/>
      <c r="O37" s="144"/>
      <c r="P37" s="145"/>
      <c r="Q37" s="145"/>
      <c r="R37" s="145"/>
      <c r="S37" s="145"/>
      <c r="T37" s="145"/>
      <c r="U37" s="145"/>
      <c r="V37" s="146"/>
      <c r="W37" s="147"/>
      <c r="X37" s="147"/>
      <c r="Y37" s="349"/>
      <c r="Z37" s="148"/>
      <c r="AA37" s="149"/>
      <c r="AB37" s="148"/>
      <c r="AC37" s="149"/>
      <c r="AD37" s="150"/>
      <c r="AE37" s="150"/>
      <c r="AF37" s="53"/>
      <c r="AG37" s="53"/>
      <c r="AH37" s="155"/>
      <c r="AI37" s="153"/>
      <c r="AJ37" s="153"/>
      <c r="AK37" s="349"/>
      <c r="AL37" s="153"/>
      <c r="AM37" s="153"/>
      <c r="AN37" s="153"/>
      <c r="AO37" s="153"/>
      <c r="AP37" s="53"/>
      <c r="AQ37" s="153"/>
      <c r="AR37" s="150"/>
      <c r="AS37" s="153"/>
      <c r="AT37" s="154"/>
      <c r="AU37" s="153"/>
      <c r="AV37" s="53"/>
      <c r="AW37" s="349"/>
      <c r="AX37" s="153"/>
      <c r="AY37" s="153"/>
      <c r="AZ37" s="150"/>
      <c r="BA37" s="148"/>
      <c r="BB37" s="144"/>
      <c r="BC37" s="144"/>
      <c r="BD37" s="155"/>
      <c r="BE37" s="53"/>
      <c r="BF37" s="148"/>
      <c r="BG37" s="155"/>
      <c r="BH37" s="197"/>
      <c r="BI37" s="349"/>
      <c r="BJ37" s="155"/>
      <c r="BK37" s="153"/>
      <c r="BL37" s="153"/>
      <c r="BM37" s="153"/>
      <c r="BN37" s="144"/>
      <c r="BO37" s="155"/>
      <c r="BP37" s="144"/>
      <c r="BQ37" s="153"/>
      <c r="BR37" s="153"/>
      <c r="BS37" s="53"/>
      <c r="BT37" s="122"/>
      <c r="BU37" s="349"/>
      <c r="BV37" s="153"/>
      <c r="BW37" s="153"/>
      <c r="BX37" s="155"/>
      <c r="BY37" s="153"/>
      <c r="BZ37" s="53"/>
      <c r="CB37" s="114"/>
      <c r="CC37" s="114"/>
      <c r="CD37" s="114"/>
      <c r="CE37" s="114"/>
      <c r="CF37" s="117"/>
      <c r="CG37" s="349"/>
      <c r="CH37" s="153"/>
      <c r="CI37" s="153"/>
      <c r="CJ37" s="150"/>
      <c r="CK37" s="150"/>
      <c r="CL37" s="53"/>
      <c r="CM37" s="158"/>
      <c r="CN37" s="144"/>
      <c r="CO37" s="155"/>
      <c r="CP37" s="144"/>
      <c r="CR37" s="117"/>
      <c r="CT37" s="349"/>
      <c r="CU37" s="111"/>
      <c r="CV37" s="156"/>
      <c r="CW37" s="156"/>
      <c r="CX37" s="140"/>
      <c r="CY37" s="140"/>
    </row>
    <row r="38" spans="1:112" ht="15" customHeight="1" x14ac:dyDescent="0.25">
      <c r="A38" s="123"/>
      <c r="B38" s="124"/>
      <c r="C38" s="188"/>
      <c r="D38" s="124"/>
      <c r="E38" s="124"/>
      <c r="F38" s="124"/>
      <c r="G38" s="124"/>
      <c r="H38" s="125"/>
      <c r="I38" s="124"/>
      <c r="J38" s="124"/>
      <c r="K38" s="124"/>
      <c r="L38" s="126"/>
      <c r="M38" s="350"/>
      <c r="N38" s="143"/>
      <c r="O38" s="144"/>
      <c r="P38" s="145"/>
      <c r="Q38" s="145"/>
      <c r="R38" s="145"/>
      <c r="S38" s="145"/>
      <c r="T38" s="145"/>
      <c r="U38" s="145"/>
      <c r="V38" s="146"/>
      <c r="W38" s="147"/>
      <c r="X38" s="147"/>
      <c r="Y38" s="350"/>
      <c r="Z38" s="148"/>
      <c r="AA38" s="149"/>
      <c r="AB38" s="148"/>
      <c r="AC38" s="149"/>
      <c r="AD38" s="150"/>
      <c r="AE38" s="150"/>
      <c r="AF38" s="53"/>
      <c r="AG38" s="53"/>
      <c r="AH38" s="155"/>
      <c r="AI38" s="153"/>
      <c r="AJ38" s="153"/>
      <c r="AK38" s="350"/>
      <c r="AL38" s="153"/>
      <c r="AM38" s="153"/>
      <c r="AN38" s="153"/>
      <c r="AO38" s="153"/>
      <c r="AP38" s="53"/>
      <c r="AQ38" s="153"/>
      <c r="AR38" s="150"/>
      <c r="AS38" s="153"/>
      <c r="AT38" s="154"/>
      <c r="AU38" s="153"/>
      <c r="AV38" s="53"/>
      <c r="AW38" s="350"/>
      <c r="AX38" s="153"/>
      <c r="AY38" s="153"/>
      <c r="AZ38" s="150"/>
      <c r="BA38" s="148"/>
      <c r="BB38" s="144"/>
      <c r="BC38" s="144"/>
      <c r="BD38" s="155"/>
      <c r="BE38" s="53"/>
      <c r="BF38" s="148"/>
      <c r="BG38" s="155"/>
      <c r="BH38" s="197"/>
      <c r="BI38" s="350"/>
      <c r="BJ38" s="155"/>
      <c r="BK38" s="153"/>
      <c r="BL38" s="153"/>
      <c r="BM38" s="153"/>
      <c r="BN38" s="144"/>
      <c r="BO38" s="155"/>
      <c r="BP38" s="144"/>
      <c r="BQ38" s="153"/>
      <c r="BR38" s="153"/>
      <c r="BS38" s="53"/>
      <c r="BT38" s="122"/>
      <c r="BU38" s="350"/>
      <c r="BV38" s="153"/>
      <c r="BW38" s="153"/>
      <c r="BX38" s="155"/>
      <c r="BY38" s="153"/>
      <c r="BZ38" s="53"/>
      <c r="CB38" s="114"/>
      <c r="CC38" s="114"/>
      <c r="CD38" s="114"/>
      <c r="CE38" s="114"/>
      <c r="CF38" s="117"/>
      <c r="CG38" s="350"/>
      <c r="CH38" s="153"/>
      <c r="CI38" s="153"/>
      <c r="CJ38" s="150"/>
      <c r="CK38" s="150"/>
      <c r="CL38" s="53"/>
      <c r="CM38" s="158"/>
      <c r="CN38" s="144"/>
      <c r="CO38" s="155"/>
      <c r="CP38" s="144"/>
      <c r="CR38" s="117"/>
      <c r="CT38" s="350"/>
      <c r="CU38" s="111"/>
      <c r="CV38" s="156"/>
      <c r="CW38" s="156"/>
      <c r="CX38" s="140"/>
      <c r="CY38" s="140"/>
    </row>
    <row r="39" spans="1:112" ht="15" customHeight="1" x14ac:dyDescent="0.25">
      <c r="A39" s="123"/>
      <c r="B39" s="124"/>
      <c r="C39" s="188"/>
      <c r="D39" s="124"/>
      <c r="E39" s="124"/>
      <c r="F39" s="124"/>
      <c r="G39" s="124"/>
      <c r="H39" s="125"/>
      <c r="I39" s="124"/>
      <c r="J39" s="124"/>
      <c r="K39" s="124"/>
      <c r="L39" s="126"/>
      <c r="M39" s="349">
        <f>Y39</f>
        <v>0</v>
      </c>
      <c r="N39" s="143"/>
      <c r="O39" s="144"/>
      <c r="P39" s="145"/>
      <c r="Q39" s="145"/>
      <c r="R39" s="145"/>
      <c r="S39" s="145"/>
      <c r="T39" s="145"/>
      <c r="U39" s="145"/>
      <c r="V39" s="146"/>
      <c r="W39" s="147"/>
      <c r="X39" s="147"/>
      <c r="Y39" s="349"/>
      <c r="Z39" s="148"/>
      <c r="AA39" s="149"/>
      <c r="AB39" s="148"/>
      <c r="AC39" s="149"/>
      <c r="AD39" s="150"/>
      <c r="AE39" s="150"/>
      <c r="AF39" s="53"/>
      <c r="AG39" s="53"/>
      <c r="AH39" s="155"/>
      <c r="AI39" s="153"/>
      <c r="AJ39" s="153"/>
      <c r="AK39" s="349"/>
      <c r="AL39" s="153"/>
      <c r="AM39" s="153"/>
      <c r="AN39" s="153"/>
      <c r="AO39" s="153"/>
      <c r="AP39" s="53"/>
      <c r="AQ39" s="153"/>
      <c r="AR39" s="150"/>
      <c r="AS39" s="153"/>
      <c r="AT39" s="154"/>
      <c r="AU39" s="153"/>
      <c r="AV39" s="53"/>
      <c r="AW39" s="349"/>
      <c r="AX39" s="153"/>
      <c r="AY39" s="153"/>
      <c r="AZ39" s="150"/>
      <c r="BA39" s="148"/>
      <c r="BB39" s="144"/>
      <c r="BC39" s="144"/>
      <c r="BD39" s="155"/>
      <c r="BE39" s="53"/>
      <c r="BF39" s="148"/>
      <c r="BG39" s="155"/>
      <c r="BH39" s="197"/>
      <c r="BI39" s="349"/>
      <c r="BJ39" s="155"/>
      <c r="BK39" s="153"/>
      <c r="BL39" s="153"/>
      <c r="BM39" s="153"/>
      <c r="BN39" s="144"/>
      <c r="BO39" s="155"/>
      <c r="BP39" s="144"/>
      <c r="BQ39" s="153"/>
      <c r="BR39" s="153"/>
      <c r="BS39" s="53"/>
      <c r="BT39" s="122"/>
      <c r="BU39" s="349"/>
      <c r="BV39" s="153"/>
      <c r="BW39" s="153"/>
      <c r="BX39" s="155"/>
      <c r="BY39" s="153"/>
      <c r="BZ39" s="53"/>
      <c r="CB39" s="114"/>
      <c r="CC39" s="114"/>
      <c r="CD39" s="114"/>
      <c r="CE39" s="114"/>
      <c r="CF39" s="117"/>
      <c r="CG39" s="349"/>
      <c r="CH39" s="153"/>
      <c r="CI39" s="153"/>
      <c r="CJ39" s="150"/>
      <c r="CK39" s="150"/>
      <c r="CL39" s="53"/>
      <c r="CM39" s="158"/>
      <c r="CN39" s="144"/>
      <c r="CO39" s="155"/>
      <c r="CP39" s="144"/>
      <c r="CR39" s="117"/>
      <c r="CT39" s="349"/>
      <c r="CU39" s="111"/>
      <c r="CV39" s="156"/>
      <c r="CW39" s="156"/>
      <c r="CX39" s="140"/>
      <c r="CY39" s="140"/>
    </row>
    <row r="40" spans="1:112" ht="15" customHeight="1" x14ac:dyDescent="0.25">
      <c r="A40" s="123"/>
      <c r="B40" s="124"/>
      <c r="C40" s="188"/>
      <c r="D40" s="124"/>
      <c r="E40" s="124"/>
      <c r="F40" s="124"/>
      <c r="G40" s="124"/>
      <c r="H40" s="125"/>
      <c r="I40" s="124"/>
      <c r="J40" s="124"/>
      <c r="K40" s="124"/>
      <c r="L40" s="126"/>
      <c r="M40" s="350"/>
      <c r="N40" s="143"/>
      <c r="O40" s="144"/>
      <c r="P40" s="145"/>
      <c r="Q40" s="145"/>
      <c r="R40" s="145"/>
      <c r="S40" s="145"/>
      <c r="T40" s="145"/>
      <c r="U40" s="145"/>
      <c r="V40" s="146"/>
      <c r="W40" s="147"/>
      <c r="X40" s="147"/>
      <c r="Y40" s="350"/>
      <c r="Z40" s="148"/>
      <c r="AA40" s="149"/>
      <c r="AB40" s="148"/>
      <c r="AC40" s="149"/>
      <c r="AD40" s="150"/>
      <c r="AE40" s="150"/>
      <c r="AF40" s="53"/>
      <c r="AG40" s="53"/>
      <c r="AH40" s="155"/>
      <c r="AI40" s="153"/>
      <c r="AJ40" s="153"/>
      <c r="AK40" s="350"/>
      <c r="AL40" s="153"/>
      <c r="AM40" s="153"/>
      <c r="AN40" s="153"/>
      <c r="AO40" s="153"/>
      <c r="AP40" s="53"/>
      <c r="AQ40" s="153"/>
      <c r="AR40" s="150"/>
      <c r="AS40" s="153"/>
      <c r="AT40" s="154"/>
      <c r="AU40" s="153"/>
      <c r="AV40" s="53"/>
      <c r="AW40" s="350"/>
      <c r="AX40" s="153"/>
      <c r="AY40" s="153"/>
      <c r="AZ40" s="150"/>
      <c r="BA40" s="148"/>
      <c r="BB40" s="144"/>
      <c r="BC40" s="144"/>
      <c r="BD40" s="155"/>
      <c r="BE40" s="53"/>
      <c r="BF40" s="148"/>
      <c r="BG40" s="155"/>
      <c r="BH40" s="197"/>
      <c r="BI40" s="350"/>
      <c r="BJ40" s="155"/>
      <c r="BK40" s="153"/>
      <c r="BL40" s="153"/>
      <c r="BM40" s="153"/>
      <c r="BN40" s="144"/>
      <c r="BO40" s="155"/>
      <c r="BP40" s="144"/>
      <c r="BQ40" s="153"/>
      <c r="BR40" s="153"/>
      <c r="BS40" s="53"/>
      <c r="BT40" s="122"/>
      <c r="BU40" s="350"/>
      <c r="BV40" s="153"/>
      <c r="BW40" s="153"/>
      <c r="BX40" s="155"/>
      <c r="BY40" s="153"/>
      <c r="BZ40" s="53"/>
      <c r="CB40" s="114"/>
      <c r="CC40" s="114"/>
      <c r="CD40" s="114"/>
      <c r="CE40" s="114"/>
      <c r="CF40" s="117"/>
      <c r="CG40" s="350"/>
      <c r="CH40" s="153"/>
      <c r="CI40" s="153"/>
      <c r="CJ40" s="150"/>
      <c r="CK40" s="150"/>
      <c r="CL40" s="53"/>
      <c r="CM40" s="158"/>
      <c r="CN40" s="144"/>
      <c r="CO40" s="155"/>
      <c r="CP40" s="144"/>
      <c r="CR40" s="117"/>
      <c r="CT40" s="350"/>
      <c r="CU40" s="111"/>
      <c r="CV40" s="156"/>
      <c r="CW40" s="156"/>
      <c r="CX40" s="140"/>
      <c r="CY40" s="140"/>
    </row>
    <row r="41" spans="1:112" ht="15" customHeight="1" x14ac:dyDescent="0.25">
      <c r="A41" s="123"/>
      <c r="L41" s="126"/>
      <c r="M41" s="349">
        <f>Y41</f>
        <v>0</v>
      </c>
      <c r="N41" s="143"/>
      <c r="O41" s="144"/>
      <c r="P41" s="145"/>
      <c r="Q41" s="145"/>
      <c r="R41" s="145"/>
      <c r="S41" s="145"/>
      <c r="T41" s="145"/>
      <c r="U41" s="145"/>
      <c r="V41" s="146"/>
      <c r="W41" s="147"/>
      <c r="X41" s="147"/>
      <c r="Y41" s="349"/>
      <c r="Z41" s="148"/>
      <c r="AA41" s="149"/>
      <c r="AB41" s="148"/>
      <c r="AC41" s="149"/>
      <c r="AD41" s="150"/>
      <c r="AE41" s="150"/>
      <c r="AF41" s="53"/>
      <c r="AG41" s="53"/>
      <c r="AH41" s="155"/>
      <c r="AI41" s="153"/>
      <c r="AJ41" s="153"/>
      <c r="AK41" s="349"/>
      <c r="AL41" s="153"/>
      <c r="AM41" s="153"/>
      <c r="AN41" s="153"/>
      <c r="AO41" s="153"/>
      <c r="AP41" s="53"/>
      <c r="AQ41" s="153"/>
      <c r="AR41" s="150"/>
      <c r="AS41" s="153"/>
      <c r="AT41" s="154"/>
      <c r="AU41" s="153"/>
      <c r="AV41" s="53"/>
      <c r="AW41" s="349"/>
      <c r="AX41" s="153"/>
      <c r="AY41" s="153"/>
      <c r="AZ41" s="150"/>
      <c r="BA41" s="148"/>
      <c r="BB41" s="144"/>
      <c r="BC41" s="144"/>
      <c r="BD41" s="155"/>
      <c r="BE41" s="53"/>
      <c r="BF41" s="148"/>
      <c r="BG41" s="155"/>
      <c r="BH41" s="197"/>
      <c r="BI41" s="349"/>
      <c r="BJ41" s="155"/>
      <c r="BK41" s="153"/>
      <c r="BL41" s="153"/>
      <c r="BM41" s="153"/>
      <c r="BN41" s="144"/>
      <c r="BO41" s="155"/>
      <c r="BP41" s="144"/>
      <c r="BQ41" s="153"/>
      <c r="BR41" s="153"/>
      <c r="BS41" s="53"/>
      <c r="BT41" s="122"/>
      <c r="BU41" s="349"/>
      <c r="BV41" s="153"/>
      <c r="BW41" s="153"/>
      <c r="BX41" s="155"/>
      <c r="BY41" s="153"/>
      <c r="BZ41" s="53"/>
      <c r="CB41" s="166"/>
      <c r="CC41" s="114"/>
      <c r="CD41" s="114"/>
      <c r="CE41" s="114"/>
      <c r="CF41" s="117"/>
      <c r="CG41" s="349"/>
      <c r="CH41" s="153"/>
      <c r="CI41" s="153"/>
      <c r="CJ41" s="150"/>
      <c r="CK41" s="150"/>
      <c r="CL41" s="53"/>
      <c r="CM41" s="158"/>
      <c r="CN41" s="144"/>
      <c r="CO41" s="155"/>
      <c r="CP41" s="144"/>
      <c r="CR41" s="117"/>
      <c r="CT41" s="349"/>
      <c r="CU41" s="111"/>
      <c r="CV41" s="156"/>
      <c r="CW41" s="156"/>
      <c r="CX41" s="140"/>
      <c r="CY41" s="140"/>
    </row>
    <row r="42" spans="1:112" ht="15" customHeight="1" x14ac:dyDescent="0.25">
      <c r="A42" s="123"/>
      <c r="L42" s="126"/>
      <c r="M42" s="350"/>
      <c r="N42" s="143"/>
      <c r="O42" s="144"/>
      <c r="P42" s="145"/>
      <c r="Q42" s="145"/>
      <c r="R42" s="145"/>
      <c r="S42" s="145"/>
      <c r="T42" s="145"/>
      <c r="U42" s="145"/>
      <c r="V42" s="146"/>
      <c r="W42" s="147"/>
      <c r="X42" s="147"/>
      <c r="Y42" s="350"/>
      <c r="Z42" s="148"/>
      <c r="AA42" s="149"/>
      <c r="AB42" s="148"/>
      <c r="AC42" s="149"/>
      <c r="AD42" s="150"/>
      <c r="AE42" s="150"/>
      <c r="AF42" s="53"/>
      <c r="AG42" s="53"/>
      <c r="AH42" s="155"/>
      <c r="AI42" s="153"/>
      <c r="AJ42" s="153"/>
      <c r="AK42" s="350"/>
      <c r="AL42" s="153"/>
      <c r="AM42" s="153"/>
      <c r="AN42" s="153"/>
      <c r="AO42" s="153"/>
      <c r="AP42" s="53"/>
      <c r="AQ42" s="153"/>
      <c r="AR42" s="150"/>
      <c r="AS42" s="153"/>
      <c r="AT42" s="154"/>
      <c r="AU42" s="153"/>
      <c r="AV42" s="53"/>
      <c r="AW42" s="350"/>
      <c r="AX42" s="153"/>
      <c r="AY42" s="153"/>
      <c r="AZ42" s="150"/>
      <c r="BA42" s="148"/>
      <c r="BB42" s="144"/>
      <c r="BC42" s="144"/>
      <c r="BD42" s="155"/>
      <c r="BE42" s="53"/>
      <c r="BF42" s="148"/>
      <c r="BG42" s="155"/>
      <c r="BH42" s="197"/>
      <c r="BI42" s="350"/>
      <c r="BJ42" s="155"/>
      <c r="BK42" s="153"/>
      <c r="BL42" s="153"/>
      <c r="BM42" s="153"/>
      <c r="BN42" s="144"/>
      <c r="BO42" s="155"/>
      <c r="BP42" s="144"/>
      <c r="BQ42" s="153"/>
      <c r="BR42" s="153"/>
      <c r="BS42" s="53"/>
      <c r="BT42" s="122"/>
      <c r="BU42" s="350"/>
      <c r="BV42" s="153"/>
      <c r="BW42" s="153"/>
      <c r="BX42" s="155"/>
      <c r="BY42" s="153"/>
      <c r="BZ42" s="53"/>
      <c r="CB42" s="166"/>
      <c r="CC42" s="114"/>
      <c r="CD42" s="114"/>
      <c r="CE42" s="114"/>
      <c r="CF42" s="117"/>
      <c r="CG42" s="350"/>
      <c r="CH42" s="153"/>
      <c r="CI42" s="153"/>
      <c r="CJ42" s="150"/>
      <c r="CK42" s="150"/>
      <c r="CL42" s="53"/>
      <c r="CM42" s="158"/>
      <c r="CN42" s="144"/>
      <c r="CO42" s="155"/>
      <c r="CP42" s="144"/>
      <c r="CR42" s="117"/>
      <c r="CT42" s="350"/>
      <c r="CU42" s="111"/>
      <c r="CV42" s="156"/>
      <c r="CW42" s="156"/>
      <c r="CX42" s="140"/>
      <c r="CY42" s="140"/>
    </row>
    <row r="43" spans="1:112" ht="15" customHeight="1" x14ac:dyDescent="0.25">
      <c r="A43" s="123"/>
      <c r="B43" s="124"/>
      <c r="C43" s="188"/>
      <c r="D43" s="124"/>
      <c r="E43" s="124"/>
      <c r="F43" s="124"/>
      <c r="G43" s="124"/>
      <c r="H43" s="125"/>
      <c r="I43" s="124"/>
      <c r="J43" s="124"/>
      <c r="K43" s="124"/>
      <c r="L43" s="126"/>
      <c r="M43" s="349">
        <f>Y43</f>
        <v>0</v>
      </c>
      <c r="N43" s="143"/>
      <c r="O43" s="144"/>
      <c r="P43" s="145"/>
      <c r="Q43" s="145"/>
      <c r="R43" s="145"/>
      <c r="S43" s="145"/>
      <c r="T43" s="145"/>
      <c r="U43" s="145"/>
      <c r="V43" s="146"/>
      <c r="W43" s="147"/>
      <c r="X43" s="147"/>
      <c r="Y43" s="349"/>
      <c r="Z43" s="148"/>
      <c r="AA43" s="149"/>
      <c r="AB43" s="148"/>
      <c r="AC43" s="149"/>
      <c r="AD43" s="150"/>
      <c r="AE43" s="150"/>
      <c r="AF43" s="53"/>
      <c r="AG43" s="53"/>
      <c r="AH43" s="155"/>
      <c r="AI43" s="153"/>
      <c r="AJ43" s="153"/>
      <c r="AK43" s="349"/>
      <c r="AL43" s="153"/>
      <c r="AM43" s="153"/>
      <c r="AN43" s="153"/>
      <c r="AO43" s="153"/>
      <c r="AP43" s="53"/>
      <c r="AQ43" s="153"/>
      <c r="AR43" s="150"/>
      <c r="AS43" s="153"/>
      <c r="AT43" s="154"/>
      <c r="AU43" s="153"/>
      <c r="AV43" s="53"/>
      <c r="AW43" s="349"/>
      <c r="AX43" s="153"/>
      <c r="AY43" s="153"/>
      <c r="AZ43" s="150"/>
      <c r="BA43" s="148"/>
      <c r="BB43" s="144"/>
      <c r="BC43" s="144"/>
      <c r="BD43" s="155"/>
      <c r="BE43" s="53"/>
      <c r="BF43" s="148"/>
      <c r="BG43" s="155"/>
      <c r="BH43" s="197"/>
      <c r="BI43" s="349"/>
      <c r="BJ43" s="155"/>
      <c r="BK43" s="153"/>
      <c r="BL43" s="153"/>
      <c r="BM43" s="153"/>
      <c r="BN43" s="144"/>
      <c r="BO43" s="155"/>
      <c r="BP43" s="144"/>
      <c r="BQ43" s="153"/>
      <c r="BR43" s="153"/>
      <c r="BS43" s="53"/>
      <c r="BT43" s="122"/>
      <c r="BU43" s="349"/>
      <c r="BV43" s="153"/>
      <c r="BW43" s="153"/>
      <c r="BX43" s="155"/>
      <c r="BY43" s="153"/>
      <c r="BZ43" s="53"/>
      <c r="CB43" s="351"/>
      <c r="CC43" s="351"/>
      <c r="CD43" s="351"/>
      <c r="CE43" s="351"/>
      <c r="CF43" s="352"/>
      <c r="CG43" s="349"/>
      <c r="CH43" s="153"/>
      <c r="CI43" s="153"/>
      <c r="CJ43" s="150"/>
      <c r="CK43" s="150"/>
      <c r="CL43" s="53"/>
      <c r="CM43" s="158"/>
      <c r="CN43" s="144"/>
      <c r="CO43" s="155"/>
      <c r="CP43" s="144"/>
      <c r="CR43" s="117"/>
      <c r="CT43" s="349"/>
      <c r="CU43" s="111"/>
      <c r="CV43" s="156"/>
      <c r="CW43" s="156"/>
      <c r="CX43" s="140"/>
      <c r="CY43" s="140"/>
    </row>
    <row r="44" spans="1:112" ht="15" customHeight="1" x14ac:dyDescent="0.25">
      <c r="A44" s="123"/>
      <c r="B44" s="124"/>
      <c r="C44" s="188"/>
      <c r="D44" s="124"/>
      <c r="E44" s="124"/>
      <c r="F44" s="124"/>
      <c r="G44" s="124"/>
      <c r="H44" s="125"/>
      <c r="I44" s="124"/>
      <c r="J44" s="124"/>
      <c r="K44" s="124"/>
      <c r="L44" s="126"/>
      <c r="M44" s="350"/>
      <c r="N44" s="143"/>
      <c r="O44" s="144"/>
      <c r="P44" s="145"/>
      <c r="Q44" s="145"/>
      <c r="R44" s="145"/>
      <c r="S44" s="145"/>
      <c r="T44" s="145"/>
      <c r="U44" s="145"/>
      <c r="V44" s="146"/>
      <c r="W44" s="147"/>
      <c r="X44" s="147"/>
      <c r="Y44" s="350"/>
      <c r="Z44" s="148"/>
      <c r="AA44" s="149"/>
      <c r="AB44" s="148"/>
      <c r="AC44" s="149"/>
      <c r="AD44" s="150"/>
      <c r="AE44" s="150"/>
      <c r="AF44" s="53"/>
      <c r="AG44" s="53"/>
      <c r="AH44" s="155"/>
      <c r="AI44" s="153"/>
      <c r="AJ44" s="153"/>
      <c r="AK44" s="350"/>
      <c r="AL44" s="153"/>
      <c r="AM44" s="153"/>
      <c r="AN44" s="153"/>
      <c r="AO44" s="153"/>
      <c r="AP44" s="53"/>
      <c r="AQ44" s="153"/>
      <c r="AR44" s="150"/>
      <c r="AS44" s="153"/>
      <c r="AT44" s="154"/>
      <c r="AU44" s="153"/>
      <c r="AV44" s="53"/>
      <c r="AW44" s="350"/>
      <c r="AX44" s="153"/>
      <c r="AY44" s="153"/>
      <c r="AZ44" s="150"/>
      <c r="BA44" s="148"/>
      <c r="BB44" s="144"/>
      <c r="BC44" s="144"/>
      <c r="BD44" s="155"/>
      <c r="BE44" s="53"/>
      <c r="BF44" s="148"/>
      <c r="BG44" s="155"/>
      <c r="BH44" s="197"/>
      <c r="BI44" s="350"/>
      <c r="BJ44" s="155"/>
      <c r="BK44" s="153"/>
      <c r="BL44" s="153"/>
      <c r="BM44" s="153"/>
      <c r="BN44" s="144"/>
      <c r="BO44" s="155"/>
      <c r="BP44" s="144"/>
      <c r="BQ44" s="153"/>
      <c r="BR44" s="153"/>
      <c r="BS44" s="53"/>
      <c r="BT44" s="122"/>
      <c r="BU44" s="350"/>
      <c r="BV44" s="153"/>
      <c r="BW44" s="153"/>
      <c r="BX44" s="155"/>
      <c r="BY44" s="153"/>
      <c r="BZ44" s="53"/>
      <c r="CB44" s="351"/>
      <c r="CC44" s="351"/>
      <c r="CD44" s="351"/>
      <c r="CE44" s="351"/>
      <c r="CF44" s="352"/>
      <c r="CG44" s="350"/>
      <c r="CH44" s="153"/>
      <c r="CI44" s="153"/>
      <c r="CJ44" s="150"/>
      <c r="CK44" s="150"/>
      <c r="CL44" s="53"/>
      <c r="CM44" s="158"/>
      <c r="CN44" s="144"/>
      <c r="CO44" s="155"/>
      <c r="CP44" s="144"/>
      <c r="CR44" s="117"/>
      <c r="CT44" s="350"/>
      <c r="CU44" s="111"/>
      <c r="CV44" s="156"/>
      <c r="CW44" s="156"/>
      <c r="CX44" s="140"/>
      <c r="CY44" s="140"/>
    </row>
    <row r="45" spans="1:112" ht="15" customHeight="1" x14ac:dyDescent="0.25">
      <c r="A45" s="123"/>
      <c r="B45" s="124"/>
      <c r="C45" s="188"/>
      <c r="D45" s="124"/>
      <c r="E45" s="124"/>
      <c r="F45" s="124"/>
      <c r="G45" s="124"/>
      <c r="H45" s="125"/>
      <c r="I45" s="124"/>
      <c r="J45" s="124"/>
      <c r="K45" s="124"/>
      <c r="L45" s="126"/>
      <c r="M45" s="159"/>
      <c r="W45" s="160"/>
      <c r="X45" s="122"/>
      <c r="Y45" s="116"/>
      <c r="Z45" s="114"/>
      <c r="AA45" s="114"/>
      <c r="AB45" s="114"/>
      <c r="AC45" s="114"/>
      <c r="AD45" s="114"/>
      <c r="AJ45" s="122"/>
      <c r="AK45" s="116"/>
      <c r="AN45" s="114"/>
      <c r="AO45" s="114"/>
      <c r="AP45" s="114"/>
      <c r="AQ45" s="114"/>
      <c r="AR45" s="114"/>
      <c r="AS45" s="114"/>
      <c r="AT45" s="114"/>
      <c r="AU45" s="114"/>
      <c r="AV45" s="117"/>
      <c r="AW45" s="116"/>
      <c r="AZ45" s="114"/>
      <c r="BA45" s="114"/>
      <c r="BB45" s="114"/>
      <c r="BC45" s="114"/>
      <c r="BD45" s="114"/>
      <c r="BE45" s="114"/>
      <c r="BF45" s="114"/>
      <c r="BG45" s="114"/>
      <c r="BH45" s="122"/>
      <c r="BI45" s="198"/>
      <c r="BP45" s="112"/>
      <c r="BQ45" s="112"/>
      <c r="BR45" s="112"/>
      <c r="BS45" s="112"/>
      <c r="BT45" s="122"/>
      <c r="BU45" s="121"/>
      <c r="CF45" s="122"/>
      <c r="CR45" s="117"/>
    </row>
    <row r="46" spans="1:112" ht="15" customHeight="1" x14ac:dyDescent="0.25">
      <c r="A46" s="123"/>
      <c r="B46" s="124"/>
      <c r="C46" s="188"/>
      <c r="D46" s="124"/>
      <c r="E46" s="124"/>
      <c r="F46" s="124"/>
      <c r="G46" s="124"/>
      <c r="H46" s="125"/>
      <c r="I46" s="124"/>
      <c r="J46" s="124"/>
      <c r="K46" s="124"/>
      <c r="L46" s="126"/>
      <c r="M46" s="159"/>
      <c r="W46" s="160"/>
      <c r="X46" s="122"/>
      <c r="Y46" s="116"/>
      <c r="Z46" s="114"/>
      <c r="AA46" s="114"/>
      <c r="AB46" s="114"/>
      <c r="AC46" s="114"/>
      <c r="AD46" s="114"/>
      <c r="AJ46" s="122"/>
      <c r="AK46" s="116"/>
      <c r="AN46" s="114"/>
      <c r="AO46" s="114"/>
      <c r="AP46" s="114"/>
      <c r="AQ46" s="114"/>
      <c r="AR46" s="114"/>
      <c r="AS46" s="114"/>
      <c r="AT46" s="114"/>
      <c r="AU46" s="114"/>
      <c r="AV46" s="117"/>
      <c r="AW46" s="116"/>
      <c r="AZ46" s="114"/>
      <c r="BA46" s="114"/>
      <c r="BB46" s="114"/>
      <c r="BC46" s="114"/>
      <c r="BD46" s="114"/>
      <c r="BE46" s="114"/>
      <c r="BF46" s="114"/>
      <c r="BG46" s="114"/>
      <c r="BH46" s="122"/>
      <c r="BI46" s="121"/>
      <c r="BP46" s="112"/>
      <c r="BQ46" s="112"/>
      <c r="BR46" s="112"/>
      <c r="BS46" s="112"/>
      <c r="BT46" s="122"/>
      <c r="BU46" s="121"/>
      <c r="CF46" s="122"/>
      <c r="CR46" s="117"/>
    </row>
    <row r="47" spans="1:112" s="125" customFormat="1" ht="15" customHeight="1" x14ac:dyDescent="0.25">
      <c r="A47" s="123"/>
      <c r="B47" s="124"/>
      <c r="C47" s="188"/>
      <c r="D47" s="124"/>
      <c r="E47" s="124"/>
      <c r="F47" s="124"/>
      <c r="G47" s="124"/>
      <c r="I47" s="124"/>
      <c r="J47" s="124"/>
      <c r="K47" s="124"/>
      <c r="L47" s="126"/>
      <c r="M47" s="331" t="s">
        <v>638</v>
      </c>
      <c r="N47" s="338" t="s">
        <v>701</v>
      </c>
      <c r="O47" s="338"/>
      <c r="P47" s="338"/>
      <c r="Q47" s="338" t="s">
        <v>702</v>
      </c>
      <c r="R47" s="338"/>
      <c r="S47" s="338"/>
      <c r="T47" s="338"/>
      <c r="U47" s="338"/>
      <c r="V47" s="338"/>
      <c r="W47" s="331" t="s">
        <v>703</v>
      </c>
      <c r="X47" s="331"/>
      <c r="Y47" s="353" t="s">
        <v>638</v>
      </c>
      <c r="Z47" s="332" t="s">
        <v>651</v>
      </c>
      <c r="AA47" s="333"/>
      <c r="AB47" s="333"/>
      <c r="AC47" s="333"/>
      <c r="AD47" s="333"/>
      <c r="AE47" s="333"/>
      <c r="AF47" s="336"/>
      <c r="AG47" s="338" t="s">
        <v>760</v>
      </c>
      <c r="AH47" s="338"/>
      <c r="AI47" s="338"/>
      <c r="AJ47" s="338"/>
      <c r="AK47" s="331" t="s">
        <v>638</v>
      </c>
      <c r="AL47" s="155"/>
      <c r="AM47" s="155"/>
      <c r="AN47" s="153"/>
      <c r="AO47" s="153"/>
      <c r="AP47" s="150"/>
      <c r="AQ47" s="148"/>
      <c r="AR47" s="144"/>
      <c r="AS47" s="144"/>
      <c r="AT47" s="155"/>
      <c r="AU47" s="155"/>
      <c r="AV47" s="148"/>
      <c r="AW47" s="331" t="s">
        <v>638</v>
      </c>
      <c r="AX47" s="338" t="s">
        <v>641</v>
      </c>
      <c r="AY47" s="338"/>
      <c r="AZ47" s="338"/>
      <c r="BA47" s="338"/>
      <c r="BB47" s="338"/>
      <c r="BC47" s="338"/>
      <c r="BD47" s="338"/>
      <c r="BE47" s="338"/>
      <c r="BF47" s="338"/>
      <c r="BG47" s="338"/>
      <c r="BH47" s="122"/>
      <c r="BI47" s="339" t="s">
        <v>642</v>
      </c>
      <c r="BJ47" s="359" t="s">
        <v>643</v>
      </c>
      <c r="BK47" s="360"/>
      <c r="BL47" s="360"/>
      <c r="BM47" s="360"/>
      <c r="BN47" s="360"/>
      <c r="BO47" s="360"/>
      <c r="BP47" s="360"/>
      <c r="BQ47" s="360"/>
      <c r="BR47" s="360"/>
      <c r="BS47" s="360"/>
      <c r="BT47" s="346"/>
      <c r="BU47" s="196"/>
      <c r="CF47" s="161"/>
      <c r="CG47" s="336" t="s">
        <v>642</v>
      </c>
      <c r="CH47" s="343" t="s">
        <v>644</v>
      </c>
      <c r="CI47" s="344"/>
      <c r="CJ47" s="345"/>
      <c r="CR47" s="161"/>
      <c r="DF47" s="114"/>
    </row>
    <row r="48" spans="1:112" s="125" customFormat="1" ht="15" customHeight="1" x14ac:dyDescent="0.25">
      <c r="A48" s="123"/>
      <c r="B48" s="124"/>
      <c r="C48" s="188"/>
      <c r="D48" s="124"/>
      <c r="E48" s="124"/>
      <c r="F48" s="124"/>
      <c r="G48" s="124"/>
      <c r="I48" s="124"/>
      <c r="J48" s="124"/>
      <c r="K48" s="124"/>
      <c r="L48" s="126"/>
      <c r="M48" s="331"/>
      <c r="N48" s="338"/>
      <c r="O48" s="338"/>
      <c r="P48" s="338"/>
      <c r="Q48" s="338"/>
      <c r="R48" s="338"/>
      <c r="S48" s="338"/>
      <c r="T48" s="338"/>
      <c r="U48" s="338"/>
      <c r="V48" s="338"/>
      <c r="W48" s="331"/>
      <c r="X48" s="331"/>
      <c r="Y48" s="354"/>
      <c r="Z48" s="334"/>
      <c r="AA48" s="335"/>
      <c r="AB48" s="335"/>
      <c r="AC48" s="335"/>
      <c r="AD48" s="335"/>
      <c r="AE48" s="335"/>
      <c r="AF48" s="337"/>
      <c r="AG48" s="359" t="s">
        <v>704</v>
      </c>
      <c r="AH48" s="346"/>
      <c r="AI48" s="359" t="s">
        <v>705</v>
      </c>
      <c r="AJ48" s="346"/>
      <c r="AK48" s="331"/>
      <c r="AL48" s="338" t="s">
        <v>706</v>
      </c>
      <c r="AM48" s="338"/>
      <c r="AN48" s="338"/>
      <c r="AO48" s="338"/>
      <c r="AP48" s="338"/>
      <c r="AQ48" s="338" t="s">
        <v>700</v>
      </c>
      <c r="AR48" s="338"/>
      <c r="AS48" s="338"/>
      <c r="AT48" s="338"/>
      <c r="AU48" s="338"/>
      <c r="AV48" s="162"/>
      <c r="AW48" s="331"/>
      <c r="AX48" s="338" t="s">
        <v>707</v>
      </c>
      <c r="AY48" s="338"/>
      <c r="AZ48" s="338"/>
      <c r="BA48" s="338"/>
      <c r="BB48" s="338"/>
      <c r="BC48" s="338"/>
      <c r="BD48" s="338"/>
      <c r="BE48" s="338"/>
      <c r="BF48" s="338"/>
      <c r="BG48" s="338"/>
      <c r="BH48" s="122"/>
      <c r="BI48" s="340"/>
      <c r="BJ48" s="338" t="s">
        <v>655</v>
      </c>
      <c r="BK48" s="338"/>
      <c r="BL48" s="338"/>
      <c r="BM48" s="338"/>
      <c r="BN48" s="338"/>
      <c r="BO48" s="338"/>
      <c r="BP48" s="338"/>
      <c r="BQ48" s="338"/>
      <c r="BR48" s="338" t="s">
        <v>656</v>
      </c>
      <c r="BS48" s="338"/>
      <c r="BT48" s="338"/>
      <c r="BU48" s="196"/>
      <c r="CF48" s="161"/>
      <c r="CG48" s="355"/>
      <c r="CH48" s="341" t="s">
        <v>656</v>
      </c>
      <c r="CI48" s="341"/>
      <c r="CJ48" s="341"/>
      <c r="CR48" s="161"/>
      <c r="DF48" s="114"/>
      <c r="DG48" s="114"/>
      <c r="DH48" s="114"/>
    </row>
    <row r="49" spans="1:112" s="125" customFormat="1" ht="15" customHeight="1" x14ac:dyDescent="0.25">
      <c r="A49" s="123"/>
      <c r="B49" s="124"/>
      <c r="C49" s="188"/>
      <c r="D49" s="124"/>
      <c r="E49" s="124"/>
      <c r="F49" s="124"/>
      <c r="G49" s="124"/>
      <c r="I49" s="124"/>
      <c r="J49" s="124"/>
      <c r="K49" s="124"/>
      <c r="L49" s="126"/>
      <c r="M49" s="331"/>
      <c r="N49" s="132" t="s">
        <v>661</v>
      </c>
      <c r="O49" s="138" t="s">
        <v>662</v>
      </c>
      <c r="P49" s="141" t="s">
        <v>663</v>
      </c>
      <c r="Q49" s="338" t="s">
        <v>709</v>
      </c>
      <c r="R49" s="338" t="s">
        <v>710</v>
      </c>
      <c r="S49" s="338" t="s">
        <v>711</v>
      </c>
      <c r="T49" s="132" t="s">
        <v>712</v>
      </c>
      <c r="U49" s="132" t="s">
        <v>696</v>
      </c>
      <c r="V49" s="132" t="s">
        <v>713</v>
      </c>
      <c r="W49" s="132" t="s">
        <v>125</v>
      </c>
      <c r="X49" s="132" t="s">
        <v>312</v>
      </c>
      <c r="Y49" s="354"/>
      <c r="Z49" s="132" t="s">
        <v>672</v>
      </c>
      <c r="AA49" s="132" t="s">
        <v>673</v>
      </c>
      <c r="AB49" s="135" t="s">
        <v>674</v>
      </c>
      <c r="AC49" s="132" t="s">
        <v>675</v>
      </c>
      <c r="AD49" s="338" t="s">
        <v>676</v>
      </c>
      <c r="AE49" s="332" t="s">
        <v>714</v>
      </c>
      <c r="AF49" s="336"/>
      <c r="AG49" s="132" t="s">
        <v>715</v>
      </c>
      <c r="AH49" s="338" t="s">
        <v>716</v>
      </c>
      <c r="AI49" s="132" t="s">
        <v>715</v>
      </c>
      <c r="AJ49" s="338" t="s">
        <v>716</v>
      </c>
      <c r="AK49" s="331"/>
      <c r="AL49" s="132" t="s">
        <v>717</v>
      </c>
      <c r="AM49" s="132" t="s">
        <v>718</v>
      </c>
      <c r="AN49" s="132" t="s">
        <v>719</v>
      </c>
      <c r="AO49" s="132" t="s">
        <v>720</v>
      </c>
      <c r="AP49" s="338" t="s">
        <v>660</v>
      </c>
      <c r="AQ49" s="356" t="s">
        <v>721</v>
      </c>
      <c r="AR49" s="132" t="s">
        <v>804</v>
      </c>
      <c r="AS49" s="357" t="s">
        <v>805</v>
      </c>
      <c r="AT49" s="132" t="s">
        <v>722</v>
      </c>
      <c r="AU49" s="132" t="s">
        <v>723</v>
      </c>
      <c r="AV49" s="132" t="s">
        <v>667</v>
      </c>
      <c r="AW49" s="331"/>
      <c r="AX49" s="142" t="s">
        <v>724</v>
      </c>
      <c r="AY49" s="142" t="s">
        <v>413</v>
      </c>
      <c r="AZ49" s="341" t="s">
        <v>414</v>
      </c>
      <c r="BA49" s="142" t="s">
        <v>725</v>
      </c>
      <c r="BB49" s="341" t="s">
        <v>394</v>
      </c>
      <c r="BC49" s="341" t="s">
        <v>416</v>
      </c>
      <c r="BD49" s="142" t="s">
        <v>686</v>
      </c>
      <c r="BE49" s="341" t="s">
        <v>660</v>
      </c>
      <c r="BF49" s="142" t="s">
        <v>687</v>
      </c>
      <c r="BG49" s="342" t="s">
        <v>688</v>
      </c>
      <c r="BH49" s="122"/>
      <c r="BI49" s="340"/>
      <c r="BJ49" s="338" t="s">
        <v>689</v>
      </c>
      <c r="BK49" s="132" t="s">
        <v>690</v>
      </c>
      <c r="BL49" s="132" t="s">
        <v>171</v>
      </c>
      <c r="BM49" s="132" t="s">
        <v>171</v>
      </c>
      <c r="BN49" s="331" t="s">
        <v>691</v>
      </c>
      <c r="BO49" s="338" t="s">
        <v>692</v>
      </c>
      <c r="BP49" s="132" t="s">
        <v>693</v>
      </c>
      <c r="BQ49" s="132" t="s">
        <v>694</v>
      </c>
      <c r="BR49" s="338" t="s">
        <v>416</v>
      </c>
      <c r="BS49" s="338" t="s">
        <v>695</v>
      </c>
      <c r="BT49" s="338"/>
      <c r="BU49" s="196"/>
      <c r="CF49" s="161"/>
      <c r="CG49" s="355"/>
      <c r="CH49" s="132" t="s">
        <v>727</v>
      </c>
      <c r="CI49" s="132" t="s">
        <v>139</v>
      </c>
      <c r="CJ49" s="338" t="s">
        <v>660</v>
      </c>
      <c r="CR49" s="161"/>
      <c r="DF49" s="114"/>
      <c r="DG49" s="114"/>
      <c r="DH49" s="114"/>
    </row>
    <row r="50" spans="1:112" s="125" customFormat="1" ht="15" customHeight="1" x14ac:dyDescent="0.25">
      <c r="A50" s="123"/>
      <c r="B50" s="124"/>
      <c r="C50" s="188"/>
      <c r="D50" s="124"/>
      <c r="E50" s="124"/>
      <c r="F50" s="124"/>
      <c r="G50" s="124"/>
      <c r="I50" s="124"/>
      <c r="J50" s="124"/>
      <c r="K50" s="124"/>
      <c r="L50" s="126"/>
      <c r="M50" s="331"/>
      <c r="N50" s="132" t="s">
        <v>95</v>
      </c>
      <c r="O50" s="138" t="s">
        <v>411</v>
      </c>
      <c r="P50" s="141" t="s">
        <v>411</v>
      </c>
      <c r="Q50" s="338"/>
      <c r="R50" s="338"/>
      <c r="S50" s="338"/>
      <c r="T50" s="132" t="s">
        <v>101</v>
      </c>
      <c r="U50" s="132" t="s">
        <v>101</v>
      </c>
      <c r="V50" s="132" t="s">
        <v>728</v>
      </c>
      <c r="W50" s="132" t="s">
        <v>101</v>
      </c>
      <c r="X50" s="132" t="s">
        <v>101</v>
      </c>
      <c r="Y50" s="354"/>
      <c r="Z50" s="132" t="s">
        <v>634</v>
      </c>
      <c r="AA50" s="132" t="s">
        <v>634</v>
      </c>
      <c r="AB50" s="135" t="s">
        <v>634</v>
      </c>
      <c r="AC50" s="132" t="s">
        <v>634</v>
      </c>
      <c r="AD50" s="338"/>
      <c r="AE50" s="334"/>
      <c r="AF50" s="337"/>
      <c r="AG50" s="133" t="s">
        <v>411</v>
      </c>
      <c r="AH50" s="339"/>
      <c r="AI50" s="133" t="s">
        <v>411</v>
      </c>
      <c r="AJ50" s="339"/>
      <c r="AK50" s="331"/>
      <c r="AL50" s="132" t="s">
        <v>403</v>
      </c>
      <c r="AM50" s="132" t="s">
        <v>403</v>
      </c>
      <c r="AN50" s="132" t="s">
        <v>101</v>
      </c>
      <c r="AO50" s="132" t="s">
        <v>95</v>
      </c>
      <c r="AP50" s="338"/>
      <c r="AQ50" s="356"/>
      <c r="AR50" s="132" t="s">
        <v>101</v>
      </c>
      <c r="AS50" s="358"/>
      <c r="AT50" s="132" t="s">
        <v>101</v>
      </c>
      <c r="AU50" s="132" t="s">
        <v>101</v>
      </c>
      <c r="AV50" s="132" t="s">
        <v>101</v>
      </c>
      <c r="AW50" s="331"/>
      <c r="AX50" s="132" t="s">
        <v>411</v>
      </c>
      <c r="AY50" s="132" t="s">
        <v>634</v>
      </c>
      <c r="AZ50" s="338"/>
      <c r="BA50" s="132" t="s">
        <v>309</v>
      </c>
      <c r="BB50" s="338"/>
      <c r="BC50" s="338"/>
      <c r="BD50" s="132" t="s">
        <v>309</v>
      </c>
      <c r="BE50" s="338"/>
      <c r="BF50" s="132" t="s">
        <v>101</v>
      </c>
      <c r="BG50" s="331"/>
      <c r="BH50" s="122"/>
      <c r="BI50" s="341"/>
      <c r="BJ50" s="338"/>
      <c r="BK50" s="132" t="s">
        <v>697</v>
      </c>
      <c r="BL50" s="132" t="s">
        <v>697</v>
      </c>
      <c r="BM50" s="132" t="s">
        <v>636</v>
      </c>
      <c r="BN50" s="331"/>
      <c r="BO50" s="338"/>
      <c r="BP50" s="132" t="s">
        <v>95</v>
      </c>
      <c r="BQ50" s="132" t="s">
        <v>309</v>
      </c>
      <c r="BR50" s="338"/>
      <c r="BS50" s="338"/>
      <c r="BT50" s="338"/>
      <c r="BU50" s="196"/>
      <c r="CF50" s="161"/>
      <c r="CG50" s="337"/>
      <c r="CH50" s="132" t="s">
        <v>309</v>
      </c>
      <c r="CI50" s="132" t="s">
        <v>95</v>
      </c>
      <c r="CJ50" s="338"/>
      <c r="CR50" s="161"/>
      <c r="DF50" s="114"/>
      <c r="DG50" s="114"/>
      <c r="DH50" s="114"/>
    </row>
    <row r="51" spans="1:112" ht="15" customHeight="1" x14ac:dyDescent="0.25">
      <c r="A51" s="123"/>
      <c r="B51" s="124"/>
      <c r="C51" s="188"/>
      <c r="D51" s="124"/>
      <c r="E51" s="124"/>
      <c r="F51" s="124"/>
      <c r="G51" s="124"/>
      <c r="H51" s="125"/>
      <c r="I51" s="124"/>
      <c r="J51" s="124"/>
      <c r="K51" s="124"/>
      <c r="L51" s="126"/>
      <c r="M51" s="349" t="str">
        <f>M13</f>
        <v>Z1</v>
      </c>
      <c r="N51" s="147">
        <f>R13+W13+X13</f>
        <v>602.18040000000008</v>
      </c>
      <c r="O51" s="147">
        <f>S13</f>
        <v>42.111400000000003</v>
      </c>
      <c r="P51" s="147">
        <f>+T13</f>
        <v>141.01429999999999</v>
      </c>
      <c r="Q51" s="143">
        <f t="shared" ref="Q51:Q74" si="72">IF(O13="Central",40,IF(O13="Medianera",30,IF(O13="Esquinera",20,"Def. Posición")))</f>
        <v>20</v>
      </c>
      <c r="R51" s="163">
        <f t="shared" ref="R51:R74" si="73">MAX(W51:X51)/MIN(W51:X51)</f>
        <v>3.1428571428571432</v>
      </c>
      <c r="S51" s="163">
        <f>MAX(AA13,AC13)/MIN(AA13,AC13)</f>
        <v>1</v>
      </c>
      <c r="T51" s="155">
        <f>2*(W51+X51+2*V13)</f>
        <v>4.2</v>
      </c>
      <c r="U51" s="164">
        <v>2</v>
      </c>
      <c r="V51" s="165">
        <f t="shared" ref="V51:V74" si="74">W51*X51^3/12</f>
        <v>3.9302083333333324E-3</v>
      </c>
      <c r="W51" s="144">
        <v>1.1000000000000001</v>
      </c>
      <c r="X51" s="144">
        <v>0.35</v>
      </c>
      <c r="Y51" s="349" t="str">
        <f>M51</f>
        <v>Z1</v>
      </c>
      <c r="Z51" s="150">
        <f>N51/(AA13*AC13)*(1+6*AD13/AC13+6*AE13/AA13)</f>
        <v>138.42611796982166</v>
      </c>
      <c r="AA51" s="150">
        <f>N51/(AA13*AC13)*(1+6*AD13/AC13-6*AE13/AA13)</f>
        <v>112.75234872732813</v>
      </c>
      <c r="AB51" s="151">
        <f>N51/(AA13*AC13)*(1-6*AD13/AC13+6*AE13/AA13)</f>
        <v>52.454894071025777</v>
      </c>
      <c r="AC51" s="150">
        <f>N51/(AA13*AC13)*(1-6*AD13/AC13-6*AE13/AA13)</f>
        <v>26.781124828532256</v>
      </c>
      <c r="AD51" s="152">
        <f>MAX(Z51:AC51)/$T$6</f>
        <v>0.98095935859787309</v>
      </c>
      <c r="AE51" s="361" t="str">
        <f>IF(AND(AD13&lt;AC13/6,AE13&lt;AA13/6),"Zapata a compresión","Hay tensiones en la zapata")</f>
        <v>Zapata a compresión</v>
      </c>
      <c r="AF51" s="361"/>
      <c r="AG51" s="148">
        <f t="shared" ref="AG51:AG74" si="75">N51*AI13</f>
        <v>1520.5055100000004</v>
      </c>
      <c r="AH51" s="150">
        <f t="shared" ref="AH51:AH74" si="76">AG51/P51</f>
        <v>10.782633463414706</v>
      </c>
      <c r="AI51" s="148">
        <f t="shared" ref="AI51:AI74" si="77">N51*AJ13</f>
        <v>1294.6878600000005</v>
      </c>
      <c r="AJ51" s="150">
        <f t="shared" ref="AJ51:AJ74" si="78">AI51/O51</f>
        <v>30.744355685158897</v>
      </c>
      <c r="AK51" s="349" t="str">
        <f>Y51</f>
        <v>Z1</v>
      </c>
      <c r="AL51" s="155">
        <f t="shared" ref="AL51:AL74" si="79">W51*X51</f>
        <v>0.38500000000000001</v>
      </c>
      <c r="AM51" s="155">
        <f t="shared" ref="AM51:AM74" si="80">(4*U13+W51)*(4*U13+X51)</f>
        <v>5.2650000000000006</v>
      </c>
      <c r="AN51" s="150">
        <f t="shared" ref="AN51:AN74" si="81">MIN(SQRT(AM51/AL51),2)</f>
        <v>2</v>
      </c>
      <c r="AO51" s="150">
        <f t="shared" ref="AO51:AO74" si="82">0.65*0.85*$O$6*AL51*AN51*10^3</f>
        <v>11911.9</v>
      </c>
      <c r="AP51" s="53" t="str">
        <f t="shared" ref="AP51:AP74" si="83">IF(AO51&gt;=N51,"OK","N/C")</f>
        <v>OK</v>
      </c>
      <c r="AQ51" s="155" t="str">
        <f t="shared" ref="AQ51:AQ74" si="84">IF(O13&lt;&gt;"Central","SÍ","NO")</f>
        <v>SÍ</v>
      </c>
      <c r="AR51" s="144">
        <v>10.125</v>
      </c>
      <c r="AS51" s="143" t="s">
        <v>730</v>
      </c>
      <c r="AT51" s="163">
        <f t="shared" ref="AT51:AT74" si="85">MAX(AR51/(IF(AS51="DES",20,IF(AS51="DMO",30,40))),0.3)</f>
        <v>0.50624999999999998</v>
      </c>
      <c r="AU51" s="144">
        <v>0.55000000000000004</v>
      </c>
      <c r="AV51" s="144">
        <v>0.3</v>
      </c>
      <c r="AW51" s="349" t="str">
        <f>AK51</f>
        <v>Z1</v>
      </c>
      <c r="AX51" s="153">
        <f t="shared" ref="AX51:AX74" si="86">SUM(N51/(2*AC13)*(AC13/2-X51/2)^2,O51)</f>
        <v>196.07164347222226</v>
      </c>
      <c r="AY51" s="153">
        <f t="shared" ref="AY51:AY74" si="87">AX51/(0.9*AC13*V13^2)</f>
        <v>763.90929348517193</v>
      </c>
      <c r="AZ51" s="150">
        <f t="shared" ref="AZ51:AZ74" si="88">MAX(0.85*$O$6/$O$7*(1-SQRT(1-2*AY51/(0.85*$O$6*10^3))),0.0018)</f>
        <v>1.848997459434541E-3</v>
      </c>
      <c r="BA51" s="148">
        <f t="shared" ref="BA51:BA74" si="89">+AZ51*AC13*V13*100^2</f>
        <v>16.224952706538097</v>
      </c>
      <c r="BB51" s="144">
        <v>5</v>
      </c>
      <c r="BC51" s="144">
        <v>13</v>
      </c>
      <c r="BD51" s="155">
        <f t="shared" ref="BD51:BD74" si="90">VLOOKUP(BB51,$N$91:$T$102,7,)*BC51</f>
        <v>25.87</v>
      </c>
      <c r="BE51" s="53" t="str">
        <f t="shared" ref="BE51:BE74" si="91">IF(BD51&gt;=BA51,"OK","N/C")</f>
        <v>OK</v>
      </c>
      <c r="BF51" s="148">
        <f t="shared" ref="BF51:BF74" si="92">ROUND((AC13-2*0.075)/BC51,2)</f>
        <v>0.2</v>
      </c>
      <c r="BG51" s="155" t="str">
        <f t="shared" ref="BG51:BG74" si="93">BC51&amp;"#"&amp;BB51&amp;"@"&amp;ROUNDDOWN(BF51*100/5,0)*5</f>
        <v>13#5@20</v>
      </c>
      <c r="BH51" s="197">
        <f t="shared" ref="BH51:BH74" si="94">BA51/BD51</f>
        <v>0.62717250508458045</v>
      </c>
      <c r="BI51" s="349" t="str">
        <f>AW51</f>
        <v>Z1</v>
      </c>
      <c r="BJ51" s="153">
        <f t="shared" ref="BJ51:BJ74" si="95">(1+0.5*AA13/AC13)/1.5</f>
        <v>1</v>
      </c>
      <c r="BK51" s="157">
        <v>0.85</v>
      </c>
      <c r="BL51" s="153">
        <f t="shared" ref="BL51:BL74" si="96">BJ51*BK51/0.67</f>
        <v>1.2686567164179103</v>
      </c>
      <c r="BM51" s="153">
        <f t="shared" ref="BM51:BM74" si="97">BL51*9.81*(100)^3/(10^3)</f>
        <v>12445.5223880597</v>
      </c>
      <c r="BN51" s="155" t="s">
        <v>699</v>
      </c>
      <c r="BO51" s="155">
        <f t="shared" ref="BO51:BO74" si="98">IF(BN51="Empotrado",0.75,1)</f>
        <v>0.75</v>
      </c>
      <c r="BP51" s="153">
        <f t="shared" ref="BP51:BP74" si="99">IF(AQ51="SÍ",(N51*(AA13-W51)/2-P51)/(BJ13+U13+BM51*BO51^2*BJ13^2*AA13^3*AC13/(36*10^3*$O$8*V51)),0)</f>
        <v>178.33468192135135</v>
      </c>
      <c r="BQ51" s="153">
        <f t="shared" ref="BQ51:BQ74" si="100">BM13</f>
        <v>9.2317499999999999</v>
      </c>
      <c r="BR51" s="144">
        <v>8</v>
      </c>
      <c r="BS51" s="155" t="s">
        <v>191</v>
      </c>
      <c r="BT51" s="144">
        <v>5</v>
      </c>
      <c r="BU51" s="121"/>
      <c r="CF51" s="122"/>
      <c r="CG51" s="349" t="str">
        <f>CG13</f>
        <v>Z1</v>
      </c>
      <c r="CH51" s="153">
        <f t="shared" ref="CH51:CH74" si="101">CN13*VLOOKUP(CP13,$N$91:$T$102,7,)</f>
        <v>15.92</v>
      </c>
      <c r="CI51" s="153">
        <f t="shared" ref="CI51:CI74" si="102">0.9*$O$7*CH51*10^3/(100^2)</f>
        <v>601.77599999999995</v>
      </c>
      <c r="CJ51" s="53" t="str">
        <f t="shared" ref="CJ51:CJ74" si="103">IF(AND(CI51&gt;=CI13,CH51&gt;=CM13),"OK","N/C")</f>
        <v>OK</v>
      </c>
      <c r="CR51" s="117"/>
    </row>
    <row r="52" spans="1:112" ht="15" customHeight="1" x14ac:dyDescent="0.25">
      <c r="A52" s="123"/>
      <c r="B52" s="124"/>
      <c r="C52" s="188"/>
      <c r="D52" s="124"/>
      <c r="E52" s="124"/>
      <c r="F52" s="124"/>
      <c r="G52" s="124"/>
      <c r="H52" s="125"/>
      <c r="I52" s="124"/>
      <c r="J52" s="124"/>
      <c r="K52" s="124"/>
      <c r="L52" s="126"/>
      <c r="M52" s="350"/>
      <c r="N52" s="147">
        <f t="shared" ref="N52:N74" si="104">R14+W14+X14</f>
        <v>547.23200000000008</v>
      </c>
      <c r="O52" s="147">
        <f t="shared" ref="O52:O74" si="105">S14</f>
        <v>27.907699999999998</v>
      </c>
      <c r="P52" s="147">
        <f t="shared" ref="P52:P74" si="106">+T14</f>
        <v>57.377299999999998</v>
      </c>
      <c r="Q52" s="143">
        <f t="shared" si="72"/>
        <v>20</v>
      </c>
      <c r="R52" s="163">
        <f t="shared" si="73"/>
        <v>3.1428571428571432</v>
      </c>
      <c r="S52" s="163">
        <f t="shared" ref="S52:S74" si="107">MAX(AA14,AC14)/MIN(AA14,AC14)</f>
        <v>1</v>
      </c>
      <c r="T52" s="155">
        <f>2*(W52+X52+2*V14)</f>
        <v>4.2</v>
      </c>
      <c r="U52" s="164">
        <v>2</v>
      </c>
      <c r="V52" s="165">
        <f t="shared" si="74"/>
        <v>3.9302083333333324E-3</v>
      </c>
      <c r="W52" s="144">
        <v>1.1000000000000001</v>
      </c>
      <c r="X52" s="144">
        <v>0.35</v>
      </c>
      <c r="Y52" s="350"/>
      <c r="Z52" s="150">
        <f t="shared" ref="Z52:Z74" si="108">N52/(AA14*AC14)*(1+6*AD14/AC14+6*AE14/AA14)</f>
        <v>101.06367931717726</v>
      </c>
      <c r="AA52" s="150">
        <f t="shared" ref="AA52:AA74" si="109">N52/(AA14*AC14)*(1+6*AD14/AC14-6*AE14/AA14)</f>
        <v>84.049382716049394</v>
      </c>
      <c r="AB52" s="151">
        <f t="shared" ref="AB52:AB74" si="110">N52/(AA14*AC14)*(1-6*AD14/AC14+6*AE14/AA14)</f>
        <v>66.082853223593972</v>
      </c>
      <c r="AC52" s="150">
        <f t="shared" ref="AC52:AC74" si="111">N52/(AA14*AC14)*(1-6*AD14/AC14-6*AE14/AA14)</f>
        <v>49.068556622466097</v>
      </c>
      <c r="AD52" s="152">
        <f t="shared" ref="AD52:AD74" si="112">MAX(Z52:AC52)/$T$6</f>
        <v>0.7161897154562461</v>
      </c>
      <c r="AE52" s="361" t="str">
        <f t="shared" ref="AE52:AE74" si="113">IF(AND(AD14&lt;AC14/6,AE14&lt;AA14/6),"Zapata a compresión","Hay tensiones en la zapata")</f>
        <v>Zapata a compresión</v>
      </c>
      <c r="AF52" s="361"/>
      <c r="AG52" s="148">
        <f t="shared" si="75"/>
        <v>1381.7608000000005</v>
      </c>
      <c r="AH52" s="150">
        <f t="shared" si="76"/>
        <v>24.082011527206763</v>
      </c>
      <c r="AI52" s="148">
        <f t="shared" si="77"/>
        <v>1176.5488000000005</v>
      </c>
      <c r="AJ52" s="150">
        <f t="shared" si="78"/>
        <v>42.158572723656931</v>
      </c>
      <c r="AK52" s="350"/>
      <c r="AL52" s="155">
        <f t="shared" si="79"/>
        <v>0.38500000000000001</v>
      </c>
      <c r="AM52" s="155">
        <f t="shared" si="80"/>
        <v>5.2650000000000006</v>
      </c>
      <c r="AN52" s="150">
        <f t="shared" si="81"/>
        <v>2</v>
      </c>
      <c r="AO52" s="150">
        <f t="shared" si="82"/>
        <v>11911.9</v>
      </c>
      <c r="AP52" s="53" t="str">
        <f t="shared" si="83"/>
        <v>OK</v>
      </c>
      <c r="AQ52" s="155" t="str">
        <f t="shared" si="84"/>
        <v>SÍ</v>
      </c>
      <c r="AR52" s="144">
        <v>10.125</v>
      </c>
      <c r="AS52" s="143" t="s">
        <v>730</v>
      </c>
      <c r="AT52" s="163">
        <f t="shared" si="85"/>
        <v>0.50624999999999998</v>
      </c>
      <c r="AU52" s="144">
        <v>0.55000000000000004</v>
      </c>
      <c r="AV52" s="144">
        <v>0.3</v>
      </c>
      <c r="AW52" s="350"/>
      <c r="AX52" s="153">
        <f t="shared" si="86"/>
        <v>167.81921481481484</v>
      </c>
      <c r="AY52" s="153">
        <f t="shared" si="87"/>
        <v>653.83578957241502</v>
      </c>
      <c r="AZ52" s="150">
        <f t="shared" si="88"/>
        <v>1.8E-3</v>
      </c>
      <c r="BA52" s="148">
        <f t="shared" si="89"/>
        <v>15.795000000000002</v>
      </c>
      <c r="BB52" s="144">
        <v>5</v>
      </c>
      <c r="BC52" s="144">
        <v>13</v>
      </c>
      <c r="BD52" s="155">
        <f t="shared" si="90"/>
        <v>25.87</v>
      </c>
      <c r="BE52" s="53" t="str">
        <f t="shared" si="91"/>
        <v>OK</v>
      </c>
      <c r="BF52" s="148">
        <f t="shared" si="92"/>
        <v>0.2</v>
      </c>
      <c r="BG52" s="155" t="str">
        <f t="shared" si="93"/>
        <v>13#5@20</v>
      </c>
      <c r="BH52" s="197">
        <f t="shared" si="94"/>
        <v>0.61055276381909551</v>
      </c>
      <c r="BI52" s="350"/>
      <c r="BJ52" s="153">
        <f t="shared" si="95"/>
        <v>1</v>
      </c>
      <c r="BK52" s="157">
        <v>0.85</v>
      </c>
      <c r="BL52" s="153">
        <f t="shared" si="96"/>
        <v>1.2686567164179103</v>
      </c>
      <c r="BM52" s="153">
        <f t="shared" si="97"/>
        <v>12445.5223880597</v>
      </c>
      <c r="BN52" s="155" t="s">
        <v>699</v>
      </c>
      <c r="BO52" s="155">
        <f t="shared" si="98"/>
        <v>0.75</v>
      </c>
      <c r="BP52" s="153">
        <f t="shared" si="99"/>
        <v>199.10189651249985</v>
      </c>
      <c r="BQ52" s="153">
        <f t="shared" si="100"/>
        <v>9.2317499999999999</v>
      </c>
      <c r="BR52" s="144">
        <v>8</v>
      </c>
      <c r="BS52" s="155" t="s">
        <v>191</v>
      </c>
      <c r="BT52" s="144">
        <v>5</v>
      </c>
      <c r="BU52" s="121"/>
      <c r="CF52" s="122"/>
      <c r="CG52" s="350"/>
      <c r="CH52" s="153">
        <f t="shared" si="101"/>
        <v>15.92</v>
      </c>
      <c r="CI52" s="153">
        <f t="shared" si="102"/>
        <v>601.77599999999995</v>
      </c>
      <c r="CJ52" s="53" t="str">
        <f t="shared" si="103"/>
        <v>OK</v>
      </c>
      <c r="CR52" s="117"/>
    </row>
    <row r="53" spans="1:112" ht="15" customHeight="1" x14ac:dyDescent="0.25">
      <c r="A53" s="123"/>
      <c r="B53" s="124"/>
      <c r="C53" s="188"/>
      <c r="D53" s="124"/>
      <c r="E53" s="124"/>
      <c r="F53" s="124"/>
      <c r="G53" s="124"/>
      <c r="H53" s="125"/>
      <c r="I53" s="124"/>
      <c r="J53" s="124"/>
      <c r="K53" s="124"/>
      <c r="L53" s="126"/>
      <c r="M53" s="349" t="str">
        <f>M15</f>
        <v>Z2</v>
      </c>
      <c r="N53" s="147">
        <f t="shared" si="104"/>
        <v>853.66970000000003</v>
      </c>
      <c r="O53" s="147">
        <f t="shared" si="105"/>
        <v>54.421999999999997</v>
      </c>
      <c r="P53" s="147">
        <f t="shared" si="106"/>
        <v>91.715800000000002</v>
      </c>
      <c r="Q53" s="143">
        <f t="shared" si="72"/>
        <v>30</v>
      </c>
      <c r="R53" s="163">
        <f t="shared" si="73"/>
        <v>3.1428571428571432</v>
      </c>
      <c r="S53" s="163">
        <f t="shared" si="107"/>
        <v>1.1481481481481481</v>
      </c>
      <c r="T53" s="155">
        <f t="shared" ref="T53:T74" si="114">2*(W53+X53+2*V15)</f>
        <v>4.2</v>
      </c>
      <c r="U53" s="164">
        <v>2</v>
      </c>
      <c r="V53" s="165">
        <f t="shared" si="74"/>
        <v>3.9302083333333324E-3</v>
      </c>
      <c r="W53" s="144">
        <v>1.1000000000000001</v>
      </c>
      <c r="X53" s="144">
        <v>0.35</v>
      </c>
      <c r="Y53" s="349" t="str">
        <f>M53</f>
        <v>Z2</v>
      </c>
      <c r="Z53" s="150">
        <f t="shared" si="108"/>
        <v>137.64897603233939</v>
      </c>
      <c r="AA53" s="150">
        <f t="shared" si="109"/>
        <v>108.75106019535548</v>
      </c>
      <c r="AB53" s="151">
        <f t="shared" si="110"/>
        <v>95.232141716233514</v>
      </c>
      <c r="AC53" s="150">
        <f t="shared" si="111"/>
        <v>66.334225879249587</v>
      </c>
      <c r="AD53" s="152">
        <f t="shared" si="112"/>
        <v>0.97545212724794594</v>
      </c>
      <c r="AE53" s="361" t="str">
        <f t="shared" si="113"/>
        <v>Zapata a compresión</v>
      </c>
      <c r="AF53" s="361"/>
      <c r="AG53" s="148">
        <f t="shared" si="75"/>
        <v>2496.9838725000004</v>
      </c>
      <c r="AH53" s="150">
        <f t="shared" si="76"/>
        <v>27.22523133963832</v>
      </c>
      <c r="AI53" s="148">
        <f t="shared" si="77"/>
        <v>1152.4540950000001</v>
      </c>
      <c r="AJ53" s="150">
        <f t="shared" si="78"/>
        <v>21.176253996545515</v>
      </c>
      <c r="AK53" s="349" t="str">
        <f>Y53</f>
        <v>Z2</v>
      </c>
      <c r="AL53" s="155">
        <f t="shared" si="79"/>
        <v>0.38500000000000001</v>
      </c>
      <c r="AM53" s="155">
        <f t="shared" si="80"/>
        <v>5.2650000000000006</v>
      </c>
      <c r="AN53" s="150">
        <f t="shared" si="81"/>
        <v>2</v>
      </c>
      <c r="AO53" s="150">
        <f t="shared" si="82"/>
        <v>11911.9</v>
      </c>
      <c r="AP53" s="53" t="str">
        <f t="shared" si="83"/>
        <v>OK</v>
      </c>
      <c r="AQ53" s="155" t="str">
        <f t="shared" si="84"/>
        <v>SÍ</v>
      </c>
      <c r="AR53" s="144">
        <v>10.125</v>
      </c>
      <c r="AS53" s="143" t="s">
        <v>730</v>
      </c>
      <c r="AT53" s="163">
        <f t="shared" si="85"/>
        <v>0.50624999999999998</v>
      </c>
      <c r="AU53" s="144">
        <v>0.55000000000000004</v>
      </c>
      <c r="AV53" s="144">
        <v>0.3</v>
      </c>
      <c r="AW53" s="349" t="str">
        <f>AK53</f>
        <v>Z2</v>
      </c>
      <c r="AX53" s="153">
        <f t="shared" si="86"/>
        <v>314.73962525201614</v>
      </c>
      <c r="AY53" s="153">
        <f t="shared" si="87"/>
        <v>1068.0227363220838</v>
      </c>
      <c r="AZ53" s="150">
        <f t="shared" si="88"/>
        <v>2.6026814295181558E-3</v>
      </c>
      <c r="BA53" s="148">
        <f t="shared" si="89"/>
        <v>26.222015402395421</v>
      </c>
      <c r="BB53" s="144">
        <v>5</v>
      </c>
      <c r="BC53" s="144">
        <v>14</v>
      </c>
      <c r="BD53" s="155">
        <f t="shared" si="90"/>
        <v>27.86</v>
      </c>
      <c r="BE53" s="53" t="str">
        <f t="shared" si="91"/>
        <v>OK</v>
      </c>
      <c r="BF53" s="148">
        <f t="shared" si="92"/>
        <v>0.21</v>
      </c>
      <c r="BG53" s="155" t="str">
        <f t="shared" si="93"/>
        <v>14#5@20</v>
      </c>
      <c r="BH53" s="197">
        <f t="shared" si="94"/>
        <v>0.94120658300055349</v>
      </c>
      <c r="BI53" s="349" t="str">
        <f>AW53</f>
        <v>Z2</v>
      </c>
      <c r="BJ53" s="153">
        <f t="shared" si="95"/>
        <v>0.956989247311828</v>
      </c>
      <c r="BK53" s="157">
        <v>0.85</v>
      </c>
      <c r="BL53" s="153">
        <f t="shared" si="96"/>
        <v>1.2140908361418712</v>
      </c>
      <c r="BM53" s="153">
        <f t="shared" si="97"/>
        <v>11910.231102551756</v>
      </c>
      <c r="BN53" s="155" t="s">
        <v>699</v>
      </c>
      <c r="BO53" s="155">
        <f t="shared" si="98"/>
        <v>0.75</v>
      </c>
      <c r="BP53" s="153">
        <f t="shared" si="99"/>
        <v>306.49767649757422</v>
      </c>
      <c r="BQ53" s="153">
        <f t="shared" si="100"/>
        <v>9.6390424047235648</v>
      </c>
      <c r="BR53" s="144">
        <v>8</v>
      </c>
      <c r="BS53" s="155" t="s">
        <v>191</v>
      </c>
      <c r="BT53" s="144">
        <v>5</v>
      </c>
      <c r="BU53" s="121"/>
      <c r="CF53" s="122"/>
      <c r="CG53" s="349" t="str">
        <f>CG15</f>
        <v>Z2</v>
      </c>
      <c r="CH53" s="153">
        <f t="shared" si="101"/>
        <v>15.92</v>
      </c>
      <c r="CI53" s="153">
        <f t="shared" si="102"/>
        <v>601.77599999999995</v>
      </c>
      <c r="CJ53" s="53" t="str">
        <f t="shared" si="103"/>
        <v>OK</v>
      </c>
      <c r="CR53" s="117"/>
    </row>
    <row r="54" spans="1:112" ht="15" customHeight="1" x14ac:dyDescent="0.25">
      <c r="A54" s="123"/>
      <c r="B54" s="124"/>
      <c r="C54" s="188"/>
      <c r="D54" s="124"/>
      <c r="E54" s="124"/>
      <c r="F54" s="124"/>
      <c r="G54" s="124"/>
      <c r="H54" s="125"/>
      <c r="I54" s="124"/>
      <c r="J54" s="124"/>
      <c r="K54" s="124"/>
      <c r="L54" s="126"/>
      <c r="M54" s="350"/>
      <c r="N54" s="147">
        <f t="shared" si="104"/>
        <v>814.89</v>
      </c>
      <c r="O54" s="147">
        <f t="shared" si="105"/>
        <v>14.9503</v>
      </c>
      <c r="P54" s="147">
        <f t="shared" si="106"/>
        <v>117.4787</v>
      </c>
      <c r="Q54" s="143">
        <f t="shared" si="72"/>
        <v>30</v>
      </c>
      <c r="R54" s="163">
        <f t="shared" si="73"/>
        <v>3.1428571428571432</v>
      </c>
      <c r="S54" s="163">
        <f t="shared" si="107"/>
        <v>1.1481481481481481</v>
      </c>
      <c r="T54" s="155">
        <f t="shared" si="114"/>
        <v>4.2</v>
      </c>
      <c r="U54" s="164">
        <v>2</v>
      </c>
      <c r="V54" s="165">
        <f t="shared" si="74"/>
        <v>3.9302083333333324E-3</v>
      </c>
      <c r="W54" s="144">
        <v>1.1000000000000001</v>
      </c>
      <c r="X54" s="144">
        <v>0.35</v>
      </c>
      <c r="Y54" s="350"/>
      <c r="Z54" s="150">
        <f t="shared" si="108"/>
        <v>128.49355052821349</v>
      </c>
      <c r="AA54" s="150">
        <f t="shared" si="109"/>
        <v>120.55498687495449</v>
      </c>
      <c r="AB54" s="151">
        <f t="shared" si="110"/>
        <v>74.161859003181689</v>
      </c>
      <c r="AC54" s="150">
        <f t="shared" si="111"/>
        <v>66.223295349922694</v>
      </c>
      <c r="AD54" s="152">
        <f t="shared" si="112"/>
        <v>0.91057202758224609</v>
      </c>
      <c r="AE54" s="361" t="str">
        <f t="shared" si="113"/>
        <v>Zapata a compresión</v>
      </c>
      <c r="AF54" s="361"/>
      <c r="AG54" s="148">
        <f t="shared" si="75"/>
        <v>2383.5532500000004</v>
      </c>
      <c r="AH54" s="150">
        <f t="shared" si="76"/>
        <v>20.2892375383793</v>
      </c>
      <c r="AI54" s="148">
        <f t="shared" si="77"/>
        <v>1100.1015</v>
      </c>
      <c r="AJ54" s="150">
        <f t="shared" si="78"/>
        <v>73.58390801522377</v>
      </c>
      <c r="AK54" s="350"/>
      <c r="AL54" s="155">
        <f t="shared" si="79"/>
        <v>0.38500000000000001</v>
      </c>
      <c r="AM54" s="155">
        <f t="shared" si="80"/>
        <v>5.2650000000000006</v>
      </c>
      <c r="AN54" s="150">
        <f t="shared" si="81"/>
        <v>2</v>
      </c>
      <c r="AO54" s="150">
        <f t="shared" si="82"/>
        <v>11911.9</v>
      </c>
      <c r="AP54" s="53" t="str">
        <f t="shared" si="83"/>
        <v>OK</v>
      </c>
      <c r="AQ54" s="155" t="str">
        <f t="shared" si="84"/>
        <v>SÍ</v>
      </c>
      <c r="AR54" s="144">
        <v>10.125</v>
      </c>
      <c r="AS54" s="143" t="s">
        <v>730</v>
      </c>
      <c r="AT54" s="163">
        <f t="shared" si="85"/>
        <v>0.50624999999999998</v>
      </c>
      <c r="AU54" s="144">
        <v>0.55000000000000004</v>
      </c>
      <c r="AV54" s="144">
        <v>0.3</v>
      </c>
      <c r="AW54" s="350"/>
      <c r="AX54" s="153">
        <f t="shared" si="86"/>
        <v>263.44246229838711</v>
      </c>
      <c r="AY54" s="153">
        <f t="shared" si="87"/>
        <v>893.95334070840352</v>
      </c>
      <c r="AZ54" s="150">
        <f t="shared" si="88"/>
        <v>2.1700098290632235E-3</v>
      </c>
      <c r="BA54" s="148">
        <f t="shared" si="89"/>
        <v>21.862849027811979</v>
      </c>
      <c r="BB54" s="144">
        <v>5</v>
      </c>
      <c r="BC54" s="144">
        <v>14</v>
      </c>
      <c r="BD54" s="155">
        <f t="shared" si="90"/>
        <v>27.86</v>
      </c>
      <c r="BE54" s="53" t="str">
        <f t="shared" si="91"/>
        <v>OK</v>
      </c>
      <c r="BF54" s="148">
        <f t="shared" si="92"/>
        <v>0.21</v>
      </c>
      <c r="BG54" s="155" t="str">
        <f t="shared" si="93"/>
        <v>14#5@20</v>
      </c>
      <c r="BH54" s="197">
        <f t="shared" si="94"/>
        <v>0.78473973538449315</v>
      </c>
      <c r="BI54" s="350"/>
      <c r="BJ54" s="153">
        <f t="shared" si="95"/>
        <v>0.956989247311828</v>
      </c>
      <c r="BK54" s="157">
        <v>0.85</v>
      </c>
      <c r="BL54" s="153">
        <f t="shared" si="96"/>
        <v>1.2140908361418712</v>
      </c>
      <c r="BM54" s="153">
        <f t="shared" si="97"/>
        <v>11910.231102551756</v>
      </c>
      <c r="BN54" s="155" t="s">
        <v>699</v>
      </c>
      <c r="BO54" s="155">
        <f t="shared" si="98"/>
        <v>0.75</v>
      </c>
      <c r="BP54" s="153">
        <f t="shared" si="99"/>
        <v>277.05858356495781</v>
      </c>
      <c r="BQ54" s="153">
        <f t="shared" si="100"/>
        <v>9.7686021010658699</v>
      </c>
      <c r="BR54" s="144">
        <v>8</v>
      </c>
      <c r="BS54" s="155" t="s">
        <v>191</v>
      </c>
      <c r="BT54" s="144">
        <v>5</v>
      </c>
      <c r="BU54" s="121"/>
      <c r="CF54" s="122"/>
      <c r="CG54" s="350"/>
      <c r="CH54" s="153">
        <f t="shared" si="101"/>
        <v>15.92</v>
      </c>
      <c r="CI54" s="153">
        <f t="shared" si="102"/>
        <v>601.77599999999995</v>
      </c>
      <c r="CJ54" s="53" t="str">
        <f t="shared" si="103"/>
        <v>OK</v>
      </c>
      <c r="CR54" s="117"/>
    </row>
    <row r="55" spans="1:112" ht="15" customHeight="1" x14ac:dyDescent="0.25">
      <c r="A55" s="123"/>
      <c r="B55" s="124"/>
      <c r="C55" s="188"/>
      <c r="D55" s="124"/>
      <c r="E55" s="124"/>
      <c r="F55" s="124"/>
      <c r="G55" s="124"/>
      <c r="H55" s="125"/>
      <c r="I55" s="124"/>
      <c r="J55" s="124"/>
      <c r="K55" s="124"/>
      <c r="L55" s="126"/>
      <c r="M55" s="349" t="str">
        <f>M17</f>
        <v>Z1</v>
      </c>
      <c r="N55" s="147">
        <f t="shared" si="104"/>
        <v>582.08630000000005</v>
      </c>
      <c r="O55" s="147">
        <f t="shared" si="105"/>
        <v>50.988500000000002</v>
      </c>
      <c r="P55" s="147">
        <f t="shared" si="106"/>
        <v>59.165399999999998</v>
      </c>
      <c r="Q55" s="143">
        <f t="shared" si="72"/>
        <v>20</v>
      </c>
      <c r="R55" s="163">
        <f t="shared" si="73"/>
        <v>3.1428571428571432</v>
      </c>
      <c r="S55" s="163">
        <f t="shared" si="107"/>
        <v>1</v>
      </c>
      <c r="T55" s="155">
        <f t="shared" si="114"/>
        <v>4.2</v>
      </c>
      <c r="U55" s="164">
        <v>2</v>
      </c>
      <c r="V55" s="165">
        <f t="shared" si="74"/>
        <v>3.9302083333333324E-3</v>
      </c>
      <c r="W55" s="144">
        <v>1.1000000000000001</v>
      </c>
      <c r="X55" s="144">
        <v>0.35</v>
      </c>
      <c r="Y55" s="349" t="str">
        <f>M55</f>
        <v>Z1</v>
      </c>
      <c r="Z55" s="150">
        <f t="shared" si="108"/>
        <v>113.42561652187163</v>
      </c>
      <c r="AA55" s="150">
        <f t="shared" si="109"/>
        <v>82.339806431946343</v>
      </c>
      <c r="AB55" s="151">
        <f t="shared" si="110"/>
        <v>77.354651729919226</v>
      </c>
      <c r="AC55" s="150">
        <f t="shared" si="111"/>
        <v>46.268841639993909</v>
      </c>
      <c r="AD55" s="152">
        <f t="shared" si="112"/>
        <v>0.80379282221958026</v>
      </c>
      <c r="AE55" s="361" t="str">
        <f t="shared" si="113"/>
        <v>Zapata a compresión</v>
      </c>
      <c r="AF55" s="361"/>
      <c r="AG55" s="148">
        <f t="shared" si="75"/>
        <v>1469.7679075000003</v>
      </c>
      <c r="AH55" s="150">
        <f t="shared" si="76"/>
        <v>24.84167955426652</v>
      </c>
      <c r="AI55" s="148">
        <f t="shared" si="77"/>
        <v>1251.4855450000002</v>
      </c>
      <c r="AJ55" s="150">
        <f t="shared" si="78"/>
        <v>24.544466791531427</v>
      </c>
      <c r="AK55" s="349" t="str">
        <f>Y55</f>
        <v>Z1</v>
      </c>
      <c r="AL55" s="155">
        <f t="shared" si="79"/>
        <v>0.38500000000000001</v>
      </c>
      <c r="AM55" s="155">
        <f t="shared" si="80"/>
        <v>5.2650000000000006</v>
      </c>
      <c r="AN55" s="150">
        <f t="shared" si="81"/>
        <v>2</v>
      </c>
      <c r="AO55" s="150">
        <f t="shared" si="82"/>
        <v>11911.9</v>
      </c>
      <c r="AP55" s="53" t="str">
        <f t="shared" si="83"/>
        <v>OK</v>
      </c>
      <c r="AQ55" s="155" t="str">
        <f t="shared" si="84"/>
        <v>SÍ</v>
      </c>
      <c r="AR55" s="144">
        <v>10.125</v>
      </c>
      <c r="AS55" s="143" t="s">
        <v>730</v>
      </c>
      <c r="AT55" s="163">
        <f t="shared" si="85"/>
        <v>0.50624999999999998</v>
      </c>
      <c r="AU55" s="144">
        <v>0.55000000000000004</v>
      </c>
      <c r="AV55" s="144">
        <v>0.3</v>
      </c>
      <c r="AW55" s="349" t="str">
        <f>AK55</f>
        <v>Z1</v>
      </c>
      <c r="AX55" s="153">
        <f t="shared" si="86"/>
        <v>199.81125887731486</v>
      </c>
      <c r="AY55" s="153">
        <f t="shared" si="87"/>
        <v>778.47910537342318</v>
      </c>
      <c r="AZ55" s="150">
        <f t="shared" si="88"/>
        <v>1.8848693178003997E-3</v>
      </c>
      <c r="BA55" s="148">
        <f t="shared" si="89"/>
        <v>16.53972826369851</v>
      </c>
      <c r="BB55" s="144">
        <v>5</v>
      </c>
      <c r="BC55" s="144">
        <v>13</v>
      </c>
      <c r="BD55" s="155">
        <f t="shared" si="90"/>
        <v>25.87</v>
      </c>
      <c r="BE55" s="53" t="str">
        <f t="shared" si="91"/>
        <v>OK</v>
      </c>
      <c r="BF55" s="148">
        <f t="shared" si="92"/>
        <v>0.2</v>
      </c>
      <c r="BG55" s="155" t="str">
        <f t="shared" si="93"/>
        <v>13#5@20</v>
      </c>
      <c r="BH55" s="197">
        <f t="shared" si="94"/>
        <v>0.63934009523380397</v>
      </c>
      <c r="BI55" s="349" t="str">
        <f>AW55</f>
        <v>Z1</v>
      </c>
      <c r="BJ55" s="153">
        <f t="shared" si="95"/>
        <v>1</v>
      </c>
      <c r="BK55" s="157">
        <v>0.85</v>
      </c>
      <c r="BL55" s="153">
        <f t="shared" si="96"/>
        <v>1.2686567164179103</v>
      </c>
      <c r="BM55" s="153">
        <f t="shared" si="97"/>
        <v>12445.5223880597</v>
      </c>
      <c r="BN55" s="155" t="s">
        <v>699</v>
      </c>
      <c r="BO55" s="155">
        <f t="shared" si="98"/>
        <v>0.75</v>
      </c>
      <c r="BP55" s="153">
        <f t="shared" si="99"/>
        <v>212.7599362664655</v>
      </c>
      <c r="BQ55" s="153">
        <f t="shared" si="100"/>
        <v>9.2317499999999999</v>
      </c>
      <c r="BR55" s="144">
        <v>8</v>
      </c>
      <c r="BS55" s="155" t="s">
        <v>191</v>
      </c>
      <c r="BT55" s="144">
        <v>5</v>
      </c>
      <c r="BU55" s="121"/>
      <c r="CF55" s="122"/>
      <c r="CG55" s="349" t="str">
        <f>CG17</f>
        <v>Z1</v>
      </c>
      <c r="CH55" s="153">
        <f t="shared" si="101"/>
        <v>15.92</v>
      </c>
      <c r="CI55" s="153">
        <f t="shared" si="102"/>
        <v>601.77599999999995</v>
      </c>
      <c r="CJ55" s="53" t="str">
        <f t="shared" si="103"/>
        <v>OK</v>
      </c>
      <c r="CR55" s="117"/>
    </row>
    <row r="56" spans="1:112" ht="15" customHeight="1" x14ac:dyDescent="0.25">
      <c r="A56" s="123"/>
      <c r="B56" s="124"/>
      <c r="C56" s="188"/>
      <c r="D56" s="124"/>
      <c r="E56" s="124"/>
      <c r="F56" s="124"/>
      <c r="G56" s="124"/>
      <c r="H56" s="125"/>
      <c r="I56" s="124"/>
      <c r="J56" s="124"/>
      <c r="K56" s="124"/>
      <c r="L56" s="126"/>
      <c r="M56" s="350"/>
      <c r="N56" s="147">
        <f t="shared" si="104"/>
        <v>525.85430000000008</v>
      </c>
      <c r="O56" s="147">
        <f t="shared" si="105"/>
        <v>18.5428</v>
      </c>
      <c r="P56" s="147">
        <f t="shared" si="106"/>
        <v>134.9803</v>
      </c>
      <c r="Q56" s="143">
        <f t="shared" si="72"/>
        <v>20</v>
      </c>
      <c r="R56" s="163">
        <f t="shared" si="73"/>
        <v>3.1428571428571432</v>
      </c>
      <c r="S56" s="163">
        <f t="shared" si="107"/>
        <v>1</v>
      </c>
      <c r="T56" s="155">
        <f t="shared" si="114"/>
        <v>4.2</v>
      </c>
      <c r="U56" s="164">
        <v>2</v>
      </c>
      <c r="V56" s="165">
        <f t="shared" si="74"/>
        <v>3.9302083333333324E-3</v>
      </c>
      <c r="W56" s="144">
        <v>1.1000000000000001</v>
      </c>
      <c r="X56" s="144">
        <v>0.35</v>
      </c>
      <c r="Y56" s="350"/>
      <c r="Z56" s="150">
        <f t="shared" si="108"/>
        <v>118.93233805822283</v>
      </c>
      <c r="AA56" s="150">
        <f t="shared" si="109"/>
        <v>107.62747599451303</v>
      </c>
      <c r="AB56" s="151">
        <f t="shared" si="110"/>
        <v>36.639821673525397</v>
      </c>
      <c r="AC56" s="150">
        <f t="shared" si="111"/>
        <v>25.334959609815598</v>
      </c>
      <c r="AD56" s="152">
        <f t="shared" si="112"/>
        <v>0.84281631074545094</v>
      </c>
      <c r="AE56" s="361" t="str">
        <f t="shared" si="113"/>
        <v>Zapata a compresión</v>
      </c>
      <c r="AF56" s="361"/>
      <c r="AG56" s="148">
        <f t="shared" si="75"/>
        <v>1327.7821075000004</v>
      </c>
      <c r="AH56" s="150">
        <f t="shared" si="76"/>
        <v>9.8368584711991343</v>
      </c>
      <c r="AI56" s="148">
        <f t="shared" si="77"/>
        <v>1130.5867450000003</v>
      </c>
      <c r="AJ56" s="150">
        <f t="shared" si="78"/>
        <v>60.971738087020313</v>
      </c>
      <c r="AK56" s="350"/>
      <c r="AL56" s="155">
        <f t="shared" si="79"/>
        <v>0.38500000000000001</v>
      </c>
      <c r="AM56" s="155">
        <f t="shared" si="80"/>
        <v>5.2650000000000006</v>
      </c>
      <c r="AN56" s="150">
        <f t="shared" si="81"/>
        <v>2</v>
      </c>
      <c r="AO56" s="150">
        <f t="shared" si="82"/>
        <v>11911.9</v>
      </c>
      <c r="AP56" s="53" t="str">
        <f t="shared" si="83"/>
        <v>OK</v>
      </c>
      <c r="AQ56" s="155" t="str">
        <f t="shared" si="84"/>
        <v>SÍ</v>
      </c>
      <c r="AR56" s="144">
        <v>10.125</v>
      </c>
      <c r="AS56" s="143" t="s">
        <v>730</v>
      </c>
      <c r="AT56" s="163">
        <f t="shared" si="85"/>
        <v>0.50624999999999998</v>
      </c>
      <c r="AU56" s="144">
        <v>0.55000000000000004</v>
      </c>
      <c r="AV56" s="144">
        <v>0.3</v>
      </c>
      <c r="AW56" s="350"/>
      <c r="AX56" s="153">
        <f t="shared" si="86"/>
        <v>152.98865054398152</v>
      </c>
      <c r="AY56" s="153">
        <f t="shared" si="87"/>
        <v>596.05483933662151</v>
      </c>
      <c r="AZ56" s="150">
        <f t="shared" si="88"/>
        <v>1.8E-3</v>
      </c>
      <c r="BA56" s="148">
        <f t="shared" si="89"/>
        <v>15.795000000000002</v>
      </c>
      <c r="BB56" s="144">
        <v>5</v>
      </c>
      <c r="BC56" s="144">
        <v>13</v>
      </c>
      <c r="BD56" s="155">
        <f t="shared" si="90"/>
        <v>25.87</v>
      </c>
      <c r="BE56" s="53" t="str">
        <f t="shared" si="91"/>
        <v>OK</v>
      </c>
      <c r="BF56" s="148">
        <f t="shared" si="92"/>
        <v>0.2</v>
      </c>
      <c r="BG56" s="155" t="str">
        <f t="shared" si="93"/>
        <v>13#5@20</v>
      </c>
      <c r="BH56" s="197">
        <f t="shared" si="94"/>
        <v>0.61055276381909551</v>
      </c>
      <c r="BI56" s="350"/>
      <c r="BJ56" s="153">
        <f t="shared" si="95"/>
        <v>1</v>
      </c>
      <c r="BK56" s="157">
        <v>0.85</v>
      </c>
      <c r="BL56" s="153">
        <f t="shared" si="96"/>
        <v>1.2686567164179103</v>
      </c>
      <c r="BM56" s="153">
        <f t="shared" si="97"/>
        <v>12445.5223880597</v>
      </c>
      <c r="BN56" s="155" t="s">
        <v>699</v>
      </c>
      <c r="BO56" s="155">
        <f t="shared" si="98"/>
        <v>0.75</v>
      </c>
      <c r="BP56" s="153">
        <f t="shared" si="99"/>
        <v>149.53416372244311</v>
      </c>
      <c r="BQ56" s="153">
        <f t="shared" si="100"/>
        <v>9.2317499999999999</v>
      </c>
      <c r="BR56" s="144">
        <v>8</v>
      </c>
      <c r="BS56" s="155" t="s">
        <v>191</v>
      </c>
      <c r="BT56" s="144">
        <v>5</v>
      </c>
      <c r="BU56" s="121"/>
      <c r="CF56" s="122"/>
      <c r="CG56" s="350"/>
      <c r="CH56" s="153">
        <f t="shared" si="101"/>
        <v>15.92</v>
      </c>
      <c r="CI56" s="153">
        <f t="shared" si="102"/>
        <v>601.77599999999995</v>
      </c>
      <c r="CJ56" s="53" t="str">
        <f t="shared" si="103"/>
        <v>OK</v>
      </c>
      <c r="CR56" s="117"/>
    </row>
    <row r="57" spans="1:112" ht="15" customHeight="1" x14ac:dyDescent="0.25">
      <c r="A57" s="123"/>
      <c r="B57" s="124"/>
      <c r="C57" s="188"/>
      <c r="D57" s="124"/>
      <c r="E57" s="124"/>
      <c r="F57" s="124"/>
      <c r="G57" s="124"/>
      <c r="H57" s="125"/>
      <c r="I57" s="124"/>
      <c r="J57" s="124"/>
      <c r="K57" s="124"/>
      <c r="L57" s="126"/>
      <c r="M57" s="349" t="str">
        <f>M19</f>
        <v>Z4</v>
      </c>
      <c r="N57" s="147">
        <f t="shared" si="104"/>
        <v>683.58999999999992</v>
      </c>
      <c r="O57" s="147">
        <f t="shared" si="105"/>
        <v>224.00744</v>
      </c>
      <c r="P57" s="147">
        <f t="shared" si="106"/>
        <v>8.1200799999999997</v>
      </c>
      <c r="Q57" s="143">
        <f t="shared" si="72"/>
        <v>30</v>
      </c>
      <c r="R57" s="163">
        <f>MAX(W57:X57)/MIN(W57:X57)</f>
        <v>3.1428571428571432</v>
      </c>
      <c r="S57" s="163">
        <f t="shared" si="107"/>
        <v>1.142857142857143</v>
      </c>
      <c r="T57" s="155">
        <f>2*(W57+X57+2*V19)</f>
        <v>4.2</v>
      </c>
      <c r="U57" s="164">
        <v>2</v>
      </c>
      <c r="V57" s="165">
        <f>W57*X57^3/12</f>
        <v>3.8820833333333339E-2</v>
      </c>
      <c r="W57" s="144">
        <v>0.35</v>
      </c>
      <c r="X57" s="144">
        <v>1.1000000000000001</v>
      </c>
      <c r="Y57" s="349" t="str">
        <f>M57</f>
        <v>Z4</v>
      </c>
      <c r="Z57" s="150">
        <f t="shared" si="108"/>
        <v>125.11206712372446</v>
      </c>
      <c r="AA57" s="150">
        <f t="shared" si="109"/>
        <v>31.358953284438766</v>
      </c>
      <c r="AB57" s="151">
        <f t="shared" si="110"/>
        <v>121.22810028698979</v>
      </c>
      <c r="AC57" s="150">
        <f t="shared" si="111"/>
        <v>27.474986447704076</v>
      </c>
      <c r="AD57" s="152">
        <f t="shared" si="112"/>
        <v>0.88660908012532125</v>
      </c>
      <c r="AE57" s="361" t="str">
        <f t="shared" si="113"/>
        <v>Zapata a compresión</v>
      </c>
      <c r="AF57" s="361"/>
      <c r="AG57" s="148">
        <f t="shared" si="75"/>
        <v>957.02599999999984</v>
      </c>
      <c r="AH57" s="150">
        <f t="shared" si="76"/>
        <v>117.859183653363</v>
      </c>
      <c r="AI57" s="148">
        <f t="shared" si="77"/>
        <v>2067.8597500000001</v>
      </c>
      <c r="AJ57" s="150">
        <f t="shared" si="78"/>
        <v>9.231210133020582</v>
      </c>
      <c r="AK57" s="349" t="str">
        <f>Y57</f>
        <v>Z4</v>
      </c>
      <c r="AL57" s="155">
        <f t="shared" si="79"/>
        <v>0.38500000000000001</v>
      </c>
      <c r="AM57" s="155">
        <f t="shared" si="80"/>
        <v>5.2650000000000006</v>
      </c>
      <c r="AN57" s="150">
        <f t="shared" si="81"/>
        <v>2</v>
      </c>
      <c r="AO57" s="150">
        <f t="shared" si="82"/>
        <v>11911.9</v>
      </c>
      <c r="AP57" s="53" t="str">
        <f t="shared" si="83"/>
        <v>OK</v>
      </c>
      <c r="AQ57" s="155" t="str">
        <f t="shared" si="84"/>
        <v>SÍ</v>
      </c>
      <c r="AR57" s="144">
        <v>10.125</v>
      </c>
      <c r="AS57" s="143" t="s">
        <v>730</v>
      </c>
      <c r="AT57" s="163">
        <f t="shared" si="85"/>
        <v>0.50624999999999998</v>
      </c>
      <c r="AU57" s="144">
        <v>0.55000000000000004</v>
      </c>
      <c r="AV57" s="144">
        <v>0.3</v>
      </c>
      <c r="AW57" s="349" t="str">
        <f>AK57</f>
        <v>Z4</v>
      </c>
      <c r="AX57" s="153">
        <f t="shared" si="86"/>
        <v>312.2027569642857</v>
      </c>
      <c r="AY57" s="153">
        <f t="shared" si="87"/>
        <v>1172.9229152410469</v>
      </c>
      <c r="AZ57" s="150">
        <f t="shared" si="88"/>
        <v>2.8651044009058058E-3</v>
      </c>
      <c r="BA57" s="148">
        <f t="shared" si="89"/>
        <v>26.072450048242832</v>
      </c>
      <c r="BB57" s="144">
        <v>6</v>
      </c>
      <c r="BC57" s="144">
        <v>13</v>
      </c>
      <c r="BD57" s="155">
        <f t="shared" si="90"/>
        <v>36.92</v>
      </c>
      <c r="BE57" s="53" t="str">
        <f t="shared" si="91"/>
        <v>OK</v>
      </c>
      <c r="BF57" s="148">
        <f t="shared" si="92"/>
        <v>0.2</v>
      </c>
      <c r="BG57" s="155" t="str">
        <f t="shared" si="93"/>
        <v>13#6@20</v>
      </c>
      <c r="BH57" s="197">
        <f t="shared" si="94"/>
        <v>0.70618770444861401</v>
      </c>
      <c r="BI57" s="349" t="str">
        <f>AW57</f>
        <v>Z4</v>
      </c>
      <c r="BJ57" s="153">
        <f t="shared" si="95"/>
        <v>1.0476190476190477</v>
      </c>
      <c r="BK57" s="157">
        <v>0.85</v>
      </c>
      <c r="BL57" s="153">
        <f t="shared" si="96"/>
        <v>1.3290689410092396</v>
      </c>
      <c r="BM57" s="153">
        <f t="shared" si="97"/>
        <v>13038.166311300642</v>
      </c>
      <c r="BN57" s="155" t="s">
        <v>699</v>
      </c>
      <c r="BO57" s="155">
        <f t="shared" si="98"/>
        <v>0.75</v>
      </c>
      <c r="BP57" s="153">
        <f t="shared" si="99"/>
        <v>549.17673472800516</v>
      </c>
      <c r="BQ57" s="153">
        <f t="shared" si="100"/>
        <v>11.503846484165324</v>
      </c>
      <c r="BR57" s="144">
        <v>8</v>
      </c>
      <c r="BS57" s="155" t="s">
        <v>191</v>
      </c>
      <c r="BT57" s="144">
        <v>5</v>
      </c>
      <c r="BU57" s="121"/>
      <c r="CF57" s="122"/>
      <c r="CG57" s="349" t="str">
        <f>CG19</f>
        <v>Z4</v>
      </c>
      <c r="CH57" s="153">
        <f t="shared" si="101"/>
        <v>15.92</v>
      </c>
      <c r="CI57" s="153">
        <f t="shared" si="102"/>
        <v>601.77599999999995</v>
      </c>
      <c r="CJ57" s="53" t="str">
        <f t="shared" si="103"/>
        <v>OK</v>
      </c>
      <c r="CR57" s="117"/>
    </row>
    <row r="58" spans="1:112" ht="15" customHeight="1" x14ac:dyDescent="0.25">
      <c r="A58" s="123"/>
      <c r="L58" s="126"/>
      <c r="M58" s="350"/>
      <c r="N58" s="147">
        <f t="shared" si="104"/>
        <v>672.84392000000003</v>
      </c>
      <c r="O58" s="147">
        <f t="shared" si="105"/>
        <v>237.30288000000002</v>
      </c>
      <c r="P58" s="147">
        <f t="shared" si="106"/>
        <v>30.281120000000001</v>
      </c>
      <c r="Q58" s="143">
        <f t="shared" si="72"/>
        <v>30</v>
      </c>
      <c r="R58" s="163">
        <f t="shared" si="73"/>
        <v>3.1428571428571432</v>
      </c>
      <c r="S58" s="163">
        <f t="shared" si="107"/>
        <v>1.142857142857143</v>
      </c>
      <c r="T58" s="155">
        <f t="shared" si="114"/>
        <v>4.2</v>
      </c>
      <c r="U58" s="164">
        <v>2</v>
      </c>
      <c r="V58" s="165">
        <f t="shared" si="74"/>
        <v>3.8820833333333339E-2</v>
      </c>
      <c r="W58" s="144">
        <v>0.35</v>
      </c>
      <c r="X58" s="144">
        <v>1.1000000000000001</v>
      </c>
      <c r="Y58" s="350"/>
      <c r="Z58" s="150">
        <f t="shared" si="108"/>
        <v>131.99497034438775</v>
      </c>
      <c r="AA58" s="150">
        <f t="shared" si="109"/>
        <v>32.677358737244887</v>
      </c>
      <c r="AB58" s="151">
        <f t="shared" si="110"/>
        <v>117.51101626275512</v>
      </c>
      <c r="AC58" s="150">
        <f t="shared" si="111"/>
        <v>18.193404655612238</v>
      </c>
      <c r="AD58" s="152">
        <f t="shared" si="112"/>
        <v>0.93538490673706709</v>
      </c>
      <c r="AE58" s="361" t="str">
        <f t="shared" si="113"/>
        <v>Zapata a compresión</v>
      </c>
      <c r="AF58" s="361"/>
      <c r="AG58" s="148">
        <f t="shared" si="75"/>
        <v>941.98148800000001</v>
      </c>
      <c r="AH58" s="150">
        <f t="shared" si="76"/>
        <v>31.107881346528792</v>
      </c>
      <c r="AI58" s="148">
        <f t="shared" si="77"/>
        <v>2035.3528580000004</v>
      </c>
      <c r="AJ58" s="150">
        <f t="shared" si="78"/>
        <v>8.5770255211399054</v>
      </c>
      <c r="AK58" s="350"/>
      <c r="AL58" s="155">
        <f t="shared" si="79"/>
        <v>0.38500000000000001</v>
      </c>
      <c r="AM58" s="155">
        <f t="shared" si="80"/>
        <v>5.2650000000000006</v>
      </c>
      <c r="AN58" s="150">
        <f t="shared" si="81"/>
        <v>2</v>
      </c>
      <c r="AO58" s="150">
        <f t="shared" si="82"/>
        <v>11911.9</v>
      </c>
      <c r="AP58" s="53" t="str">
        <f t="shared" si="83"/>
        <v>OK</v>
      </c>
      <c r="AQ58" s="155" t="str">
        <f t="shared" si="84"/>
        <v>SÍ</v>
      </c>
      <c r="AR58" s="144">
        <v>10.125</v>
      </c>
      <c r="AS58" s="143" t="s">
        <v>730</v>
      </c>
      <c r="AT58" s="163">
        <f t="shared" si="85"/>
        <v>0.50624999999999998</v>
      </c>
      <c r="AU58" s="144">
        <v>0.55000000000000004</v>
      </c>
      <c r="AV58" s="144">
        <v>0.3</v>
      </c>
      <c r="AW58" s="350"/>
      <c r="AX58" s="153">
        <f t="shared" si="86"/>
        <v>324.11176075000003</v>
      </c>
      <c r="AY58" s="153">
        <f t="shared" si="87"/>
        <v>1217.6641711280172</v>
      </c>
      <c r="AZ58" s="150">
        <f t="shared" si="88"/>
        <v>2.9774213289483313E-3</v>
      </c>
      <c r="BA58" s="148">
        <f t="shared" si="89"/>
        <v>27.094534093429814</v>
      </c>
      <c r="BB58" s="144">
        <v>6</v>
      </c>
      <c r="BC58" s="144">
        <v>13</v>
      </c>
      <c r="BD58" s="155">
        <f t="shared" si="90"/>
        <v>36.92</v>
      </c>
      <c r="BE58" s="53" t="str">
        <f t="shared" si="91"/>
        <v>OK</v>
      </c>
      <c r="BF58" s="148">
        <f t="shared" si="92"/>
        <v>0.2</v>
      </c>
      <c r="BG58" s="155" t="str">
        <f t="shared" si="93"/>
        <v>13#6@20</v>
      </c>
      <c r="BH58" s="197">
        <f t="shared" si="94"/>
        <v>0.73387145431825063</v>
      </c>
      <c r="BI58" s="350"/>
      <c r="BJ58" s="153">
        <f t="shared" si="95"/>
        <v>1.0476190476190477</v>
      </c>
      <c r="BK58" s="157">
        <v>0.85</v>
      </c>
      <c r="BL58" s="153">
        <f t="shared" si="96"/>
        <v>1.3290689410092396</v>
      </c>
      <c r="BM58" s="153">
        <f t="shared" si="97"/>
        <v>13038.166311300642</v>
      </c>
      <c r="BN58" s="155" t="s">
        <v>699</v>
      </c>
      <c r="BO58" s="155">
        <f t="shared" si="98"/>
        <v>0.75</v>
      </c>
      <c r="BP58" s="153">
        <f t="shared" si="99"/>
        <v>527.87233179082523</v>
      </c>
      <c r="BQ58" s="153">
        <f t="shared" si="100"/>
        <v>11.065097860593513</v>
      </c>
      <c r="BR58" s="144">
        <v>8</v>
      </c>
      <c r="BS58" s="155" t="s">
        <v>191</v>
      </c>
      <c r="BT58" s="144">
        <v>5</v>
      </c>
      <c r="BU58" s="121"/>
      <c r="CF58" s="122"/>
      <c r="CG58" s="350"/>
      <c r="CH58" s="153">
        <f t="shared" si="101"/>
        <v>15.92</v>
      </c>
      <c r="CI58" s="153">
        <f t="shared" si="102"/>
        <v>601.77599999999995</v>
      </c>
      <c r="CJ58" s="53" t="str">
        <f t="shared" si="103"/>
        <v>OK</v>
      </c>
      <c r="CR58" s="117"/>
    </row>
    <row r="59" spans="1:112" ht="15" customHeight="1" x14ac:dyDescent="0.25">
      <c r="A59" s="123"/>
      <c r="L59" s="126"/>
      <c r="M59" s="349" t="str">
        <f>M21</f>
        <v>Z3</v>
      </c>
      <c r="N59" s="147">
        <f t="shared" si="104"/>
        <v>1088.70056</v>
      </c>
      <c r="O59" s="147">
        <f t="shared" si="105"/>
        <v>222.61176</v>
      </c>
      <c r="P59" s="147">
        <f t="shared" si="106"/>
        <v>9.656480000000002</v>
      </c>
      <c r="Q59" s="143">
        <f t="shared" si="72"/>
        <v>40</v>
      </c>
      <c r="R59" s="163">
        <f t="shared" si="73"/>
        <v>3.1428571428571432</v>
      </c>
      <c r="S59" s="163">
        <f t="shared" si="107"/>
        <v>1</v>
      </c>
      <c r="T59" s="155">
        <f t="shared" si="114"/>
        <v>4.2</v>
      </c>
      <c r="U59" s="164">
        <v>2</v>
      </c>
      <c r="V59" s="165">
        <f t="shared" si="74"/>
        <v>3.8820833333333339E-2</v>
      </c>
      <c r="W59" s="144">
        <v>0.35</v>
      </c>
      <c r="X59" s="144">
        <v>1.1000000000000001</v>
      </c>
      <c r="Y59" s="349" t="str">
        <f>M59</f>
        <v>Z3</v>
      </c>
      <c r="Z59" s="150">
        <f t="shared" si="108"/>
        <v>129.63544026053327</v>
      </c>
      <c r="AA59" s="150">
        <f t="shared" si="109"/>
        <v>61.669301445145543</v>
      </c>
      <c r="AB59" s="151">
        <f t="shared" si="110"/>
        <v>126.68719682475067</v>
      </c>
      <c r="AC59" s="150">
        <f t="shared" si="111"/>
        <v>58.721058009362928</v>
      </c>
      <c r="AD59" s="152">
        <f t="shared" si="112"/>
        <v>0.91866405122514061</v>
      </c>
      <c r="AE59" s="361" t="str">
        <f t="shared" si="113"/>
        <v>Zapata a compresión</v>
      </c>
      <c r="AF59" s="361"/>
      <c r="AG59" s="148">
        <f t="shared" si="75"/>
        <v>1850.7909519999998</v>
      </c>
      <c r="AH59" s="150">
        <f t="shared" si="76"/>
        <v>191.66310622504261</v>
      </c>
      <c r="AI59" s="148">
        <f t="shared" si="77"/>
        <v>1850.7909519999998</v>
      </c>
      <c r="AJ59" s="150">
        <f t="shared" si="78"/>
        <v>8.3139855324804035</v>
      </c>
      <c r="AK59" s="349" t="str">
        <f>Y59</f>
        <v>Z3</v>
      </c>
      <c r="AL59" s="155">
        <f t="shared" si="79"/>
        <v>0.38500000000000001</v>
      </c>
      <c r="AM59" s="155">
        <f t="shared" si="80"/>
        <v>5.2650000000000006</v>
      </c>
      <c r="AN59" s="150">
        <f t="shared" si="81"/>
        <v>2</v>
      </c>
      <c r="AO59" s="150">
        <f t="shared" si="82"/>
        <v>11911.9</v>
      </c>
      <c r="AP59" s="53" t="str">
        <f t="shared" si="83"/>
        <v>OK</v>
      </c>
      <c r="AQ59" s="155" t="str">
        <f t="shared" si="84"/>
        <v>NO</v>
      </c>
      <c r="AR59" s="144">
        <v>10.125</v>
      </c>
      <c r="AS59" s="143" t="s">
        <v>730</v>
      </c>
      <c r="AT59" s="163">
        <f t="shared" si="85"/>
        <v>0.50624999999999998</v>
      </c>
      <c r="AU59" s="144">
        <v>0.55000000000000004</v>
      </c>
      <c r="AV59" s="144">
        <v>0.3</v>
      </c>
      <c r="AW59" s="349" t="str">
        <f>AK59</f>
        <v>Z3</v>
      </c>
      <c r="AX59" s="153">
        <f t="shared" si="86"/>
        <v>434.348008617647</v>
      </c>
      <c r="AY59" s="153">
        <f t="shared" si="87"/>
        <v>1343.8465672511024</v>
      </c>
      <c r="AZ59" s="150">
        <f t="shared" si="88"/>
        <v>3.2954586333811368E-3</v>
      </c>
      <c r="BA59" s="148">
        <f t="shared" si="89"/>
        <v>36.414817898861564</v>
      </c>
      <c r="BB59" s="144">
        <v>6</v>
      </c>
      <c r="BC59" s="144">
        <v>16</v>
      </c>
      <c r="BD59" s="155">
        <f t="shared" si="90"/>
        <v>45.44</v>
      </c>
      <c r="BE59" s="53" t="str">
        <f t="shared" si="91"/>
        <v>OK</v>
      </c>
      <c r="BF59" s="148">
        <f t="shared" si="92"/>
        <v>0.2</v>
      </c>
      <c r="BG59" s="155" t="str">
        <f t="shared" si="93"/>
        <v>16#6@20</v>
      </c>
      <c r="BH59" s="197">
        <f t="shared" si="94"/>
        <v>0.80138243615452387</v>
      </c>
      <c r="BI59" s="349" t="str">
        <f>AW59</f>
        <v>Z3</v>
      </c>
      <c r="BJ59" s="153">
        <f t="shared" si="95"/>
        <v>1</v>
      </c>
      <c r="BK59" s="157">
        <v>0.85</v>
      </c>
      <c r="BL59" s="153">
        <f t="shared" si="96"/>
        <v>1.2686567164179103</v>
      </c>
      <c r="BM59" s="153">
        <f t="shared" si="97"/>
        <v>12445.5223880597</v>
      </c>
      <c r="BN59" s="155" t="s">
        <v>699</v>
      </c>
      <c r="BO59" s="155">
        <f t="shared" si="98"/>
        <v>0.75</v>
      </c>
      <c r="BP59" s="153">
        <f t="shared" si="99"/>
        <v>0</v>
      </c>
      <c r="BQ59" s="153">
        <f t="shared" si="100"/>
        <v>9.2317499999999999</v>
      </c>
      <c r="BR59" s="144">
        <v>8</v>
      </c>
      <c r="BS59" s="155" t="s">
        <v>191</v>
      </c>
      <c r="BT59" s="144">
        <v>5</v>
      </c>
      <c r="BU59" s="121"/>
      <c r="CF59" s="122"/>
      <c r="CG59" s="349" t="str">
        <f>CG21</f>
        <v>Z3</v>
      </c>
      <c r="CH59" s="153">
        <f t="shared" si="101"/>
        <v>15.92</v>
      </c>
      <c r="CI59" s="153">
        <f t="shared" si="102"/>
        <v>601.77599999999995</v>
      </c>
      <c r="CJ59" s="53" t="str">
        <f t="shared" si="103"/>
        <v>OK</v>
      </c>
      <c r="CR59" s="117"/>
    </row>
    <row r="60" spans="1:112" ht="15" customHeight="1" x14ac:dyDescent="0.25">
      <c r="A60" s="123"/>
      <c r="B60" s="124"/>
      <c r="C60" s="188"/>
      <c r="D60" s="124"/>
      <c r="E60" s="124"/>
      <c r="F60" s="124"/>
      <c r="G60" s="124"/>
      <c r="H60" s="125"/>
      <c r="I60" s="124"/>
      <c r="J60" s="124"/>
      <c r="K60" s="124"/>
      <c r="L60" s="126"/>
      <c r="M60" s="350"/>
      <c r="N60" s="147">
        <f t="shared" si="104"/>
        <v>1085.0432800000001</v>
      </c>
      <c r="O60" s="147">
        <f t="shared" si="105"/>
        <v>243.34392</v>
      </c>
      <c r="P60" s="147">
        <f t="shared" si="106"/>
        <v>15.309520000000001</v>
      </c>
      <c r="Q60" s="143">
        <f t="shared" si="72"/>
        <v>40</v>
      </c>
      <c r="R60" s="163">
        <f t="shared" si="73"/>
        <v>3.1428571428571432</v>
      </c>
      <c r="S60" s="163">
        <f t="shared" si="107"/>
        <v>1</v>
      </c>
      <c r="T60" s="155">
        <f t="shared" si="114"/>
        <v>4.2</v>
      </c>
      <c r="U60" s="164">
        <v>2</v>
      </c>
      <c r="V60" s="165">
        <f t="shared" si="74"/>
        <v>3.8820833333333339E-2</v>
      </c>
      <c r="W60" s="144">
        <v>0.35</v>
      </c>
      <c r="X60" s="144">
        <v>1.1000000000000001</v>
      </c>
      <c r="Y60" s="350"/>
      <c r="Z60" s="150">
        <f t="shared" si="108"/>
        <v>133.34693140647266</v>
      </c>
      <c r="AA60" s="150">
        <f t="shared" si="109"/>
        <v>59.051006309790367</v>
      </c>
      <c r="AB60" s="151">
        <f t="shared" si="110"/>
        <v>128.67274455526157</v>
      </c>
      <c r="AC60" s="150">
        <f t="shared" si="111"/>
        <v>54.376819458579298</v>
      </c>
      <c r="AD60" s="152">
        <f t="shared" si="112"/>
        <v>0.94496560491572468</v>
      </c>
      <c r="AE60" s="361" t="str">
        <f t="shared" si="113"/>
        <v>Zapata a compresión</v>
      </c>
      <c r="AF60" s="361"/>
      <c r="AG60" s="148">
        <f t="shared" si="75"/>
        <v>1844.573576</v>
      </c>
      <c r="AH60" s="150">
        <f t="shared" si="76"/>
        <v>120.48539575375321</v>
      </c>
      <c r="AI60" s="148">
        <f t="shared" si="77"/>
        <v>1844.573576</v>
      </c>
      <c r="AJ60" s="150">
        <f t="shared" si="78"/>
        <v>7.5801095667399458</v>
      </c>
      <c r="AK60" s="350"/>
      <c r="AL60" s="155">
        <f t="shared" si="79"/>
        <v>0.38500000000000001</v>
      </c>
      <c r="AM60" s="155">
        <f t="shared" si="80"/>
        <v>5.2650000000000006</v>
      </c>
      <c r="AN60" s="150">
        <f t="shared" si="81"/>
        <v>2</v>
      </c>
      <c r="AO60" s="150">
        <f t="shared" si="82"/>
        <v>11911.9</v>
      </c>
      <c r="AP60" s="53" t="str">
        <f t="shared" si="83"/>
        <v>OK</v>
      </c>
      <c r="AQ60" s="155" t="str">
        <f t="shared" si="84"/>
        <v>NO</v>
      </c>
      <c r="AR60" s="144">
        <v>10.125</v>
      </c>
      <c r="AS60" s="143" t="s">
        <v>730</v>
      </c>
      <c r="AT60" s="163">
        <f t="shared" si="85"/>
        <v>0.50624999999999998</v>
      </c>
      <c r="AU60" s="144">
        <v>0.55000000000000004</v>
      </c>
      <c r="AV60" s="144">
        <v>0.3</v>
      </c>
      <c r="AW60" s="350"/>
      <c r="AX60" s="153">
        <f t="shared" si="86"/>
        <v>454.36888144117643</v>
      </c>
      <c r="AY60" s="153">
        <f t="shared" si="87"/>
        <v>1405.7899414198907</v>
      </c>
      <c r="AZ60" s="150">
        <f t="shared" si="88"/>
        <v>3.4522798132199431E-3</v>
      </c>
      <c r="BA60" s="148">
        <f t="shared" si="89"/>
        <v>38.147691936080371</v>
      </c>
      <c r="BB60" s="144">
        <v>6</v>
      </c>
      <c r="BC60" s="144">
        <v>16</v>
      </c>
      <c r="BD60" s="155">
        <f t="shared" si="90"/>
        <v>45.44</v>
      </c>
      <c r="BE60" s="53" t="str">
        <f t="shared" si="91"/>
        <v>OK</v>
      </c>
      <c r="BF60" s="148">
        <f t="shared" si="92"/>
        <v>0.2</v>
      </c>
      <c r="BG60" s="155" t="str">
        <f t="shared" si="93"/>
        <v>16#6@20</v>
      </c>
      <c r="BH60" s="197">
        <f t="shared" si="94"/>
        <v>0.83951786831162789</v>
      </c>
      <c r="BI60" s="350"/>
      <c r="BJ60" s="153">
        <f t="shared" si="95"/>
        <v>1</v>
      </c>
      <c r="BK60" s="157">
        <v>0.85</v>
      </c>
      <c r="BL60" s="153">
        <f t="shared" si="96"/>
        <v>1.2686567164179103</v>
      </c>
      <c r="BM60" s="153">
        <f t="shared" si="97"/>
        <v>12445.5223880597</v>
      </c>
      <c r="BN60" s="155" t="s">
        <v>699</v>
      </c>
      <c r="BO60" s="155">
        <f t="shared" si="98"/>
        <v>0.75</v>
      </c>
      <c r="BP60" s="153">
        <f t="shared" si="99"/>
        <v>0</v>
      </c>
      <c r="BQ60" s="153">
        <f t="shared" si="100"/>
        <v>9.2317499999999999</v>
      </c>
      <c r="BR60" s="144">
        <v>8</v>
      </c>
      <c r="BS60" s="155" t="s">
        <v>191</v>
      </c>
      <c r="BT60" s="144">
        <v>5</v>
      </c>
      <c r="BU60" s="121"/>
      <c r="CF60" s="122"/>
      <c r="CG60" s="350"/>
      <c r="CH60" s="153">
        <f t="shared" si="101"/>
        <v>15.92</v>
      </c>
      <c r="CI60" s="153">
        <f t="shared" si="102"/>
        <v>601.77599999999995</v>
      </c>
      <c r="CJ60" s="53" t="str">
        <f t="shared" si="103"/>
        <v>OK</v>
      </c>
      <c r="CR60" s="117"/>
    </row>
    <row r="61" spans="1:112" ht="15" customHeight="1" x14ac:dyDescent="0.25">
      <c r="A61" s="123"/>
      <c r="B61" s="124"/>
      <c r="C61" s="188"/>
      <c r="D61" s="124"/>
      <c r="E61" s="124"/>
      <c r="F61" s="124"/>
      <c r="G61" s="124"/>
      <c r="H61" s="125"/>
      <c r="I61" s="124"/>
      <c r="J61" s="124"/>
      <c r="K61" s="124"/>
      <c r="L61" s="126"/>
      <c r="M61" s="349" t="str">
        <f>M23</f>
        <v>Z4</v>
      </c>
      <c r="N61" s="147">
        <f t="shared" si="104"/>
        <v>678.54088000000002</v>
      </c>
      <c r="O61" s="147">
        <f t="shared" si="105"/>
        <v>234.06064000000003</v>
      </c>
      <c r="P61" s="147">
        <f t="shared" si="106"/>
        <v>34.046080000000003</v>
      </c>
      <c r="Q61" s="143">
        <f t="shared" si="72"/>
        <v>30</v>
      </c>
      <c r="R61" s="163">
        <f t="shared" si="73"/>
        <v>3.1428571428571432</v>
      </c>
      <c r="S61" s="163">
        <f t="shared" si="107"/>
        <v>1.142857142857143</v>
      </c>
      <c r="T61" s="155">
        <f t="shared" si="114"/>
        <v>4.2</v>
      </c>
      <c r="U61" s="164">
        <v>2</v>
      </c>
      <c r="V61" s="165">
        <f t="shared" si="74"/>
        <v>3.8820833333333339E-2</v>
      </c>
      <c r="W61" s="144">
        <v>0.35</v>
      </c>
      <c r="X61" s="144">
        <v>1.1000000000000001</v>
      </c>
      <c r="Y61" s="349" t="str">
        <f>M61</f>
        <v>Z4</v>
      </c>
      <c r="Z61" s="150">
        <f t="shared" si="108"/>
        <v>132.85273054846942</v>
      </c>
      <c r="AA61" s="150">
        <f t="shared" si="109"/>
        <v>34.892083227040821</v>
      </c>
      <c r="AB61" s="151">
        <f t="shared" si="110"/>
        <v>116.56793463010206</v>
      </c>
      <c r="AC61" s="150">
        <f t="shared" si="111"/>
        <v>18.60728730867347</v>
      </c>
      <c r="AD61" s="152">
        <f t="shared" si="112"/>
        <v>0.94146344099033696</v>
      </c>
      <c r="AE61" s="361" t="str">
        <f t="shared" si="113"/>
        <v>Zapata a compresión</v>
      </c>
      <c r="AF61" s="361"/>
      <c r="AG61" s="148">
        <f t="shared" si="75"/>
        <v>949.95723199999998</v>
      </c>
      <c r="AH61" s="150">
        <f t="shared" si="76"/>
        <v>27.902103032125869</v>
      </c>
      <c r="AI61" s="148">
        <f t="shared" si="77"/>
        <v>2052.5861620000005</v>
      </c>
      <c r="AJ61" s="150">
        <f t="shared" si="78"/>
        <v>8.7694631698862313</v>
      </c>
      <c r="AK61" s="349" t="str">
        <f>Y61</f>
        <v>Z4</v>
      </c>
      <c r="AL61" s="155">
        <f t="shared" si="79"/>
        <v>0.38500000000000001</v>
      </c>
      <c r="AM61" s="155">
        <f t="shared" si="80"/>
        <v>5.2650000000000006</v>
      </c>
      <c r="AN61" s="150">
        <f t="shared" si="81"/>
        <v>2</v>
      </c>
      <c r="AO61" s="150">
        <f t="shared" si="82"/>
        <v>11911.9</v>
      </c>
      <c r="AP61" s="53" t="str">
        <f t="shared" si="83"/>
        <v>OK</v>
      </c>
      <c r="AQ61" s="155" t="str">
        <f t="shared" si="84"/>
        <v>SÍ</v>
      </c>
      <c r="AR61" s="144">
        <v>10.125</v>
      </c>
      <c r="AS61" s="143" t="s">
        <v>730</v>
      </c>
      <c r="AT61" s="163">
        <f t="shared" si="85"/>
        <v>0.50624999999999998</v>
      </c>
      <c r="AU61" s="144">
        <v>0.55000000000000004</v>
      </c>
      <c r="AV61" s="144">
        <v>0.3</v>
      </c>
      <c r="AW61" s="349" t="str">
        <f>AK61</f>
        <v>Z4</v>
      </c>
      <c r="AX61" s="153">
        <f t="shared" si="86"/>
        <v>321.60453032142857</v>
      </c>
      <c r="AY61" s="153">
        <f t="shared" si="87"/>
        <v>1208.2446898522721</v>
      </c>
      <c r="AZ61" s="150">
        <f t="shared" si="88"/>
        <v>2.9537554653325626E-3</v>
      </c>
      <c r="BA61" s="148">
        <f t="shared" si="89"/>
        <v>26.87917473452632</v>
      </c>
      <c r="BB61" s="144">
        <v>6</v>
      </c>
      <c r="BC61" s="144">
        <v>13</v>
      </c>
      <c r="BD61" s="155">
        <f t="shared" si="90"/>
        <v>36.92</v>
      </c>
      <c r="BE61" s="53" t="str">
        <f t="shared" si="91"/>
        <v>OK</v>
      </c>
      <c r="BF61" s="148">
        <f t="shared" si="92"/>
        <v>0.2</v>
      </c>
      <c r="BG61" s="155" t="str">
        <f t="shared" si="93"/>
        <v>13#6@20</v>
      </c>
      <c r="BH61" s="197">
        <f t="shared" si="94"/>
        <v>0.72803831891999782</v>
      </c>
      <c r="BI61" s="349" t="str">
        <f>AW61</f>
        <v>Z4</v>
      </c>
      <c r="BJ61" s="153">
        <f t="shared" si="95"/>
        <v>1.0476190476190477</v>
      </c>
      <c r="BK61" s="157">
        <v>0.85</v>
      </c>
      <c r="BL61" s="153">
        <f t="shared" si="96"/>
        <v>1.3290689410092396</v>
      </c>
      <c r="BM61" s="153">
        <f t="shared" si="97"/>
        <v>13038.166311300642</v>
      </c>
      <c r="BN61" s="155" t="s">
        <v>699</v>
      </c>
      <c r="BO61" s="155">
        <f t="shared" si="98"/>
        <v>0.75</v>
      </c>
      <c r="BP61" s="153">
        <f t="shared" si="99"/>
        <v>530.34716747516313</v>
      </c>
      <c r="BQ61" s="153">
        <f t="shared" si="100"/>
        <v>11.239323886205046</v>
      </c>
      <c r="BR61" s="144">
        <v>8</v>
      </c>
      <c r="BS61" s="155" t="s">
        <v>191</v>
      </c>
      <c r="BT61" s="144">
        <v>5</v>
      </c>
      <c r="BU61" s="121"/>
      <c r="CF61" s="122"/>
      <c r="CG61" s="349" t="str">
        <f>CG23</f>
        <v>Z4</v>
      </c>
      <c r="CH61" s="153">
        <f t="shared" si="101"/>
        <v>15.92</v>
      </c>
      <c r="CI61" s="153">
        <f t="shared" si="102"/>
        <v>601.77599999999995</v>
      </c>
      <c r="CJ61" s="53" t="str">
        <f t="shared" si="103"/>
        <v>OK</v>
      </c>
      <c r="CR61" s="117"/>
    </row>
    <row r="62" spans="1:112" ht="15" customHeight="1" x14ac:dyDescent="0.25">
      <c r="A62" s="123"/>
      <c r="B62" s="124"/>
      <c r="C62" s="188"/>
      <c r="D62" s="124"/>
      <c r="E62" s="124"/>
      <c r="F62" s="124"/>
      <c r="G62" s="124"/>
      <c r="H62" s="125"/>
      <c r="I62" s="124"/>
      <c r="J62" s="124"/>
      <c r="K62" s="124"/>
      <c r="L62" s="126"/>
      <c r="M62" s="350"/>
      <c r="N62" s="147">
        <f t="shared" si="104"/>
        <v>668.32791999999995</v>
      </c>
      <c r="O62" s="147">
        <f t="shared" si="105"/>
        <v>230.69479999999999</v>
      </c>
      <c r="P62" s="147">
        <f t="shared" si="106"/>
        <v>12.37096</v>
      </c>
      <c r="Q62" s="143">
        <f t="shared" si="72"/>
        <v>30</v>
      </c>
      <c r="R62" s="163">
        <f t="shared" si="73"/>
        <v>3.1428571428571432</v>
      </c>
      <c r="S62" s="163">
        <f t="shared" si="107"/>
        <v>1.142857142857143</v>
      </c>
      <c r="T62" s="155">
        <f t="shared" si="114"/>
        <v>4.2</v>
      </c>
      <c r="U62" s="164">
        <v>2</v>
      </c>
      <c r="V62" s="165">
        <f t="shared" si="74"/>
        <v>3.8820833333333339E-2</v>
      </c>
      <c r="W62" s="144">
        <v>0.35</v>
      </c>
      <c r="X62" s="144">
        <v>1.1000000000000001</v>
      </c>
      <c r="Y62" s="350"/>
      <c r="Z62" s="150">
        <f t="shared" si="108"/>
        <v>125.82476227678571</v>
      </c>
      <c r="AA62" s="150">
        <f t="shared" si="109"/>
        <v>29.272809151785715</v>
      </c>
      <c r="AB62" s="151">
        <f t="shared" si="110"/>
        <v>119.90753013392857</v>
      </c>
      <c r="AC62" s="150">
        <f t="shared" si="111"/>
        <v>23.355577008928577</v>
      </c>
      <c r="AD62" s="152">
        <f t="shared" si="112"/>
        <v>0.89165960809270373</v>
      </c>
      <c r="AE62" s="361" t="str">
        <f t="shared" si="113"/>
        <v>Zapata a compresión</v>
      </c>
      <c r="AF62" s="361"/>
      <c r="AG62" s="148">
        <f t="shared" si="75"/>
        <v>935.65908799999988</v>
      </c>
      <c r="AH62" s="150">
        <f t="shared" si="76"/>
        <v>75.633506857996466</v>
      </c>
      <c r="AI62" s="148">
        <f t="shared" si="77"/>
        <v>2021.6919580000001</v>
      </c>
      <c r="AJ62" s="150">
        <f t="shared" si="78"/>
        <v>8.763491669513142</v>
      </c>
      <c r="AK62" s="350"/>
      <c r="AL62" s="155">
        <f t="shared" si="79"/>
        <v>0.38500000000000001</v>
      </c>
      <c r="AM62" s="155">
        <f t="shared" si="80"/>
        <v>5.2650000000000006</v>
      </c>
      <c r="AN62" s="150">
        <f t="shared" si="81"/>
        <v>2</v>
      </c>
      <c r="AO62" s="150">
        <f t="shared" si="82"/>
        <v>11911.9</v>
      </c>
      <c r="AP62" s="53" t="str">
        <f t="shared" si="83"/>
        <v>OK</v>
      </c>
      <c r="AQ62" s="155" t="str">
        <f t="shared" si="84"/>
        <v>SÍ</v>
      </c>
      <c r="AR62" s="144">
        <v>10.125</v>
      </c>
      <c r="AS62" s="143" t="s">
        <v>730</v>
      </c>
      <c r="AT62" s="163">
        <f t="shared" si="85"/>
        <v>0.50624999999999998</v>
      </c>
      <c r="AU62" s="144">
        <v>0.55000000000000004</v>
      </c>
      <c r="AV62" s="144">
        <v>0.3</v>
      </c>
      <c r="AW62" s="350"/>
      <c r="AX62" s="153">
        <f t="shared" si="86"/>
        <v>316.92103610714281</v>
      </c>
      <c r="AY62" s="153">
        <f t="shared" si="87"/>
        <v>1190.649144762441</v>
      </c>
      <c r="AZ62" s="150">
        <f t="shared" si="88"/>
        <v>2.9095756557777639E-3</v>
      </c>
      <c r="BA62" s="148">
        <f t="shared" si="89"/>
        <v>26.47713846757765</v>
      </c>
      <c r="BB62" s="144">
        <v>6</v>
      </c>
      <c r="BC62" s="144">
        <v>13</v>
      </c>
      <c r="BD62" s="155">
        <f t="shared" si="90"/>
        <v>36.92</v>
      </c>
      <c r="BE62" s="53" t="str">
        <f t="shared" si="91"/>
        <v>OK</v>
      </c>
      <c r="BF62" s="148">
        <f t="shared" si="92"/>
        <v>0.2</v>
      </c>
      <c r="BG62" s="155" t="str">
        <f t="shared" si="93"/>
        <v>13#6@20</v>
      </c>
      <c r="BH62" s="197">
        <f t="shared" si="94"/>
        <v>0.71714892924099805</v>
      </c>
      <c r="BI62" s="350"/>
      <c r="BJ62" s="153">
        <f t="shared" si="95"/>
        <v>1.0476190476190477</v>
      </c>
      <c r="BK62" s="157">
        <v>0.85</v>
      </c>
      <c r="BL62" s="153">
        <f t="shared" si="96"/>
        <v>1.3290689410092396</v>
      </c>
      <c r="BM62" s="153">
        <f t="shared" si="97"/>
        <v>13038.166311300642</v>
      </c>
      <c r="BN62" s="155" t="s">
        <v>699</v>
      </c>
      <c r="BO62" s="155">
        <f t="shared" si="98"/>
        <v>0.75</v>
      </c>
      <c r="BP62" s="153">
        <f t="shared" si="99"/>
        <v>534.39588706334632</v>
      </c>
      <c r="BQ62" s="153">
        <f t="shared" si="100"/>
        <v>11.067747657388235</v>
      </c>
      <c r="BR62" s="144">
        <v>8</v>
      </c>
      <c r="BS62" s="155" t="s">
        <v>191</v>
      </c>
      <c r="BT62" s="144">
        <v>5</v>
      </c>
      <c r="BU62" s="121"/>
      <c r="CF62" s="122"/>
      <c r="CG62" s="350"/>
      <c r="CH62" s="153">
        <f t="shared" si="101"/>
        <v>15.92</v>
      </c>
      <c r="CI62" s="153">
        <f t="shared" si="102"/>
        <v>601.77599999999995</v>
      </c>
      <c r="CJ62" s="53" t="str">
        <f t="shared" si="103"/>
        <v>OK</v>
      </c>
      <c r="CR62" s="117"/>
    </row>
    <row r="63" spans="1:112" ht="15" customHeight="1" x14ac:dyDescent="0.25">
      <c r="A63" s="123"/>
      <c r="B63" s="124"/>
      <c r="C63" s="188"/>
      <c r="D63" s="124"/>
      <c r="E63" s="124"/>
      <c r="F63" s="124"/>
      <c r="G63" s="124"/>
      <c r="H63" s="125"/>
      <c r="I63" s="124"/>
      <c r="J63" s="124"/>
      <c r="K63" s="124"/>
      <c r="L63" s="126"/>
      <c r="M63" s="349" t="str">
        <f>M25</f>
        <v>Z4</v>
      </c>
      <c r="N63" s="147">
        <f t="shared" si="104"/>
        <v>677.92887999999994</v>
      </c>
      <c r="O63" s="147">
        <f t="shared" si="105"/>
        <v>233.69880000000001</v>
      </c>
      <c r="P63" s="147">
        <f t="shared" si="106"/>
        <v>33.684320000000007</v>
      </c>
      <c r="Q63" s="143">
        <f t="shared" si="72"/>
        <v>30</v>
      </c>
      <c r="R63" s="163">
        <f t="shared" si="73"/>
        <v>3.1428571428571432</v>
      </c>
      <c r="S63" s="163">
        <f t="shared" si="107"/>
        <v>1.142857142857143</v>
      </c>
      <c r="T63" s="155">
        <f t="shared" si="114"/>
        <v>4.2</v>
      </c>
      <c r="U63" s="164">
        <v>2</v>
      </c>
      <c r="V63" s="165">
        <f t="shared" si="74"/>
        <v>3.8820833333333339E-2</v>
      </c>
      <c r="W63" s="144">
        <v>0.35</v>
      </c>
      <c r="X63" s="144">
        <v>1.1000000000000001</v>
      </c>
      <c r="Y63" s="349" t="str">
        <f>M63</f>
        <v>Z4</v>
      </c>
      <c r="Z63" s="150">
        <f t="shared" si="108"/>
        <v>132.62218925382658</v>
      </c>
      <c r="AA63" s="150">
        <f t="shared" si="109"/>
        <v>34.812981664540814</v>
      </c>
      <c r="AB63" s="151">
        <f t="shared" si="110"/>
        <v>116.51042904974491</v>
      </c>
      <c r="AC63" s="150">
        <f t="shared" si="111"/>
        <v>18.701221460459173</v>
      </c>
      <c r="AD63" s="152">
        <f t="shared" si="112"/>
        <v>0.93982970565310475</v>
      </c>
      <c r="AE63" s="361" t="str">
        <f t="shared" si="113"/>
        <v>Zapata a compresión</v>
      </c>
      <c r="AF63" s="361"/>
      <c r="AG63" s="148">
        <f t="shared" si="75"/>
        <v>949.10043199999984</v>
      </c>
      <c r="AH63" s="150">
        <f t="shared" si="76"/>
        <v>28.17632750193561</v>
      </c>
      <c r="AI63" s="148">
        <f t="shared" si="77"/>
        <v>2050.7348620000002</v>
      </c>
      <c r="AJ63" s="150">
        <f t="shared" si="78"/>
        <v>8.7751193502063352</v>
      </c>
      <c r="AK63" s="349" t="str">
        <f>Y63</f>
        <v>Z4</v>
      </c>
      <c r="AL63" s="155">
        <f t="shared" si="79"/>
        <v>0.38500000000000001</v>
      </c>
      <c r="AM63" s="155">
        <f t="shared" si="80"/>
        <v>5.2650000000000006</v>
      </c>
      <c r="AN63" s="150">
        <f t="shared" si="81"/>
        <v>2</v>
      </c>
      <c r="AO63" s="150">
        <f t="shared" si="82"/>
        <v>11911.9</v>
      </c>
      <c r="AP63" s="53" t="str">
        <f t="shared" si="83"/>
        <v>OK</v>
      </c>
      <c r="AQ63" s="155" t="str">
        <f t="shared" si="84"/>
        <v>SÍ</v>
      </c>
      <c r="AR63" s="144">
        <v>10.125</v>
      </c>
      <c r="AS63" s="143" t="s">
        <v>730</v>
      </c>
      <c r="AT63" s="163">
        <f t="shared" si="85"/>
        <v>0.50624999999999998</v>
      </c>
      <c r="AU63" s="144">
        <v>0.55000000000000004</v>
      </c>
      <c r="AV63" s="144">
        <v>0.3</v>
      </c>
      <c r="AW63" s="349" t="str">
        <f>AK63</f>
        <v>Z4</v>
      </c>
      <c r="AX63" s="153">
        <f t="shared" si="86"/>
        <v>321.16373139285713</v>
      </c>
      <c r="AY63" s="153">
        <f t="shared" si="87"/>
        <v>1206.5886405291897</v>
      </c>
      <c r="AZ63" s="150">
        <f t="shared" si="88"/>
        <v>2.9495958215930039E-3</v>
      </c>
      <c r="BA63" s="148">
        <f t="shared" si="89"/>
        <v>26.841321976496339</v>
      </c>
      <c r="BB63" s="144">
        <v>6</v>
      </c>
      <c r="BC63" s="144">
        <v>13</v>
      </c>
      <c r="BD63" s="155">
        <f t="shared" si="90"/>
        <v>36.92</v>
      </c>
      <c r="BE63" s="53" t="str">
        <f t="shared" si="91"/>
        <v>OK</v>
      </c>
      <c r="BF63" s="148">
        <f t="shared" si="92"/>
        <v>0.2</v>
      </c>
      <c r="BG63" s="155" t="str">
        <f t="shared" si="93"/>
        <v>13#6@20</v>
      </c>
      <c r="BH63" s="197">
        <f t="shared" si="94"/>
        <v>0.72701305461799393</v>
      </c>
      <c r="BI63" s="349" t="str">
        <f>AW63</f>
        <v>Z4</v>
      </c>
      <c r="BJ63" s="153">
        <f t="shared" si="95"/>
        <v>1.0476190476190477</v>
      </c>
      <c r="BK63" s="157">
        <v>0.85</v>
      </c>
      <c r="BL63" s="153">
        <f t="shared" si="96"/>
        <v>1.3290689410092396</v>
      </c>
      <c r="BM63" s="153">
        <f t="shared" si="97"/>
        <v>13038.166311300642</v>
      </c>
      <c r="BN63" s="155" t="s">
        <v>699</v>
      </c>
      <c r="BO63" s="155">
        <f t="shared" si="98"/>
        <v>0.75</v>
      </c>
      <c r="BP63" s="153">
        <f t="shared" si="99"/>
        <v>530.05703485500226</v>
      </c>
      <c r="BQ63" s="153">
        <f t="shared" si="100"/>
        <v>11.231498412698411</v>
      </c>
      <c r="BR63" s="144">
        <v>8</v>
      </c>
      <c r="BS63" s="155" t="s">
        <v>191</v>
      </c>
      <c r="BT63" s="144">
        <v>5</v>
      </c>
      <c r="BU63" s="121"/>
      <c r="CF63" s="122"/>
      <c r="CG63" s="349" t="str">
        <f>CG25</f>
        <v>Z4</v>
      </c>
      <c r="CH63" s="153">
        <f t="shared" si="101"/>
        <v>15.92</v>
      </c>
      <c r="CI63" s="153">
        <f t="shared" si="102"/>
        <v>601.77599999999995</v>
      </c>
      <c r="CJ63" s="53" t="str">
        <f t="shared" si="103"/>
        <v>OK</v>
      </c>
      <c r="CR63" s="117"/>
    </row>
    <row r="64" spans="1:112" ht="15" customHeight="1" x14ac:dyDescent="0.25">
      <c r="A64" s="123"/>
      <c r="B64" s="124"/>
      <c r="C64" s="188"/>
      <c r="D64" s="124"/>
      <c r="E64" s="124"/>
      <c r="F64" s="124"/>
      <c r="G64" s="124"/>
      <c r="H64" s="125"/>
      <c r="I64" s="124"/>
      <c r="J64" s="124"/>
      <c r="K64" s="124"/>
      <c r="L64" s="126"/>
      <c r="M64" s="350"/>
      <c r="N64" s="147">
        <f t="shared" si="104"/>
        <v>667.62135999999998</v>
      </c>
      <c r="O64" s="147">
        <f t="shared" si="105"/>
        <v>230.37184000000002</v>
      </c>
      <c r="P64" s="147">
        <f t="shared" si="106"/>
        <v>11.939920000000001</v>
      </c>
      <c r="Q64" s="143">
        <f t="shared" si="72"/>
        <v>30</v>
      </c>
      <c r="R64" s="163">
        <f t="shared" si="73"/>
        <v>3.1428571428571432</v>
      </c>
      <c r="S64" s="163">
        <f t="shared" si="107"/>
        <v>1.142857142857143</v>
      </c>
      <c r="T64" s="155">
        <f t="shared" si="114"/>
        <v>4.2</v>
      </c>
      <c r="U64" s="164">
        <v>2</v>
      </c>
      <c r="V64" s="165">
        <f t="shared" si="74"/>
        <v>3.8820833333333339E-2</v>
      </c>
      <c r="W64" s="144">
        <v>0.35</v>
      </c>
      <c r="X64" s="144">
        <v>1.1000000000000001</v>
      </c>
      <c r="Y64" s="350"/>
      <c r="Z64" s="150">
        <f t="shared" si="108"/>
        <v>125.57523469387755</v>
      </c>
      <c r="AA64" s="150">
        <f t="shared" si="109"/>
        <v>29.158448979591849</v>
      </c>
      <c r="AB64" s="151">
        <f t="shared" si="110"/>
        <v>119.86417602040817</v>
      </c>
      <c r="AC64" s="150">
        <f t="shared" si="111"/>
        <v>23.447390306122454</v>
      </c>
      <c r="AD64" s="152">
        <f t="shared" si="112"/>
        <v>0.88989132605697241</v>
      </c>
      <c r="AE64" s="361" t="str">
        <f t="shared" si="113"/>
        <v>Zapata a compresión</v>
      </c>
      <c r="AF64" s="361"/>
      <c r="AG64" s="148">
        <f t="shared" si="75"/>
        <v>934.66990399999986</v>
      </c>
      <c r="AH64" s="150">
        <f t="shared" si="76"/>
        <v>78.281085970425252</v>
      </c>
      <c r="AI64" s="148">
        <f t="shared" si="77"/>
        <v>2019.5546140000001</v>
      </c>
      <c r="AJ64" s="150">
        <f t="shared" si="78"/>
        <v>8.7664994731995023</v>
      </c>
      <c r="AK64" s="350"/>
      <c r="AL64" s="155">
        <f t="shared" si="79"/>
        <v>0.38500000000000001</v>
      </c>
      <c r="AM64" s="155">
        <f t="shared" si="80"/>
        <v>5.2650000000000006</v>
      </c>
      <c r="AN64" s="150">
        <f t="shared" si="81"/>
        <v>2</v>
      </c>
      <c r="AO64" s="150">
        <f t="shared" si="82"/>
        <v>11911.9</v>
      </c>
      <c r="AP64" s="53" t="str">
        <f t="shared" si="83"/>
        <v>OK</v>
      </c>
      <c r="AQ64" s="155" t="str">
        <f t="shared" si="84"/>
        <v>SÍ</v>
      </c>
      <c r="AR64" s="144">
        <v>10.125</v>
      </c>
      <c r="AS64" s="143" t="s">
        <v>730</v>
      </c>
      <c r="AT64" s="163">
        <f t="shared" si="85"/>
        <v>0.50624999999999998</v>
      </c>
      <c r="AU64" s="144">
        <v>0.55000000000000004</v>
      </c>
      <c r="AV64" s="144">
        <v>0.3</v>
      </c>
      <c r="AW64" s="350"/>
      <c r="AX64" s="153">
        <f t="shared" si="86"/>
        <v>316.50691725000001</v>
      </c>
      <c r="AY64" s="153">
        <f t="shared" si="87"/>
        <v>1189.0933305156379</v>
      </c>
      <c r="AZ64" s="150">
        <f t="shared" si="88"/>
        <v>2.9056709835044467E-3</v>
      </c>
      <c r="BA64" s="148">
        <f t="shared" si="89"/>
        <v>26.441605949890466</v>
      </c>
      <c r="BB64" s="144">
        <v>6</v>
      </c>
      <c r="BC64" s="144">
        <v>13</v>
      </c>
      <c r="BD64" s="155">
        <f t="shared" si="90"/>
        <v>36.92</v>
      </c>
      <c r="BE64" s="53" t="str">
        <f t="shared" si="91"/>
        <v>OK</v>
      </c>
      <c r="BF64" s="148">
        <f t="shared" si="92"/>
        <v>0.2</v>
      </c>
      <c r="BG64" s="155" t="str">
        <f t="shared" si="93"/>
        <v>13#6@20</v>
      </c>
      <c r="BH64" s="197">
        <f t="shared" si="94"/>
        <v>0.71618651001870159</v>
      </c>
      <c r="BI64" s="350"/>
      <c r="BJ64" s="153">
        <f t="shared" si="95"/>
        <v>1.0476190476190477</v>
      </c>
      <c r="BK64" s="157">
        <v>0.85</v>
      </c>
      <c r="BL64" s="153">
        <f t="shared" si="96"/>
        <v>1.3290689410092396</v>
      </c>
      <c r="BM64" s="153">
        <f t="shared" si="97"/>
        <v>13038.166311300642</v>
      </c>
      <c r="BN64" s="155" t="s">
        <v>699</v>
      </c>
      <c r="BO64" s="155">
        <f t="shared" si="98"/>
        <v>0.75</v>
      </c>
      <c r="BP64" s="153">
        <f t="shared" si="99"/>
        <v>534.06853532969899</v>
      </c>
      <c r="BQ64" s="153">
        <f t="shared" si="100"/>
        <v>11.057259381949237</v>
      </c>
      <c r="BR64" s="144">
        <v>8</v>
      </c>
      <c r="BS64" s="155" t="s">
        <v>191</v>
      </c>
      <c r="BT64" s="144">
        <v>5</v>
      </c>
      <c r="BU64" s="121"/>
      <c r="CF64" s="122"/>
      <c r="CG64" s="350"/>
      <c r="CH64" s="153">
        <f t="shared" si="101"/>
        <v>15.92</v>
      </c>
      <c r="CI64" s="153">
        <f t="shared" si="102"/>
        <v>601.77599999999995</v>
      </c>
      <c r="CJ64" s="53" t="str">
        <f t="shared" si="103"/>
        <v>OK</v>
      </c>
      <c r="CR64" s="117"/>
    </row>
    <row r="65" spans="1:96" ht="15" customHeight="1" x14ac:dyDescent="0.25">
      <c r="A65" s="123"/>
      <c r="B65" s="124"/>
      <c r="C65" s="188"/>
      <c r="D65" s="124"/>
      <c r="E65" s="124"/>
      <c r="F65" s="124"/>
      <c r="G65" s="124"/>
      <c r="H65" s="125"/>
      <c r="I65" s="124"/>
      <c r="J65" s="124"/>
      <c r="K65" s="124"/>
      <c r="L65" s="126"/>
      <c r="M65" s="349" t="str">
        <f>M27</f>
        <v>Z3</v>
      </c>
      <c r="N65" s="147">
        <f t="shared" si="104"/>
        <v>1076.6592000000001</v>
      </c>
      <c r="O65" s="147">
        <f t="shared" si="105"/>
        <v>233.5292</v>
      </c>
      <c r="P65" s="147">
        <f t="shared" si="106"/>
        <v>12.13048</v>
      </c>
      <c r="Q65" s="143">
        <f t="shared" si="72"/>
        <v>40</v>
      </c>
      <c r="R65" s="163">
        <f t="shared" si="73"/>
        <v>3.1428571428571432</v>
      </c>
      <c r="S65" s="163">
        <f t="shared" si="107"/>
        <v>1</v>
      </c>
      <c r="T65" s="155">
        <f t="shared" si="114"/>
        <v>4.2</v>
      </c>
      <c r="U65" s="164">
        <v>2</v>
      </c>
      <c r="V65" s="165">
        <f t="shared" si="74"/>
        <v>3.8820833333333339E-2</v>
      </c>
      <c r="W65" s="144">
        <v>0.35</v>
      </c>
      <c r="X65" s="144">
        <v>1.1000000000000001</v>
      </c>
      <c r="Y65" s="349" t="str">
        <f>M65</f>
        <v>Z3</v>
      </c>
      <c r="Z65" s="150">
        <f t="shared" si="108"/>
        <v>130.63808670873195</v>
      </c>
      <c r="AA65" s="150">
        <f t="shared" si="109"/>
        <v>59.338717687767151</v>
      </c>
      <c r="AB65" s="151">
        <f t="shared" si="110"/>
        <v>126.93450030531245</v>
      </c>
      <c r="AC65" s="150">
        <f t="shared" si="111"/>
        <v>55.635131284347644</v>
      </c>
      <c r="AD65" s="152">
        <f t="shared" si="112"/>
        <v>0.92576932464572326</v>
      </c>
      <c r="AE65" s="361" t="str">
        <f t="shared" si="113"/>
        <v>Zapata a compresión</v>
      </c>
      <c r="AF65" s="361"/>
      <c r="AG65" s="148">
        <f t="shared" si="75"/>
        <v>1830.3206400000001</v>
      </c>
      <c r="AH65" s="150">
        <f t="shared" si="76"/>
        <v>150.88608529918025</v>
      </c>
      <c r="AI65" s="148">
        <f t="shared" si="77"/>
        <v>1830.3206400000001</v>
      </c>
      <c r="AJ65" s="150">
        <f t="shared" si="78"/>
        <v>7.8376521651253892</v>
      </c>
      <c r="AK65" s="349" t="str">
        <f>Y65</f>
        <v>Z3</v>
      </c>
      <c r="AL65" s="155">
        <f t="shared" si="79"/>
        <v>0.38500000000000001</v>
      </c>
      <c r="AM65" s="155">
        <f t="shared" si="80"/>
        <v>5.2650000000000006</v>
      </c>
      <c r="AN65" s="150">
        <f t="shared" si="81"/>
        <v>2</v>
      </c>
      <c r="AO65" s="150">
        <f t="shared" si="82"/>
        <v>11911.9</v>
      </c>
      <c r="AP65" s="53" t="str">
        <f t="shared" si="83"/>
        <v>OK</v>
      </c>
      <c r="AQ65" s="155" t="str">
        <f t="shared" si="84"/>
        <v>NO</v>
      </c>
      <c r="AR65" s="144">
        <v>10.125</v>
      </c>
      <c r="AS65" s="143" t="s">
        <v>730</v>
      </c>
      <c r="AT65" s="163">
        <f t="shared" si="85"/>
        <v>0.50624999999999998</v>
      </c>
      <c r="AU65" s="144">
        <v>0.55000000000000004</v>
      </c>
      <c r="AV65" s="144">
        <v>0.3</v>
      </c>
      <c r="AW65" s="349" t="str">
        <f>AK65</f>
        <v>Z3</v>
      </c>
      <c r="AX65" s="153">
        <f t="shared" si="86"/>
        <v>442.92358117647058</v>
      </c>
      <c r="AY65" s="153">
        <f t="shared" si="87"/>
        <v>1370.3788720314672</v>
      </c>
      <c r="AZ65" s="150">
        <f t="shared" si="88"/>
        <v>3.362573614458254E-3</v>
      </c>
      <c r="BA65" s="148">
        <f t="shared" si="89"/>
        <v>37.156438439763711</v>
      </c>
      <c r="BB65" s="144">
        <v>6</v>
      </c>
      <c r="BC65" s="144">
        <v>16</v>
      </c>
      <c r="BD65" s="155">
        <f t="shared" si="90"/>
        <v>45.44</v>
      </c>
      <c r="BE65" s="53" t="str">
        <f t="shared" si="91"/>
        <v>OK</v>
      </c>
      <c r="BF65" s="148">
        <f t="shared" si="92"/>
        <v>0.2</v>
      </c>
      <c r="BG65" s="155" t="str">
        <f t="shared" si="93"/>
        <v>16#6@20</v>
      </c>
      <c r="BH65" s="197">
        <f t="shared" si="94"/>
        <v>0.81770331073423663</v>
      </c>
      <c r="BI65" s="349" t="str">
        <f>AW65</f>
        <v>Z3</v>
      </c>
      <c r="BJ65" s="153">
        <f t="shared" si="95"/>
        <v>1</v>
      </c>
      <c r="BK65" s="157">
        <v>0.85</v>
      </c>
      <c r="BL65" s="153">
        <f t="shared" si="96"/>
        <v>1.2686567164179103</v>
      </c>
      <c r="BM65" s="153">
        <f t="shared" si="97"/>
        <v>12445.5223880597</v>
      </c>
      <c r="BN65" s="155" t="s">
        <v>699</v>
      </c>
      <c r="BO65" s="155">
        <f t="shared" si="98"/>
        <v>0.75</v>
      </c>
      <c r="BP65" s="153">
        <f t="shared" si="99"/>
        <v>0</v>
      </c>
      <c r="BQ65" s="153">
        <f t="shared" si="100"/>
        <v>9.2317499999999999</v>
      </c>
      <c r="BR65" s="144">
        <v>8</v>
      </c>
      <c r="BS65" s="155" t="s">
        <v>191</v>
      </c>
      <c r="BT65" s="144">
        <v>5</v>
      </c>
      <c r="BU65" s="121"/>
      <c r="CF65" s="122"/>
      <c r="CG65" s="349" t="str">
        <f>CG27</f>
        <v>Z3</v>
      </c>
      <c r="CH65" s="153">
        <f t="shared" si="101"/>
        <v>15.92</v>
      </c>
      <c r="CI65" s="153">
        <f t="shared" si="102"/>
        <v>601.77599999999995</v>
      </c>
      <c r="CJ65" s="53" t="str">
        <f t="shared" si="103"/>
        <v>OK</v>
      </c>
      <c r="CR65" s="117"/>
    </row>
    <row r="66" spans="1:96" ht="15" customHeight="1" x14ac:dyDescent="0.25">
      <c r="A66" s="123"/>
      <c r="B66" s="124"/>
      <c r="C66" s="188"/>
      <c r="D66" s="124"/>
      <c r="E66" s="124"/>
      <c r="F66" s="124"/>
      <c r="G66" s="124"/>
      <c r="H66" s="125"/>
      <c r="I66" s="124"/>
      <c r="J66" s="124"/>
      <c r="K66" s="124"/>
      <c r="L66" s="126"/>
      <c r="M66" s="350"/>
      <c r="N66" s="147">
        <f t="shared" si="104"/>
        <v>1073.4295999999999</v>
      </c>
      <c r="O66" s="147">
        <f t="shared" si="105"/>
        <v>232.08087999999998</v>
      </c>
      <c r="P66" s="147">
        <f t="shared" si="106"/>
        <v>12.610480000000001</v>
      </c>
      <c r="Q66" s="143">
        <f t="shared" si="72"/>
        <v>40</v>
      </c>
      <c r="R66" s="163">
        <f t="shared" si="73"/>
        <v>3.1428571428571432</v>
      </c>
      <c r="S66" s="163">
        <f t="shared" si="107"/>
        <v>1</v>
      </c>
      <c r="T66" s="155">
        <f t="shared" si="114"/>
        <v>4.2</v>
      </c>
      <c r="U66" s="164">
        <v>2</v>
      </c>
      <c r="V66" s="165">
        <f t="shared" si="74"/>
        <v>3.8820833333333339E-2</v>
      </c>
      <c r="W66" s="144">
        <v>0.35</v>
      </c>
      <c r="X66" s="144">
        <v>1.1000000000000001</v>
      </c>
      <c r="Y66" s="350"/>
      <c r="Z66" s="150">
        <f t="shared" si="108"/>
        <v>130.21088947689802</v>
      </c>
      <c r="AA66" s="150">
        <f t="shared" si="109"/>
        <v>59.35371056381031</v>
      </c>
      <c r="AB66" s="151">
        <f t="shared" si="110"/>
        <v>126.36075310400977</v>
      </c>
      <c r="AC66" s="150">
        <f t="shared" si="111"/>
        <v>55.503574190922045</v>
      </c>
      <c r="AD66" s="152">
        <f t="shared" si="112"/>
        <v>0.92274198321131307</v>
      </c>
      <c r="AE66" s="361" t="str">
        <f t="shared" si="113"/>
        <v>Zapata a compresión</v>
      </c>
      <c r="AF66" s="361"/>
      <c r="AG66" s="148">
        <f t="shared" si="75"/>
        <v>1824.8303199999998</v>
      </c>
      <c r="AH66" s="150">
        <f t="shared" si="76"/>
        <v>144.70744333284694</v>
      </c>
      <c r="AI66" s="148">
        <f t="shared" si="77"/>
        <v>1824.8303199999998</v>
      </c>
      <c r="AJ66" s="150">
        <f t="shared" si="78"/>
        <v>7.862906759057446</v>
      </c>
      <c r="AK66" s="350"/>
      <c r="AL66" s="155">
        <f t="shared" si="79"/>
        <v>0.38500000000000001</v>
      </c>
      <c r="AM66" s="155">
        <f t="shared" si="80"/>
        <v>5.2650000000000006</v>
      </c>
      <c r="AN66" s="150">
        <f t="shared" si="81"/>
        <v>2</v>
      </c>
      <c r="AO66" s="150">
        <f t="shared" si="82"/>
        <v>11911.9</v>
      </c>
      <c r="AP66" s="53" t="str">
        <f t="shared" si="83"/>
        <v>OK</v>
      </c>
      <c r="AQ66" s="155" t="str">
        <f t="shared" si="84"/>
        <v>NO</v>
      </c>
      <c r="AR66" s="144">
        <v>10.125</v>
      </c>
      <c r="AS66" s="143" t="s">
        <v>730</v>
      </c>
      <c r="AT66" s="163">
        <f t="shared" si="85"/>
        <v>0.50624999999999998</v>
      </c>
      <c r="AU66" s="144">
        <v>0.55000000000000004</v>
      </c>
      <c r="AV66" s="144">
        <v>0.3</v>
      </c>
      <c r="AW66" s="350"/>
      <c r="AX66" s="153">
        <f t="shared" si="86"/>
        <v>440.84715147058819</v>
      </c>
      <c r="AY66" s="153">
        <f t="shared" si="87"/>
        <v>1363.9545236356521</v>
      </c>
      <c r="AZ66" s="150">
        <f t="shared" si="88"/>
        <v>3.3463151069899246E-3</v>
      </c>
      <c r="BA66" s="148">
        <f t="shared" si="89"/>
        <v>36.976781932238666</v>
      </c>
      <c r="BB66" s="144">
        <v>6</v>
      </c>
      <c r="BC66" s="144">
        <v>16</v>
      </c>
      <c r="BD66" s="155">
        <f t="shared" si="90"/>
        <v>45.44</v>
      </c>
      <c r="BE66" s="53" t="str">
        <f t="shared" si="91"/>
        <v>OK</v>
      </c>
      <c r="BF66" s="148">
        <f t="shared" si="92"/>
        <v>0.2</v>
      </c>
      <c r="BG66" s="155" t="str">
        <f t="shared" si="93"/>
        <v>16#6@20</v>
      </c>
      <c r="BH66" s="197">
        <f t="shared" si="94"/>
        <v>0.81374960238201288</v>
      </c>
      <c r="BI66" s="350"/>
      <c r="BJ66" s="153">
        <f t="shared" si="95"/>
        <v>1</v>
      </c>
      <c r="BK66" s="157">
        <v>0.85</v>
      </c>
      <c r="BL66" s="153">
        <f t="shared" si="96"/>
        <v>1.2686567164179103</v>
      </c>
      <c r="BM66" s="153">
        <f t="shared" si="97"/>
        <v>12445.5223880597</v>
      </c>
      <c r="BN66" s="155" t="s">
        <v>699</v>
      </c>
      <c r="BO66" s="155">
        <f t="shared" si="98"/>
        <v>0.75</v>
      </c>
      <c r="BP66" s="153">
        <f t="shared" si="99"/>
        <v>0</v>
      </c>
      <c r="BQ66" s="153">
        <f t="shared" si="100"/>
        <v>9.2317499999999999</v>
      </c>
      <c r="BR66" s="144">
        <v>8</v>
      </c>
      <c r="BS66" s="155" t="s">
        <v>191</v>
      </c>
      <c r="BT66" s="144">
        <v>5</v>
      </c>
      <c r="BU66" s="121"/>
      <c r="CF66" s="122"/>
      <c r="CG66" s="350"/>
      <c r="CH66" s="153">
        <f t="shared" si="101"/>
        <v>15.92</v>
      </c>
      <c r="CI66" s="153">
        <f t="shared" si="102"/>
        <v>601.77599999999995</v>
      </c>
      <c r="CJ66" s="53" t="str">
        <f t="shared" si="103"/>
        <v>OK</v>
      </c>
      <c r="CR66" s="117"/>
    </row>
    <row r="67" spans="1:96" ht="15" customHeight="1" x14ac:dyDescent="0.25">
      <c r="A67" s="123"/>
      <c r="B67" s="124"/>
      <c r="C67" s="188"/>
      <c r="D67" s="124"/>
      <c r="E67" s="124"/>
      <c r="F67" s="124"/>
      <c r="G67" s="124"/>
      <c r="H67" s="125"/>
      <c r="I67" s="124"/>
      <c r="J67" s="124"/>
      <c r="K67" s="124"/>
      <c r="L67" s="126"/>
      <c r="M67" s="349" t="str">
        <f>M29</f>
        <v>Z4</v>
      </c>
      <c r="N67" s="147">
        <f t="shared" si="104"/>
        <v>678.10352</v>
      </c>
      <c r="O67" s="147">
        <f t="shared" si="105"/>
        <v>232.23919999999998</v>
      </c>
      <c r="P67" s="147">
        <f t="shared" si="106"/>
        <v>12.16272</v>
      </c>
      <c r="Q67" s="143">
        <f t="shared" si="72"/>
        <v>30</v>
      </c>
      <c r="R67" s="163">
        <f t="shared" si="73"/>
        <v>3.1428571428571432</v>
      </c>
      <c r="S67" s="163">
        <f>MAX(AA29,AC29)/MIN(AA29,AC29)</f>
        <v>1.142857142857143</v>
      </c>
      <c r="T67" s="155">
        <f t="shared" si="114"/>
        <v>4.2</v>
      </c>
      <c r="U67" s="164">
        <v>2</v>
      </c>
      <c r="V67" s="165">
        <f t="shared" si="74"/>
        <v>3.8820833333333339E-2</v>
      </c>
      <c r="W67" s="144">
        <v>0.35</v>
      </c>
      <c r="X67" s="144">
        <v>1.1000000000000001</v>
      </c>
      <c r="Y67" s="349" t="str">
        <f>M67</f>
        <v>Z4</v>
      </c>
      <c r="Z67" s="150">
        <f>N67/(AA29*AC29)*(1+6*AD29/AC29+6*AE29/AA29)</f>
        <v>127.1891731505102</v>
      </c>
      <c r="AA67" s="150">
        <f>N67/(AA29*AC29)*(1+6*AD29/AC29-6*AE29/AA29)</f>
        <v>29.990847257653073</v>
      </c>
      <c r="AB67" s="151">
        <f>N67/(AA29*AC29)*(1-6*AD29/AC29+6*AE29/AA29)</f>
        <v>121.37154559948981</v>
      </c>
      <c r="AC67" s="150">
        <f>N67/(AA29*AC29)*(1-6*AD29/AC29-6*AE29/AA29)</f>
        <v>24.173219706632672</v>
      </c>
      <c r="AD67" s="152">
        <f t="shared" si="112"/>
        <v>0.90132853210200481</v>
      </c>
      <c r="AE67" s="361" t="str">
        <f>IF(AND(AD29&lt;AC29/6,AE29&lt;AA29/6),"Zapata a compresión","Hay tensiones en la zapata")</f>
        <v>Zapata a compresión</v>
      </c>
      <c r="AF67" s="361"/>
      <c r="AG67" s="148">
        <f t="shared" si="75"/>
        <v>949.34492799999998</v>
      </c>
      <c r="AH67" s="150">
        <f t="shared" si="76"/>
        <v>78.053669573911094</v>
      </c>
      <c r="AI67" s="148">
        <f t="shared" si="77"/>
        <v>2051.2631480000005</v>
      </c>
      <c r="AJ67" s="150">
        <f t="shared" si="78"/>
        <v>8.8325448416977004</v>
      </c>
      <c r="AK67" s="349" t="str">
        <f>Y67</f>
        <v>Z4</v>
      </c>
      <c r="AL67" s="155">
        <f t="shared" si="79"/>
        <v>0.38500000000000001</v>
      </c>
      <c r="AM67" s="155">
        <f t="shared" si="80"/>
        <v>5.2650000000000006</v>
      </c>
      <c r="AN67" s="150">
        <f t="shared" si="81"/>
        <v>2</v>
      </c>
      <c r="AO67" s="150">
        <f t="shared" si="82"/>
        <v>11911.9</v>
      </c>
      <c r="AP67" s="53" t="str">
        <f t="shared" si="83"/>
        <v>OK</v>
      </c>
      <c r="AQ67" s="155" t="str">
        <f t="shared" si="84"/>
        <v>SÍ</v>
      </c>
      <c r="AR67" s="144">
        <v>10.125</v>
      </c>
      <c r="AS67" s="143" t="s">
        <v>730</v>
      </c>
      <c r="AT67" s="163">
        <f t="shared" si="85"/>
        <v>0.50624999999999998</v>
      </c>
      <c r="AU67" s="144">
        <v>0.55000000000000004</v>
      </c>
      <c r="AV67" s="144">
        <v>0.3</v>
      </c>
      <c r="AW67" s="349" t="str">
        <f>AK67</f>
        <v>Z4</v>
      </c>
      <c r="AX67" s="153">
        <f t="shared" si="86"/>
        <v>319.72666307142856</v>
      </c>
      <c r="AY67" s="153">
        <f t="shared" si="87"/>
        <v>1201.1896799903391</v>
      </c>
      <c r="AZ67" s="150">
        <f t="shared" si="88"/>
        <v>2.9360370170683921E-3</v>
      </c>
      <c r="BA67" s="148">
        <f t="shared" si="89"/>
        <v>26.717936855322368</v>
      </c>
      <c r="BB67" s="144">
        <v>6</v>
      </c>
      <c r="BC67" s="144">
        <v>13</v>
      </c>
      <c r="BD67" s="155">
        <f t="shared" si="90"/>
        <v>36.92</v>
      </c>
      <c r="BE67" s="53" t="str">
        <f t="shared" si="91"/>
        <v>OK</v>
      </c>
      <c r="BF67" s="148">
        <f t="shared" si="92"/>
        <v>0.2</v>
      </c>
      <c r="BG67" s="155" t="str">
        <f t="shared" si="93"/>
        <v>13#6@20</v>
      </c>
      <c r="BH67" s="197">
        <f t="shared" si="94"/>
        <v>0.72367109575629374</v>
      </c>
      <c r="BI67" s="349" t="str">
        <f>AW67</f>
        <v>Z4</v>
      </c>
      <c r="BJ67" s="153">
        <f t="shared" si="95"/>
        <v>1.0476190476190477</v>
      </c>
      <c r="BK67" s="157">
        <v>0.85</v>
      </c>
      <c r="BL67" s="153">
        <f t="shared" si="96"/>
        <v>1.3290689410092396</v>
      </c>
      <c r="BM67" s="153">
        <f t="shared" si="97"/>
        <v>13038.166311300642</v>
      </c>
      <c r="BN67" s="155" t="s">
        <v>699</v>
      </c>
      <c r="BO67" s="155">
        <f t="shared" si="98"/>
        <v>0.75</v>
      </c>
      <c r="BP67" s="153">
        <f t="shared" si="99"/>
        <v>542.43372722121148</v>
      </c>
      <c r="BQ67" s="153">
        <f t="shared" si="100"/>
        <v>11.257699808296911</v>
      </c>
      <c r="BR67" s="144">
        <v>8</v>
      </c>
      <c r="BS67" s="155" t="s">
        <v>191</v>
      </c>
      <c r="BT67" s="144">
        <v>5</v>
      </c>
      <c r="BU67" s="121"/>
      <c r="CF67" s="122"/>
      <c r="CG67" s="349" t="str">
        <f>CG29</f>
        <v>Z4</v>
      </c>
      <c r="CH67" s="153">
        <f t="shared" si="101"/>
        <v>15.92</v>
      </c>
      <c r="CI67" s="153">
        <f t="shared" si="102"/>
        <v>601.77599999999995</v>
      </c>
      <c r="CJ67" s="53" t="str">
        <f t="shared" si="103"/>
        <v>OK</v>
      </c>
      <c r="CR67" s="117"/>
    </row>
    <row r="68" spans="1:96" ht="15" customHeight="1" x14ac:dyDescent="0.25">
      <c r="A68" s="123"/>
      <c r="B68" s="124"/>
      <c r="C68" s="188"/>
      <c r="D68" s="124"/>
      <c r="E68" s="124"/>
      <c r="F68" s="124"/>
      <c r="G68" s="124"/>
      <c r="H68" s="125"/>
      <c r="I68" s="124"/>
      <c r="J68" s="124"/>
      <c r="K68" s="124"/>
      <c r="L68" s="126"/>
      <c r="M68" s="350"/>
      <c r="N68" s="147">
        <f t="shared" si="104"/>
        <v>667.80895999999996</v>
      </c>
      <c r="O68" s="147">
        <f t="shared" si="105"/>
        <v>230.06399999999999</v>
      </c>
      <c r="P68" s="147">
        <f t="shared" si="106"/>
        <v>33.872480000000003</v>
      </c>
      <c r="Q68" s="143">
        <f t="shared" si="72"/>
        <v>30</v>
      </c>
      <c r="R68" s="163">
        <f t="shared" si="73"/>
        <v>3.1428571428571432</v>
      </c>
      <c r="S68" s="163">
        <f>MAX(AA30,AC30)/MIN(AA30,AC30)</f>
        <v>1.142857142857143</v>
      </c>
      <c r="T68" s="155">
        <f t="shared" si="114"/>
        <v>4.2</v>
      </c>
      <c r="U68" s="164">
        <v>2</v>
      </c>
      <c r="V68" s="165">
        <f t="shared" si="74"/>
        <v>3.8820833333333339E-2</v>
      </c>
      <c r="W68" s="144">
        <v>0.35</v>
      </c>
      <c r="X68" s="144">
        <v>1.1000000000000001</v>
      </c>
      <c r="Y68" s="350"/>
      <c r="Z68" s="150">
        <f>N68/(AA30*AC30)*(1+6*AD30/AC30+6*AE30/AA30)</f>
        <v>130.77710331632653</v>
      </c>
      <c r="AA68" s="150">
        <f>N68/(AA30*AC30)*(1+6*AD30/AC30-6*AE30/AA30)</f>
        <v>34.489156887755101</v>
      </c>
      <c r="AB68" s="151">
        <f>N68/(AA30*AC30)*(1-6*AD30/AC30+6*AE30/AA30)</f>
        <v>114.57534311224489</v>
      </c>
      <c r="AC68" s="150">
        <f>N68/(AA30*AC30)*(1-6*AD30/AC30-6*AE30/AA30)</f>
        <v>18.287396683673467</v>
      </c>
      <c r="AD68" s="152">
        <f t="shared" si="112"/>
        <v>0.92675446852045196</v>
      </c>
      <c r="AE68" s="361" t="str">
        <f>IF(AND(AD30&lt;AC30/6,AE30&lt;AA30/6),"Zapata a compresión","Hay tensiones en la zapata")</f>
        <v>Zapata a compresión</v>
      </c>
      <c r="AF68" s="361"/>
      <c r="AG68" s="148">
        <f t="shared" si="75"/>
        <v>934.93254399999989</v>
      </c>
      <c r="AH68" s="150">
        <f t="shared" si="76"/>
        <v>27.601538003712744</v>
      </c>
      <c r="AI68" s="148">
        <f t="shared" si="77"/>
        <v>2020.122104</v>
      </c>
      <c r="AJ68" s="150">
        <f t="shared" si="78"/>
        <v>8.7806962584324371</v>
      </c>
      <c r="AK68" s="350"/>
      <c r="AL68" s="155">
        <f t="shared" si="79"/>
        <v>0.38500000000000001</v>
      </c>
      <c r="AM68" s="155">
        <f t="shared" si="80"/>
        <v>5.2650000000000006</v>
      </c>
      <c r="AN68" s="150">
        <f t="shared" si="81"/>
        <v>2</v>
      </c>
      <c r="AO68" s="150">
        <f t="shared" si="82"/>
        <v>11911.9</v>
      </c>
      <c r="AP68" s="53" t="str">
        <f t="shared" si="83"/>
        <v>OK</v>
      </c>
      <c r="AQ68" s="155" t="str">
        <f t="shared" si="84"/>
        <v>SÍ</v>
      </c>
      <c r="AR68" s="144">
        <v>10.125</v>
      </c>
      <c r="AS68" s="143" t="s">
        <v>730</v>
      </c>
      <c r="AT68" s="163">
        <f t="shared" si="85"/>
        <v>0.50624999999999998</v>
      </c>
      <c r="AU68" s="144">
        <v>0.55000000000000004</v>
      </c>
      <c r="AV68" s="144">
        <v>0.3</v>
      </c>
      <c r="AW68" s="350"/>
      <c r="AX68" s="153">
        <f t="shared" si="86"/>
        <v>316.22328099999999</v>
      </c>
      <c r="AY68" s="153">
        <f t="shared" si="87"/>
        <v>1188.0277298769604</v>
      </c>
      <c r="AZ68" s="150">
        <f t="shared" si="88"/>
        <v>2.9029967782143794E-3</v>
      </c>
      <c r="BA68" s="148">
        <f t="shared" si="89"/>
        <v>26.417270681750853</v>
      </c>
      <c r="BB68" s="144">
        <v>6</v>
      </c>
      <c r="BC68" s="144">
        <v>13</v>
      </c>
      <c r="BD68" s="155">
        <f t="shared" si="90"/>
        <v>36.92</v>
      </c>
      <c r="BE68" s="53" t="str">
        <f t="shared" si="91"/>
        <v>OK</v>
      </c>
      <c r="BF68" s="148">
        <f t="shared" si="92"/>
        <v>0.2</v>
      </c>
      <c r="BG68" s="155" t="str">
        <f t="shared" si="93"/>
        <v>13#6@20</v>
      </c>
      <c r="BH68" s="197">
        <f t="shared" si="94"/>
        <v>0.71552737491199492</v>
      </c>
      <c r="BI68" s="350"/>
      <c r="BJ68" s="153">
        <f t="shared" si="95"/>
        <v>1.0476190476190477</v>
      </c>
      <c r="BK68" s="157">
        <v>0.85</v>
      </c>
      <c r="BL68" s="153">
        <f t="shared" si="96"/>
        <v>1.3290689410092396</v>
      </c>
      <c r="BM68" s="153">
        <f t="shared" si="97"/>
        <v>13038.166311300642</v>
      </c>
      <c r="BN68" s="155" t="s">
        <v>699</v>
      </c>
      <c r="BO68" s="155">
        <f t="shared" si="98"/>
        <v>0.75</v>
      </c>
      <c r="BP68" s="153">
        <f t="shared" si="99"/>
        <v>521.75166824836811</v>
      </c>
      <c r="BQ68" s="153">
        <f t="shared" si="100"/>
        <v>11.066080331262938</v>
      </c>
      <c r="BR68" s="144">
        <v>8</v>
      </c>
      <c r="BS68" s="155" t="s">
        <v>191</v>
      </c>
      <c r="BT68" s="144">
        <v>5</v>
      </c>
      <c r="BU68" s="121"/>
      <c r="CF68" s="122"/>
      <c r="CG68" s="350"/>
      <c r="CH68" s="153">
        <f t="shared" si="101"/>
        <v>15.92</v>
      </c>
      <c r="CI68" s="153">
        <f t="shared" si="102"/>
        <v>601.77599999999995</v>
      </c>
      <c r="CJ68" s="53" t="str">
        <f t="shared" si="103"/>
        <v>OK</v>
      </c>
      <c r="CR68" s="117"/>
    </row>
    <row r="69" spans="1:96" ht="15" customHeight="1" x14ac:dyDescent="0.25">
      <c r="A69" s="123"/>
      <c r="B69" s="124"/>
      <c r="C69" s="188"/>
      <c r="D69" s="124"/>
      <c r="E69" s="124"/>
      <c r="F69" s="124"/>
      <c r="G69" s="124"/>
      <c r="H69" s="125"/>
      <c r="I69" s="124"/>
      <c r="J69" s="124"/>
      <c r="K69" s="124"/>
      <c r="L69" s="126"/>
      <c r="M69" s="349" t="str">
        <f>M31</f>
        <v>Z1</v>
      </c>
      <c r="N69" s="147">
        <f t="shared" si="104"/>
        <v>602.46750000000009</v>
      </c>
      <c r="O69" s="147">
        <f t="shared" si="105"/>
        <v>28.504200000000001</v>
      </c>
      <c r="P69" s="147">
        <f t="shared" si="106"/>
        <v>53.890500000000003</v>
      </c>
      <c r="Q69" s="143">
        <f t="shared" si="72"/>
        <v>20</v>
      </c>
      <c r="R69" s="163">
        <f t="shared" si="73"/>
        <v>3.1428571428571432</v>
      </c>
      <c r="S69" s="163">
        <f t="shared" si="107"/>
        <v>1</v>
      </c>
      <c r="T69" s="155">
        <f>2*(W69+X69+2*V31)</f>
        <v>4.2</v>
      </c>
      <c r="U69" s="164">
        <v>2</v>
      </c>
      <c r="V69" s="165">
        <f>W69*X69^3/12</f>
        <v>3.9302083333333324E-3</v>
      </c>
      <c r="W69" s="144">
        <v>1.1000000000000001</v>
      </c>
      <c r="X69" s="144">
        <v>0.35</v>
      </c>
      <c r="Y69" s="349" t="str">
        <f>M69</f>
        <v>Z1</v>
      </c>
      <c r="Z69" s="150">
        <f t="shared" si="108"/>
        <v>107.75951074531321</v>
      </c>
      <c r="AA69" s="150">
        <f t="shared" si="109"/>
        <v>90.381550068587103</v>
      </c>
      <c r="AB69" s="151">
        <f t="shared" si="110"/>
        <v>74.904458161865563</v>
      </c>
      <c r="AC69" s="150">
        <f t="shared" si="111"/>
        <v>57.526497485139458</v>
      </c>
      <c r="AD69" s="152">
        <f t="shared" si="112"/>
        <v>0.76363985419708469</v>
      </c>
      <c r="AE69" s="361" t="str">
        <f t="shared" si="113"/>
        <v>Zapata a compresión</v>
      </c>
      <c r="AF69" s="361"/>
      <c r="AG69" s="148">
        <f t="shared" si="75"/>
        <v>1521.2304375000003</v>
      </c>
      <c r="AH69" s="150">
        <f t="shared" si="76"/>
        <v>28.228174492721358</v>
      </c>
      <c r="AI69" s="148">
        <f t="shared" si="77"/>
        <v>1295.3051250000003</v>
      </c>
      <c r="AJ69" s="150">
        <f t="shared" si="78"/>
        <v>45.442605826509791</v>
      </c>
      <c r="AK69" s="349" t="str">
        <f>Y69</f>
        <v>Z1</v>
      </c>
      <c r="AL69" s="155">
        <f t="shared" si="79"/>
        <v>0.38500000000000001</v>
      </c>
      <c r="AM69" s="155">
        <f t="shared" si="80"/>
        <v>5.2650000000000006</v>
      </c>
      <c r="AN69" s="150">
        <f t="shared" si="81"/>
        <v>2</v>
      </c>
      <c r="AO69" s="150">
        <f t="shared" si="82"/>
        <v>11911.9</v>
      </c>
      <c r="AP69" s="53" t="str">
        <f t="shared" si="83"/>
        <v>OK</v>
      </c>
      <c r="AQ69" s="155" t="str">
        <f t="shared" si="84"/>
        <v>SÍ</v>
      </c>
      <c r="AR69" s="144">
        <v>10.125</v>
      </c>
      <c r="AS69" s="143" t="s">
        <v>730</v>
      </c>
      <c r="AT69" s="163">
        <f t="shared" si="85"/>
        <v>0.50624999999999998</v>
      </c>
      <c r="AU69" s="144">
        <v>0.55000000000000004</v>
      </c>
      <c r="AV69" s="144">
        <v>0.3</v>
      </c>
      <c r="AW69" s="349" t="str">
        <f>AK69</f>
        <v>Z1</v>
      </c>
      <c r="AX69" s="153">
        <f t="shared" si="86"/>
        <v>182.53784670138893</v>
      </c>
      <c r="AY69" s="153">
        <f t="shared" si="87"/>
        <v>711.18064314954154</v>
      </c>
      <c r="AZ69" s="150">
        <f t="shared" si="88"/>
        <v>1.8E-3</v>
      </c>
      <c r="BA69" s="148">
        <f t="shared" si="89"/>
        <v>15.795000000000002</v>
      </c>
      <c r="BB69" s="144">
        <v>5</v>
      </c>
      <c r="BC69" s="144">
        <v>13</v>
      </c>
      <c r="BD69" s="155">
        <f t="shared" si="90"/>
        <v>25.87</v>
      </c>
      <c r="BE69" s="53" t="str">
        <f t="shared" si="91"/>
        <v>OK</v>
      </c>
      <c r="BF69" s="148">
        <f t="shared" si="92"/>
        <v>0.2</v>
      </c>
      <c r="BG69" s="155" t="str">
        <f t="shared" si="93"/>
        <v>13#5@20</v>
      </c>
      <c r="BH69" s="197">
        <f t="shared" si="94"/>
        <v>0.61055276381909551</v>
      </c>
      <c r="BI69" s="349" t="str">
        <f>AW69</f>
        <v>Z1</v>
      </c>
      <c r="BJ69" s="153">
        <f t="shared" si="95"/>
        <v>1</v>
      </c>
      <c r="BK69" s="157">
        <v>0.85</v>
      </c>
      <c r="BL69" s="153">
        <f t="shared" si="96"/>
        <v>1.2686567164179103</v>
      </c>
      <c r="BM69" s="153">
        <f t="shared" si="97"/>
        <v>12445.5223880597</v>
      </c>
      <c r="BN69" s="155" t="s">
        <v>699</v>
      </c>
      <c r="BO69" s="155">
        <f t="shared" si="98"/>
        <v>0.75</v>
      </c>
      <c r="BP69" s="153">
        <f t="shared" si="99"/>
        <v>224.0546189862543</v>
      </c>
      <c r="BQ69" s="153">
        <f t="shared" si="100"/>
        <v>9.2317499999999999</v>
      </c>
      <c r="BR69" s="144">
        <v>8</v>
      </c>
      <c r="BS69" s="155" t="s">
        <v>191</v>
      </c>
      <c r="BT69" s="144">
        <v>5</v>
      </c>
      <c r="BU69" s="121"/>
      <c r="CF69" s="122"/>
      <c r="CG69" s="349" t="str">
        <f>CG31</f>
        <v>Z1</v>
      </c>
      <c r="CH69" s="153">
        <f t="shared" si="101"/>
        <v>15.92</v>
      </c>
      <c r="CI69" s="153">
        <f t="shared" si="102"/>
        <v>601.77599999999995</v>
      </c>
      <c r="CJ69" s="53" t="str">
        <f t="shared" si="103"/>
        <v>OK</v>
      </c>
      <c r="CR69" s="117"/>
    </row>
    <row r="70" spans="1:96" ht="15" customHeight="1" x14ac:dyDescent="0.25">
      <c r="A70" s="123"/>
      <c r="B70" s="362" t="s">
        <v>733</v>
      </c>
      <c r="C70" s="362"/>
      <c r="D70" s="362"/>
      <c r="E70" s="362"/>
      <c r="F70" s="362"/>
      <c r="G70" s="362"/>
      <c r="H70" s="362"/>
      <c r="I70" s="362"/>
      <c r="J70" s="362"/>
      <c r="K70" s="362"/>
      <c r="L70" s="126"/>
      <c r="M70" s="350"/>
      <c r="N70" s="147">
        <f t="shared" si="104"/>
        <v>547.35190000000011</v>
      </c>
      <c r="O70" s="147">
        <f t="shared" si="105"/>
        <v>41.089100000000002</v>
      </c>
      <c r="P70" s="147">
        <f t="shared" si="106"/>
        <v>146.39699999999999</v>
      </c>
      <c r="Q70" s="143">
        <f t="shared" si="72"/>
        <v>20</v>
      </c>
      <c r="R70" s="163">
        <f t="shared" si="73"/>
        <v>3.1428571428571432</v>
      </c>
      <c r="S70" s="163">
        <f t="shared" si="107"/>
        <v>1</v>
      </c>
      <c r="T70" s="155">
        <f t="shared" si="114"/>
        <v>4.2</v>
      </c>
      <c r="U70" s="164">
        <v>2</v>
      </c>
      <c r="V70" s="165">
        <f t="shared" si="74"/>
        <v>3.9302083333333324E-3</v>
      </c>
      <c r="W70" s="144">
        <v>1.1000000000000001</v>
      </c>
      <c r="X70" s="144">
        <v>0.35</v>
      </c>
      <c r="Y70" s="350"/>
      <c r="Z70" s="150">
        <f t="shared" si="108"/>
        <v>132.23424935223289</v>
      </c>
      <c r="AA70" s="150">
        <f t="shared" si="109"/>
        <v>107.18373875933544</v>
      </c>
      <c r="AB70" s="151">
        <f t="shared" si="110"/>
        <v>42.981391556165242</v>
      </c>
      <c r="AC70" s="150">
        <f t="shared" si="111"/>
        <v>17.930880963267821</v>
      </c>
      <c r="AD70" s="152">
        <f t="shared" si="112"/>
        <v>0.93708056204767032</v>
      </c>
      <c r="AE70" s="361" t="str">
        <f t="shared" si="113"/>
        <v>Zapata a compresión</v>
      </c>
      <c r="AF70" s="361"/>
      <c r="AG70" s="148">
        <f t="shared" si="75"/>
        <v>1382.0635475000006</v>
      </c>
      <c r="AH70" s="150">
        <f t="shared" si="76"/>
        <v>9.4405182312479123</v>
      </c>
      <c r="AI70" s="148">
        <f t="shared" si="77"/>
        <v>1176.8065850000005</v>
      </c>
      <c r="AJ70" s="150">
        <f t="shared" si="78"/>
        <v>28.640359243692377</v>
      </c>
      <c r="AK70" s="350"/>
      <c r="AL70" s="155">
        <f t="shared" si="79"/>
        <v>0.38500000000000001</v>
      </c>
      <c r="AM70" s="155">
        <f t="shared" si="80"/>
        <v>5.2650000000000006</v>
      </c>
      <c r="AN70" s="150">
        <f t="shared" si="81"/>
        <v>2</v>
      </c>
      <c r="AO70" s="150">
        <f t="shared" si="82"/>
        <v>11911.9</v>
      </c>
      <c r="AP70" s="53" t="str">
        <f t="shared" si="83"/>
        <v>OK</v>
      </c>
      <c r="AQ70" s="155" t="str">
        <f t="shared" si="84"/>
        <v>SÍ</v>
      </c>
      <c r="AR70" s="144">
        <v>10.125</v>
      </c>
      <c r="AS70" s="143" t="s">
        <v>730</v>
      </c>
      <c r="AT70" s="163">
        <f t="shared" si="85"/>
        <v>0.50624999999999998</v>
      </c>
      <c r="AU70" s="144">
        <v>0.55000000000000004</v>
      </c>
      <c r="AV70" s="144">
        <v>0.3</v>
      </c>
      <c r="AW70" s="350"/>
      <c r="AX70" s="153">
        <f t="shared" si="86"/>
        <v>181.03126980324078</v>
      </c>
      <c r="AY70" s="153">
        <f t="shared" si="87"/>
        <v>705.31091067081888</v>
      </c>
      <c r="AZ70" s="150">
        <f t="shared" si="88"/>
        <v>1.8E-3</v>
      </c>
      <c r="BA70" s="148">
        <f t="shared" si="89"/>
        <v>15.795000000000002</v>
      </c>
      <c r="BB70" s="144">
        <v>5</v>
      </c>
      <c r="BC70" s="144">
        <v>13</v>
      </c>
      <c r="BD70" s="155">
        <f t="shared" si="90"/>
        <v>25.87</v>
      </c>
      <c r="BE70" s="53" t="str">
        <f t="shared" si="91"/>
        <v>OK</v>
      </c>
      <c r="BF70" s="148">
        <f t="shared" si="92"/>
        <v>0.2</v>
      </c>
      <c r="BG70" s="155" t="str">
        <f t="shared" si="93"/>
        <v>13#5@20</v>
      </c>
      <c r="BH70" s="197">
        <f t="shared" si="94"/>
        <v>0.61055276381909551</v>
      </c>
      <c r="BI70" s="350"/>
      <c r="BJ70" s="153">
        <f t="shared" si="95"/>
        <v>1</v>
      </c>
      <c r="BK70" s="157">
        <v>0.85</v>
      </c>
      <c r="BL70" s="153">
        <f t="shared" si="96"/>
        <v>1.2686567164179103</v>
      </c>
      <c r="BM70" s="153">
        <f t="shared" si="97"/>
        <v>12445.5223880597</v>
      </c>
      <c r="BN70" s="155" t="s">
        <v>699</v>
      </c>
      <c r="BO70" s="155">
        <f t="shared" si="98"/>
        <v>0.75</v>
      </c>
      <c r="BP70" s="153">
        <f t="shared" si="99"/>
        <v>152.5600801455586</v>
      </c>
      <c r="BQ70" s="153">
        <f t="shared" si="100"/>
        <v>9.2317499999999999</v>
      </c>
      <c r="BR70" s="144">
        <v>8</v>
      </c>
      <c r="BS70" s="155" t="s">
        <v>191</v>
      </c>
      <c r="BT70" s="144">
        <v>5</v>
      </c>
      <c r="BU70" s="121"/>
      <c r="CF70" s="122"/>
      <c r="CG70" s="350"/>
      <c r="CH70" s="153">
        <f t="shared" si="101"/>
        <v>15.92</v>
      </c>
      <c r="CI70" s="153">
        <f t="shared" si="102"/>
        <v>601.77599999999995</v>
      </c>
      <c r="CJ70" s="53" t="str">
        <f t="shared" si="103"/>
        <v>OK</v>
      </c>
      <c r="CR70" s="117"/>
    </row>
    <row r="71" spans="1:96" ht="15" customHeight="1" x14ac:dyDescent="0.25">
      <c r="A71" s="123"/>
      <c r="B71" s="362"/>
      <c r="C71" s="362"/>
      <c r="D71" s="362"/>
      <c r="E71" s="362"/>
      <c r="F71" s="362"/>
      <c r="G71" s="362"/>
      <c r="H71" s="362"/>
      <c r="I71" s="362"/>
      <c r="J71" s="362"/>
      <c r="K71" s="362"/>
      <c r="L71" s="126"/>
      <c r="M71" s="349" t="str">
        <f>M33</f>
        <v>Z2</v>
      </c>
      <c r="N71" s="147">
        <f t="shared" si="104"/>
        <v>846.53960000000018</v>
      </c>
      <c r="O71" s="147">
        <f t="shared" si="105"/>
        <v>26.7942</v>
      </c>
      <c r="P71" s="147">
        <f t="shared" si="106"/>
        <v>104.53700000000001</v>
      </c>
      <c r="Q71" s="143">
        <f t="shared" si="72"/>
        <v>30</v>
      </c>
      <c r="R71" s="163">
        <f t="shared" si="73"/>
        <v>3.1428571428571432</v>
      </c>
      <c r="S71" s="163">
        <f t="shared" si="107"/>
        <v>1.1481481481481481</v>
      </c>
      <c r="T71" s="155">
        <f t="shared" si="114"/>
        <v>4.2</v>
      </c>
      <c r="U71" s="164">
        <v>2</v>
      </c>
      <c r="V71" s="165">
        <f t="shared" si="74"/>
        <v>3.9302083333333324E-3</v>
      </c>
      <c r="W71" s="144">
        <v>1.1000000000000001</v>
      </c>
      <c r="X71" s="144">
        <v>0.35</v>
      </c>
      <c r="Y71" s="349" t="str">
        <f>M71</f>
        <v>Z2</v>
      </c>
      <c r="Z71" s="150">
        <f t="shared" si="108"/>
        <v>132.42675556583293</v>
      </c>
      <c r="AA71" s="150">
        <f t="shared" si="109"/>
        <v>118.19911717475368</v>
      </c>
      <c r="AB71" s="151">
        <f t="shared" si="110"/>
        <v>84.080357138269036</v>
      </c>
      <c r="AC71" s="150">
        <f t="shared" si="111"/>
        <v>69.852718747189797</v>
      </c>
      <c r="AD71" s="152">
        <f t="shared" si="112"/>
        <v>0.9384447610484713</v>
      </c>
      <c r="AE71" s="361" t="str">
        <f t="shared" si="113"/>
        <v>Zapata a compresión</v>
      </c>
      <c r="AF71" s="361"/>
      <c r="AG71" s="148">
        <f t="shared" si="75"/>
        <v>2476.1283300000009</v>
      </c>
      <c r="AH71" s="150">
        <f t="shared" si="76"/>
        <v>23.68662129198275</v>
      </c>
      <c r="AI71" s="148">
        <f t="shared" si="77"/>
        <v>1142.8284600000004</v>
      </c>
      <c r="AJ71" s="150">
        <f t="shared" si="78"/>
        <v>42.652083659896562</v>
      </c>
      <c r="AK71" s="349" t="str">
        <f>Y71</f>
        <v>Z2</v>
      </c>
      <c r="AL71" s="155">
        <f t="shared" si="79"/>
        <v>0.38500000000000001</v>
      </c>
      <c r="AM71" s="155">
        <f t="shared" si="80"/>
        <v>5.2650000000000006</v>
      </c>
      <c r="AN71" s="150">
        <f t="shared" si="81"/>
        <v>2</v>
      </c>
      <c r="AO71" s="150">
        <f t="shared" si="82"/>
        <v>11911.9</v>
      </c>
      <c r="AP71" s="53" t="str">
        <f t="shared" si="83"/>
        <v>OK</v>
      </c>
      <c r="AQ71" s="155" t="str">
        <f t="shared" si="84"/>
        <v>SÍ</v>
      </c>
      <c r="AR71" s="144">
        <v>10.125</v>
      </c>
      <c r="AS71" s="143" t="s">
        <v>730</v>
      </c>
      <c r="AT71" s="163">
        <f t="shared" si="85"/>
        <v>0.50624999999999998</v>
      </c>
      <c r="AU71" s="144">
        <v>0.55000000000000004</v>
      </c>
      <c r="AV71" s="144">
        <v>0.3</v>
      </c>
      <c r="AW71" s="349" t="str">
        <f>AK71</f>
        <v>Z2</v>
      </c>
      <c r="AX71" s="153">
        <f t="shared" si="86"/>
        <v>284.93757600806458</v>
      </c>
      <c r="AY71" s="153">
        <f t="shared" si="87"/>
        <v>966.89385508876433</v>
      </c>
      <c r="AZ71" s="150">
        <f t="shared" si="88"/>
        <v>2.3508932168460513E-3</v>
      </c>
      <c r="BA71" s="148">
        <f t="shared" si="89"/>
        <v>23.685249159723966</v>
      </c>
      <c r="BB71" s="144">
        <v>5</v>
      </c>
      <c r="BC71" s="144">
        <v>14</v>
      </c>
      <c r="BD71" s="155">
        <f t="shared" si="90"/>
        <v>27.86</v>
      </c>
      <c r="BE71" s="53" t="str">
        <f t="shared" si="91"/>
        <v>OK</v>
      </c>
      <c r="BF71" s="148">
        <f t="shared" si="92"/>
        <v>0.21</v>
      </c>
      <c r="BG71" s="155" t="str">
        <f t="shared" si="93"/>
        <v>14#5@20</v>
      </c>
      <c r="BH71" s="197">
        <f t="shared" si="94"/>
        <v>0.85015251829590688</v>
      </c>
      <c r="BI71" s="349" t="str">
        <f>AW71</f>
        <v>Z2</v>
      </c>
      <c r="BJ71" s="153">
        <f t="shared" si="95"/>
        <v>0.956989247311828</v>
      </c>
      <c r="BK71" s="157">
        <v>0.85</v>
      </c>
      <c r="BL71" s="153">
        <f t="shared" si="96"/>
        <v>1.2140908361418712</v>
      </c>
      <c r="BM71" s="153">
        <f t="shared" si="97"/>
        <v>11910.231102551756</v>
      </c>
      <c r="BN71" s="155" t="s">
        <v>699</v>
      </c>
      <c r="BO71" s="155">
        <f t="shared" si="98"/>
        <v>0.75</v>
      </c>
      <c r="BP71" s="153">
        <f t="shared" si="99"/>
        <v>296.89388153018683</v>
      </c>
      <c r="BQ71" s="153">
        <f t="shared" si="100"/>
        <v>9.9752699946323151</v>
      </c>
      <c r="BR71" s="144">
        <v>8</v>
      </c>
      <c r="BS71" s="155" t="s">
        <v>191</v>
      </c>
      <c r="BT71" s="144">
        <v>5</v>
      </c>
      <c r="BU71" s="121"/>
      <c r="CF71" s="122"/>
      <c r="CG71" s="349"/>
      <c r="CH71" s="153">
        <f t="shared" si="101"/>
        <v>15.92</v>
      </c>
      <c r="CI71" s="153">
        <f t="shared" si="102"/>
        <v>601.77599999999995</v>
      </c>
      <c r="CJ71" s="53" t="str">
        <f t="shared" si="103"/>
        <v>OK</v>
      </c>
      <c r="CR71" s="117"/>
    </row>
    <row r="72" spans="1:96" ht="15" customHeight="1" x14ac:dyDescent="0.25">
      <c r="A72" s="123"/>
      <c r="B72" s="124"/>
      <c r="C72" s="188"/>
      <c r="D72" s="124"/>
      <c r="E72" s="124"/>
      <c r="F72" s="124"/>
      <c r="G72" s="124"/>
      <c r="H72" s="125"/>
      <c r="I72" s="124"/>
      <c r="J72" s="124"/>
      <c r="K72" s="124"/>
      <c r="L72" s="126"/>
      <c r="M72" s="350"/>
      <c r="N72" s="147">
        <f t="shared" si="104"/>
        <v>808.5517000000001</v>
      </c>
      <c r="O72" s="147">
        <f t="shared" si="105"/>
        <v>42.580399999999997</v>
      </c>
      <c r="P72" s="147">
        <f t="shared" si="106"/>
        <v>106.9383</v>
      </c>
      <c r="Q72" s="143">
        <f t="shared" si="72"/>
        <v>30</v>
      </c>
      <c r="R72" s="163">
        <f t="shared" si="73"/>
        <v>3.1428571428571432</v>
      </c>
      <c r="S72" s="163">
        <f t="shared" si="107"/>
        <v>1.1481481481481481</v>
      </c>
      <c r="T72" s="155">
        <f t="shared" si="114"/>
        <v>4.2</v>
      </c>
      <c r="U72" s="164">
        <v>2</v>
      </c>
      <c r="V72" s="165">
        <f t="shared" si="74"/>
        <v>3.9302083333333324E-3</v>
      </c>
      <c r="W72" s="144">
        <v>1.1000000000000001</v>
      </c>
      <c r="X72" s="144">
        <v>0.35</v>
      </c>
      <c r="Y72" s="350"/>
      <c r="Z72" s="150">
        <f t="shared" si="108"/>
        <v>132.63466737751742</v>
      </c>
      <c r="AA72" s="150">
        <f t="shared" si="109"/>
        <v>110.02460498537617</v>
      </c>
      <c r="AB72" s="151">
        <f t="shared" si="110"/>
        <v>83.177712816296477</v>
      </c>
      <c r="AC72" s="150">
        <f t="shared" si="111"/>
        <v>60.567650424155239</v>
      </c>
      <c r="AD72" s="152">
        <f t="shared" si="112"/>
        <v>0.9399181321176463</v>
      </c>
      <c r="AE72" s="361" t="str">
        <f t="shared" si="113"/>
        <v>Zapata a compresión</v>
      </c>
      <c r="AF72" s="361"/>
      <c r="AG72" s="148">
        <f t="shared" si="75"/>
        <v>2365.0137225000003</v>
      </c>
      <c r="AH72" s="150">
        <f t="shared" si="76"/>
        <v>22.115684675181861</v>
      </c>
      <c r="AI72" s="148">
        <f t="shared" si="77"/>
        <v>1091.5447950000002</v>
      </c>
      <c r="AJ72" s="150">
        <f t="shared" si="78"/>
        <v>25.634911719946274</v>
      </c>
      <c r="AK72" s="350"/>
      <c r="AL72" s="155">
        <f t="shared" si="79"/>
        <v>0.38500000000000001</v>
      </c>
      <c r="AM72" s="155">
        <f t="shared" si="80"/>
        <v>5.2650000000000006</v>
      </c>
      <c r="AN72" s="150">
        <f t="shared" si="81"/>
        <v>2</v>
      </c>
      <c r="AO72" s="150">
        <f t="shared" si="82"/>
        <v>11911.9</v>
      </c>
      <c r="AP72" s="53" t="str">
        <f t="shared" si="83"/>
        <v>OK</v>
      </c>
      <c r="AQ72" s="155" t="str">
        <f t="shared" si="84"/>
        <v>SÍ</v>
      </c>
      <c r="AR72" s="144">
        <v>10.125</v>
      </c>
      <c r="AS72" s="143" t="s">
        <v>730</v>
      </c>
      <c r="AT72" s="163">
        <f t="shared" si="85"/>
        <v>0.50624999999999998</v>
      </c>
      <c r="AU72" s="144">
        <v>0.55000000000000004</v>
      </c>
      <c r="AV72" s="144">
        <v>0.3</v>
      </c>
      <c r="AW72" s="350"/>
      <c r="AX72" s="153">
        <f t="shared" si="86"/>
        <v>289.13976416330644</v>
      </c>
      <c r="AY72" s="153">
        <f t="shared" si="87"/>
        <v>981.15336400349997</v>
      </c>
      <c r="AZ72" s="150">
        <f t="shared" si="88"/>
        <v>2.3863254604861994E-3</v>
      </c>
      <c r="BA72" s="148">
        <f t="shared" si="89"/>
        <v>24.042229014398462</v>
      </c>
      <c r="BB72" s="144">
        <v>5</v>
      </c>
      <c r="BC72" s="144">
        <v>14</v>
      </c>
      <c r="BD72" s="155">
        <f t="shared" si="90"/>
        <v>27.86</v>
      </c>
      <c r="BE72" s="53" t="str">
        <f t="shared" si="91"/>
        <v>OK</v>
      </c>
      <c r="BF72" s="148">
        <f t="shared" si="92"/>
        <v>0.21</v>
      </c>
      <c r="BG72" s="155" t="str">
        <f t="shared" si="93"/>
        <v>14#5@20</v>
      </c>
      <c r="BH72" s="197">
        <f t="shared" si="94"/>
        <v>0.86296586555629795</v>
      </c>
      <c r="BI72" s="350"/>
      <c r="BJ72" s="153">
        <f t="shared" si="95"/>
        <v>0.956989247311828</v>
      </c>
      <c r="BK72" s="157">
        <v>0.85</v>
      </c>
      <c r="BL72" s="153">
        <f t="shared" si="96"/>
        <v>1.2140908361418712</v>
      </c>
      <c r="BM72" s="153">
        <f t="shared" si="97"/>
        <v>11910.231102551756</v>
      </c>
      <c r="BN72" s="155" t="s">
        <v>699</v>
      </c>
      <c r="BO72" s="155">
        <f t="shared" si="98"/>
        <v>0.75</v>
      </c>
      <c r="BP72" s="153">
        <f t="shared" si="99"/>
        <v>279.89419271962743</v>
      </c>
      <c r="BQ72" s="153">
        <f t="shared" si="100"/>
        <v>9.2670954681389475</v>
      </c>
      <c r="BR72" s="144">
        <v>8</v>
      </c>
      <c r="BS72" s="155" t="s">
        <v>191</v>
      </c>
      <c r="BT72" s="144">
        <v>5</v>
      </c>
      <c r="BU72" s="121"/>
      <c r="CF72" s="122"/>
      <c r="CG72" s="350"/>
      <c r="CH72" s="153">
        <f t="shared" si="101"/>
        <v>15.92</v>
      </c>
      <c r="CI72" s="153">
        <f t="shared" si="102"/>
        <v>601.77599999999995</v>
      </c>
      <c r="CJ72" s="53" t="str">
        <f t="shared" si="103"/>
        <v>OK</v>
      </c>
      <c r="CR72" s="117"/>
    </row>
    <row r="73" spans="1:96" ht="15" customHeight="1" x14ac:dyDescent="0.25">
      <c r="A73" s="123"/>
      <c r="B73" s="124"/>
      <c r="C73" s="188"/>
      <c r="D73" s="124"/>
      <c r="E73" s="124"/>
      <c r="F73" s="124"/>
      <c r="G73" s="124"/>
      <c r="H73" s="125"/>
      <c r="I73" s="124"/>
      <c r="J73" s="124"/>
      <c r="K73" s="124"/>
      <c r="L73" s="126"/>
      <c r="M73" s="349" t="str">
        <f>M35</f>
        <v>Z1</v>
      </c>
      <c r="N73" s="147">
        <f t="shared" si="104"/>
        <v>601.88100000000009</v>
      </c>
      <c r="O73" s="147">
        <f t="shared" si="105"/>
        <v>28.778700000000001</v>
      </c>
      <c r="P73" s="147">
        <f t="shared" si="106"/>
        <v>144.03110000000001</v>
      </c>
      <c r="Q73" s="143">
        <f t="shared" si="72"/>
        <v>20</v>
      </c>
      <c r="R73" s="163">
        <f t="shared" si="73"/>
        <v>3.1428571428571432</v>
      </c>
      <c r="S73" s="163">
        <f t="shared" si="107"/>
        <v>1</v>
      </c>
      <c r="T73" s="155">
        <f t="shared" si="114"/>
        <v>4.2</v>
      </c>
      <c r="U73" s="164">
        <v>2</v>
      </c>
      <c r="V73" s="165">
        <f t="shared" si="74"/>
        <v>3.9302083333333324E-3</v>
      </c>
      <c r="W73" s="144">
        <v>1.1000000000000001</v>
      </c>
      <c r="X73" s="144">
        <v>0.35</v>
      </c>
      <c r="Y73" s="349" t="str">
        <f>M73</f>
        <v>Z1</v>
      </c>
      <c r="Z73" s="150">
        <f t="shared" si="108"/>
        <v>135.24043590916017</v>
      </c>
      <c r="AA73" s="150">
        <f t="shared" si="109"/>
        <v>117.69512269471116</v>
      </c>
      <c r="AB73" s="151">
        <f t="shared" si="110"/>
        <v>47.429980185947265</v>
      </c>
      <c r="AC73" s="150">
        <f t="shared" si="111"/>
        <v>29.884666971498259</v>
      </c>
      <c r="AD73" s="152">
        <f t="shared" si="112"/>
        <v>0.95838396114574964</v>
      </c>
      <c r="AE73" s="361" t="str">
        <f t="shared" si="113"/>
        <v>Zapata a compresión</v>
      </c>
      <c r="AF73" s="361"/>
      <c r="AG73" s="148">
        <f t="shared" si="75"/>
        <v>1519.7495250000004</v>
      </c>
      <c r="AH73" s="150">
        <f t="shared" si="76"/>
        <v>10.551537306873309</v>
      </c>
      <c r="AI73" s="148">
        <f t="shared" si="77"/>
        <v>1294.0441500000004</v>
      </c>
      <c r="AJ73" s="150">
        <f t="shared" si="78"/>
        <v>44.965344160785591</v>
      </c>
      <c r="AK73" s="349" t="str">
        <f>Y73</f>
        <v>Z1</v>
      </c>
      <c r="AL73" s="155">
        <f t="shared" si="79"/>
        <v>0.38500000000000001</v>
      </c>
      <c r="AM73" s="155">
        <f t="shared" si="80"/>
        <v>5.2650000000000006</v>
      </c>
      <c r="AN73" s="150">
        <f t="shared" si="81"/>
        <v>2</v>
      </c>
      <c r="AO73" s="150">
        <f t="shared" si="82"/>
        <v>11911.9</v>
      </c>
      <c r="AP73" s="53" t="str">
        <f t="shared" si="83"/>
        <v>OK</v>
      </c>
      <c r="AQ73" s="155" t="str">
        <f t="shared" si="84"/>
        <v>SÍ</v>
      </c>
      <c r="AR73" s="144">
        <v>10.125</v>
      </c>
      <c r="AS73" s="143" t="s">
        <v>730</v>
      </c>
      <c r="AT73" s="163">
        <f t="shared" si="85"/>
        <v>0.50624999999999998</v>
      </c>
      <c r="AU73" s="144">
        <v>0.55000000000000004</v>
      </c>
      <c r="AV73" s="144">
        <v>0.3</v>
      </c>
      <c r="AW73" s="349" t="str">
        <f>AK73</f>
        <v>Z1</v>
      </c>
      <c r="AX73" s="153">
        <f t="shared" si="86"/>
        <v>182.66239548611117</v>
      </c>
      <c r="AY73" s="153">
        <f t="shared" si="87"/>
        <v>711.66589421622666</v>
      </c>
      <c r="AZ73" s="150">
        <f t="shared" si="88"/>
        <v>1.8E-3</v>
      </c>
      <c r="BA73" s="148">
        <f t="shared" si="89"/>
        <v>15.795000000000002</v>
      </c>
      <c r="BB73" s="144">
        <v>5</v>
      </c>
      <c r="BC73" s="144">
        <v>13</v>
      </c>
      <c r="BD73" s="155">
        <f t="shared" si="90"/>
        <v>25.87</v>
      </c>
      <c r="BE73" s="53" t="str">
        <f t="shared" si="91"/>
        <v>OK</v>
      </c>
      <c r="BF73" s="148">
        <f t="shared" si="92"/>
        <v>0.2</v>
      </c>
      <c r="BG73" s="155" t="str">
        <f t="shared" si="93"/>
        <v>13#5@20</v>
      </c>
      <c r="BH73" s="197">
        <f t="shared" si="94"/>
        <v>0.61055276381909551</v>
      </c>
      <c r="BI73" s="349" t="str">
        <f>AW73</f>
        <v>Z1</v>
      </c>
      <c r="BJ73" s="153">
        <f t="shared" si="95"/>
        <v>1</v>
      </c>
      <c r="BK73" s="157">
        <v>0.85</v>
      </c>
      <c r="BL73" s="153">
        <f t="shared" si="96"/>
        <v>1.2686567164179103</v>
      </c>
      <c r="BM73" s="153">
        <f t="shared" si="97"/>
        <v>12445.5223880597</v>
      </c>
      <c r="BN73" s="155" t="s">
        <v>699</v>
      </c>
      <c r="BO73" s="155">
        <f t="shared" si="98"/>
        <v>0.75</v>
      </c>
      <c r="BP73" s="153">
        <f t="shared" si="99"/>
        <v>176.63035662757733</v>
      </c>
      <c r="BQ73" s="153">
        <f t="shared" si="100"/>
        <v>9.2317499999999999</v>
      </c>
      <c r="BR73" s="144">
        <v>8</v>
      </c>
      <c r="BS73" s="155" t="s">
        <v>191</v>
      </c>
      <c r="BT73" s="144">
        <v>5</v>
      </c>
      <c r="BU73" s="121"/>
      <c r="CF73" s="122"/>
      <c r="CG73" s="349"/>
      <c r="CH73" s="153">
        <f t="shared" si="101"/>
        <v>15.92</v>
      </c>
      <c r="CI73" s="153">
        <f t="shared" si="102"/>
        <v>601.77599999999995</v>
      </c>
      <c r="CJ73" s="53" t="str">
        <f t="shared" si="103"/>
        <v>OK</v>
      </c>
      <c r="CR73" s="117"/>
    </row>
    <row r="74" spans="1:96" ht="15" customHeight="1" x14ac:dyDescent="0.25">
      <c r="A74" s="123"/>
      <c r="B74" s="124"/>
      <c r="C74" s="188"/>
      <c r="D74" s="124"/>
      <c r="E74" s="124"/>
      <c r="F74" s="124"/>
      <c r="G74" s="124"/>
      <c r="H74" s="125"/>
      <c r="I74" s="124"/>
      <c r="J74" s="124"/>
      <c r="K74" s="124"/>
      <c r="L74" s="126"/>
      <c r="M74" s="350"/>
      <c r="N74" s="147">
        <f t="shared" si="104"/>
        <v>546.83600000000001</v>
      </c>
      <c r="O74" s="147">
        <f t="shared" si="105"/>
        <v>41.116100000000003</v>
      </c>
      <c r="P74" s="147">
        <f t="shared" si="106"/>
        <v>56.236800000000002</v>
      </c>
      <c r="Q74" s="143">
        <f t="shared" si="72"/>
        <v>20</v>
      </c>
      <c r="R74" s="163">
        <f t="shared" si="73"/>
        <v>3.1428571428571432</v>
      </c>
      <c r="S74" s="163">
        <f t="shared" si="107"/>
        <v>1</v>
      </c>
      <c r="T74" s="155">
        <f t="shared" si="114"/>
        <v>4.2</v>
      </c>
      <c r="U74" s="164">
        <v>2</v>
      </c>
      <c r="V74" s="165">
        <f t="shared" si="74"/>
        <v>3.9302083333333324E-3</v>
      </c>
      <c r="W74" s="144">
        <v>1.1000000000000001</v>
      </c>
      <c r="X74" s="144">
        <v>0.35</v>
      </c>
      <c r="Y74" s="350"/>
      <c r="Z74" s="150">
        <f t="shared" si="108"/>
        <v>104.68803536046333</v>
      </c>
      <c r="AA74" s="150">
        <f t="shared" si="109"/>
        <v>79.621063862216133</v>
      </c>
      <c r="AB74" s="151">
        <f t="shared" si="110"/>
        <v>70.402530102118575</v>
      </c>
      <c r="AC74" s="150">
        <f t="shared" si="111"/>
        <v>45.335558603871348</v>
      </c>
      <c r="AD74" s="152">
        <f t="shared" si="112"/>
        <v>0.74187378455892317</v>
      </c>
      <c r="AE74" s="361" t="str">
        <f t="shared" si="113"/>
        <v>Zapata a compresión</v>
      </c>
      <c r="AF74" s="361"/>
      <c r="AG74" s="148">
        <f t="shared" si="75"/>
        <v>1380.7609000000002</v>
      </c>
      <c r="AH74" s="150">
        <f t="shared" si="76"/>
        <v>24.552622126436784</v>
      </c>
      <c r="AI74" s="148">
        <f t="shared" si="77"/>
        <v>1175.6974000000002</v>
      </c>
      <c r="AJ74" s="150">
        <f t="shared" si="78"/>
        <v>28.594574874562522</v>
      </c>
      <c r="AK74" s="350"/>
      <c r="AL74" s="155">
        <f t="shared" si="79"/>
        <v>0.38500000000000001</v>
      </c>
      <c r="AM74" s="155">
        <f t="shared" si="80"/>
        <v>5.2650000000000006</v>
      </c>
      <c r="AN74" s="150">
        <f t="shared" si="81"/>
        <v>2</v>
      </c>
      <c r="AO74" s="150">
        <f t="shared" si="82"/>
        <v>11911.9</v>
      </c>
      <c r="AP74" s="53" t="str">
        <f t="shared" si="83"/>
        <v>OK</v>
      </c>
      <c r="AQ74" s="155" t="str">
        <f t="shared" si="84"/>
        <v>SÍ</v>
      </c>
      <c r="AR74" s="144">
        <v>10.125</v>
      </c>
      <c r="AS74" s="143" t="s">
        <v>730</v>
      </c>
      <c r="AT74" s="163">
        <f t="shared" si="85"/>
        <v>0.50624999999999998</v>
      </c>
      <c r="AU74" s="144">
        <v>0.55000000000000004</v>
      </c>
      <c r="AV74" s="144">
        <v>0.3</v>
      </c>
      <c r="AW74" s="350"/>
      <c r="AX74" s="153">
        <f t="shared" si="86"/>
        <v>180.92636898148152</v>
      </c>
      <c r="AY74" s="153">
        <f t="shared" si="87"/>
        <v>704.90220948783781</v>
      </c>
      <c r="AZ74" s="150">
        <f t="shared" si="88"/>
        <v>1.8E-3</v>
      </c>
      <c r="BA74" s="148">
        <f t="shared" si="89"/>
        <v>15.795000000000002</v>
      </c>
      <c r="BB74" s="144">
        <v>5</v>
      </c>
      <c r="BC74" s="144">
        <v>13</v>
      </c>
      <c r="BD74" s="155">
        <f t="shared" si="90"/>
        <v>25.87</v>
      </c>
      <c r="BE74" s="53" t="str">
        <f t="shared" si="91"/>
        <v>OK</v>
      </c>
      <c r="BF74" s="148">
        <f t="shared" si="92"/>
        <v>0.2</v>
      </c>
      <c r="BG74" s="155" t="str">
        <f t="shared" si="93"/>
        <v>13#5@20</v>
      </c>
      <c r="BH74" s="197">
        <f t="shared" si="94"/>
        <v>0.61055276381909551</v>
      </c>
      <c r="BI74" s="350"/>
      <c r="BJ74" s="153">
        <f t="shared" si="95"/>
        <v>1</v>
      </c>
      <c r="BK74" s="157">
        <v>0.85</v>
      </c>
      <c r="BL74" s="153">
        <f t="shared" si="96"/>
        <v>1.2686567164179103</v>
      </c>
      <c r="BM74" s="153">
        <f t="shared" si="97"/>
        <v>12445.5223880597</v>
      </c>
      <c r="BN74" s="155" t="s">
        <v>699</v>
      </c>
      <c r="BO74" s="155">
        <f t="shared" si="98"/>
        <v>0.75</v>
      </c>
      <c r="BP74" s="153">
        <f t="shared" si="99"/>
        <v>199.53301284765166</v>
      </c>
      <c r="BQ74" s="153">
        <f t="shared" si="100"/>
        <v>9.2317499999999999</v>
      </c>
      <c r="BR74" s="144">
        <v>8</v>
      </c>
      <c r="BS74" s="155" t="s">
        <v>191</v>
      </c>
      <c r="BT74" s="144">
        <v>5</v>
      </c>
      <c r="BU74" s="121"/>
      <c r="CF74" s="122"/>
      <c r="CG74" s="350"/>
      <c r="CH74" s="153">
        <f t="shared" si="101"/>
        <v>15.92</v>
      </c>
      <c r="CI74" s="153">
        <f t="shared" si="102"/>
        <v>601.77599999999995</v>
      </c>
      <c r="CJ74" s="53" t="str">
        <f t="shared" si="103"/>
        <v>OK</v>
      </c>
      <c r="CR74" s="117"/>
    </row>
    <row r="75" spans="1:96" ht="15" customHeight="1" x14ac:dyDescent="0.25">
      <c r="A75" s="123"/>
      <c r="B75" s="124"/>
      <c r="C75" s="188"/>
      <c r="D75" s="124"/>
      <c r="E75" s="124"/>
      <c r="F75" s="124"/>
      <c r="G75" s="124"/>
      <c r="H75" s="125"/>
      <c r="I75" s="124"/>
      <c r="J75" s="124"/>
      <c r="K75" s="124"/>
      <c r="L75" s="126"/>
      <c r="M75" s="349">
        <f>M37</f>
        <v>0</v>
      </c>
      <c r="N75" s="147"/>
      <c r="O75" s="147"/>
      <c r="P75" s="147"/>
      <c r="Q75" s="143"/>
      <c r="R75" s="163"/>
      <c r="S75" s="163"/>
      <c r="T75" s="155"/>
      <c r="U75" s="164"/>
      <c r="V75" s="165"/>
      <c r="W75" s="144"/>
      <c r="X75" s="144"/>
      <c r="Y75" s="349"/>
      <c r="Z75" s="150"/>
      <c r="AA75" s="150"/>
      <c r="AB75" s="151"/>
      <c r="AC75" s="150"/>
      <c r="AD75" s="152"/>
      <c r="AE75" s="361"/>
      <c r="AF75" s="361"/>
      <c r="AG75" s="148"/>
      <c r="AH75" s="150"/>
      <c r="AI75" s="148"/>
      <c r="AJ75" s="150"/>
      <c r="AK75" s="349"/>
      <c r="AL75" s="155"/>
      <c r="AM75" s="155"/>
      <c r="AN75" s="150"/>
      <c r="AO75" s="150"/>
      <c r="AP75" s="53"/>
      <c r="AQ75" s="155"/>
      <c r="AR75" s="144"/>
      <c r="AS75" s="143"/>
      <c r="AT75" s="163"/>
      <c r="AU75" s="144"/>
      <c r="AV75" s="144"/>
      <c r="AW75" s="349"/>
      <c r="AX75" s="153"/>
      <c r="AY75" s="153"/>
      <c r="AZ75" s="150"/>
      <c r="BA75" s="148"/>
      <c r="BB75" s="144"/>
      <c r="BC75" s="144"/>
      <c r="BD75" s="155"/>
      <c r="BE75" s="53"/>
      <c r="BF75" s="148"/>
      <c r="BG75" s="155"/>
      <c r="BH75" s="197"/>
      <c r="BI75" s="349"/>
      <c r="BJ75" s="153"/>
      <c r="BK75" s="157"/>
      <c r="BL75" s="153"/>
      <c r="BM75" s="153"/>
      <c r="BN75" s="155"/>
      <c r="BO75" s="155"/>
      <c r="BP75" s="153"/>
      <c r="BQ75" s="153"/>
      <c r="BR75" s="144"/>
      <c r="BS75" s="155"/>
      <c r="BT75" s="144"/>
      <c r="BU75" s="121"/>
      <c r="CF75" s="122"/>
      <c r="CG75" s="349"/>
      <c r="CH75" s="153"/>
      <c r="CI75" s="153"/>
      <c r="CJ75" s="53"/>
      <c r="CR75" s="117"/>
    </row>
    <row r="76" spans="1:96" ht="15" customHeight="1" x14ac:dyDescent="0.25">
      <c r="A76" s="123"/>
      <c r="B76" s="124"/>
      <c r="C76" s="188"/>
      <c r="D76" s="124"/>
      <c r="E76" s="124"/>
      <c r="F76" s="124"/>
      <c r="G76" s="124"/>
      <c r="H76" s="125"/>
      <c r="I76" s="124"/>
      <c r="J76" s="124"/>
      <c r="K76" s="124"/>
      <c r="L76" s="126"/>
      <c r="M76" s="350"/>
      <c r="N76" s="147"/>
      <c r="O76" s="147"/>
      <c r="P76" s="147"/>
      <c r="Q76" s="143"/>
      <c r="R76" s="163"/>
      <c r="S76" s="163"/>
      <c r="T76" s="155"/>
      <c r="U76" s="164"/>
      <c r="V76" s="165"/>
      <c r="W76" s="144"/>
      <c r="X76" s="144"/>
      <c r="Y76" s="350"/>
      <c r="Z76" s="150"/>
      <c r="AA76" s="150"/>
      <c r="AB76" s="151"/>
      <c r="AC76" s="150"/>
      <c r="AD76" s="152"/>
      <c r="AE76" s="361"/>
      <c r="AF76" s="361"/>
      <c r="AG76" s="148"/>
      <c r="AH76" s="150"/>
      <c r="AI76" s="148"/>
      <c r="AJ76" s="150"/>
      <c r="AK76" s="350"/>
      <c r="AL76" s="155"/>
      <c r="AM76" s="155"/>
      <c r="AN76" s="150"/>
      <c r="AO76" s="150"/>
      <c r="AP76" s="53"/>
      <c r="AQ76" s="155"/>
      <c r="AR76" s="144"/>
      <c r="AS76" s="143"/>
      <c r="AT76" s="163"/>
      <c r="AU76" s="144"/>
      <c r="AV76" s="144"/>
      <c r="AW76" s="350"/>
      <c r="AX76" s="153"/>
      <c r="AY76" s="153"/>
      <c r="AZ76" s="150"/>
      <c r="BA76" s="148"/>
      <c r="BB76" s="144"/>
      <c r="BC76" s="144"/>
      <c r="BD76" s="155"/>
      <c r="BE76" s="53"/>
      <c r="BF76" s="148"/>
      <c r="BG76" s="155"/>
      <c r="BH76" s="197"/>
      <c r="BI76" s="350"/>
      <c r="BJ76" s="153"/>
      <c r="BK76" s="157"/>
      <c r="BL76" s="153"/>
      <c r="BM76" s="153"/>
      <c r="BN76" s="155"/>
      <c r="BO76" s="155"/>
      <c r="BP76" s="153"/>
      <c r="BQ76" s="153"/>
      <c r="BR76" s="144"/>
      <c r="BS76" s="155"/>
      <c r="BT76" s="144"/>
      <c r="BU76" s="121"/>
      <c r="CF76" s="122"/>
      <c r="CG76" s="350"/>
      <c r="CH76" s="153"/>
      <c r="CI76" s="153"/>
      <c r="CJ76" s="53"/>
      <c r="CR76" s="117"/>
    </row>
    <row r="77" spans="1:96" x14ac:dyDescent="0.25">
      <c r="A77" s="123"/>
      <c r="B77" s="124"/>
      <c r="C77" s="188"/>
      <c r="D77" s="124"/>
      <c r="E77" s="124"/>
      <c r="F77" s="124"/>
      <c r="G77" s="124"/>
      <c r="H77" s="125"/>
      <c r="I77" s="124"/>
      <c r="J77" s="124"/>
      <c r="K77" s="124"/>
      <c r="L77" s="126"/>
      <c r="M77" s="349">
        <f>M39</f>
        <v>0</v>
      </c>
      <c r="N77" s="147"/>
      <c r="O77" s="147"/>
      <c r="P77" s="147"/>
      <c r="Q77" s="143"/>
      <c r="R77" s="163"/>
      <c r="S77" s="163"/>
      <c r="T77" s="155"/>
      <c r="U77" s="164"/>
      <c r="V77" s="165"/>
      <c r="W77" s="144"/>
      <c r="X77" s="144"/>
      <c r="Y77" s="349"/>
      <c r="Z77" s="150"/>
      <c r="AA77" s="150"/>
      <c r="AB77" s="151"/>
      <c r="AC77" s="150"/>
      <c r="AD77" s="152"/>
      <c r="AE77" s="361"/>
      <c r="AF77" s="361"/>
      <c r="AG77" s="148"/>
      <c r="AH77" s="150"/>
      <c r="AI77" s="148"/>
      <c r="AJ77" s="150"/>
      <c r="AK77" s="349"/>
      <c r="AL77" s="155"/>
      <c r="AM77" s="155"/>
      <c r="AN77" s="150"/>
      <c r="AO77" s="150"/>
      <c r="AP77" s="53"/>
      <c r="AQ77" s="155"/>
      <c r="AR77" s="144"/>
      <c r="AS77" s="143"/>
      <c r="AT77" s="163"/>
      <c r="AU77" s="144"/>
      <c r="AV77" s="144"/>
      <c r="AW77" s="349"/>
      <c r="AX77" s="153"/>
      <c r="AY77" s="153"/>
      <c r="AZ77" s="150"/>
      <c r="BA77" s="148"/>
      <c r="BB77" s="144"/>
      <c r="BC77" s="144"/>
      <c r="BD77" s="155"/>
      <c r="BE77" s="53"/>
      <c r="BF77" s="148"/>
      <c r="BG77" s="155"/>
      <c r="BH77" s="197"/>
      <c r="BI77" s="349"/>
      <c r="BJ77" s="153"/>
      <c r="BK77" s="157"/>
      <c r="BL77" s="153"/>
      <c r="BM77" s="153"/>
      <c r="BN77" s="155"/>
      <c r="BO77" s="155"/>
      <c r="BP77" s="153"/>
      <c r="BQ77" s="153"/>
      <c r="BR77" s="144"/>
      <c r="BS77" s="155"/>
      <c r="BT77" s="144"/>
      <c r="BU77" s="121"/>
      <c r="CF77" s="122"/>
      <c r="CG77" s="349"/>
      <c r="CH77" s="153"/>
      <c r="CI77" s="153"/>
      <c r="CJ77" s="53"/>
      <c r="CR77" s="117"/>
    </row>
    <row r="78" spans="1:96" x14ac:dyDescent="0.25">
      <c r="A78" s="123"/>
      <c r="B78" s="124"/>
      <c r="C78" s="188"/>
      <c r="D78" s="124"/>
      <c r="E78" s="124"/>
      <c r="F78" s="124"/>
      <c r="G78" s="124"/>
      <c r="H78" s="125"/>
      <c r="I78" s="124"/>
      <c r="J78" s="124"/>
      <c r="K78" s="124"/>
      <c r="L78" s="126"/>
      <c r="M78" s="350"/>
      <c r="N78" s="147"/>
      <c r="O78" s="147"/>
      <c r="P78" s="147"/>
      <c r="Q78" s="143"/>
      <c r="R78" s="163"/>
      <c r="S78" s="163"/>
      <c r="T78" s="155"/>
      <c r="U78" s="164"/>
      <c r="V78" s="165"/>
      <c r="W78" s="144"/>
      <c r="X78" s="144"/>
      <c r="Y78" s="350"/>
      <c r="Z78" s="150"/>
      <c r="AA78" s="150"/>
      <c r="AB78" s="151"/>
      <c r="AC78" s="150"/>
      <c r="AD78" s="152"/>
      <c r="AE78" s="361"/>
      <c r="AF78" s="361"/>
      <c r="AG78" s="148"/>
      <c r="AH78" s="150"/>
      <c r="AI78" s="148"/>
      <c r="AJ78" s="150"/>
      <c r="AK78" s="350"/>
      <c r="AL78" s="155"/>
      <c r="AM78" s="155"/>
      <c r="AN78" s="150"/>
      <c r="AO78" s="150"/>
      <c r="AP78" s="53"/>
      <c r="AQ78" s="155"/>
      <c r="AR78" s="144"/>
      <c r="AS78" s="143"/>
      <c r="AT78" s="163"/>
      <c r="AU78" s="144"/>
      <c r="AV78" s="144"/>
      <c r="AW78" s="350"/>
      <c r="AX78" s="153"/>
      <c r="AY78" s="153"/>
      <c r="AZ78" s="150"/>
      <c r="BA78" s="148"/>
      <c r="BB78" s="144"/>
      <c r="BC78" s="144"/>
      <c r="BD78" s="155"/>
      <c r="BE78" s="53"/>
      <c r="BF78" s="148"/>
      <c r="BG78" s="155"/>
      <c r="BH78" s="197"/>
      <c r="BI78" s="350"/>
      <c r="BJ78" s="153"/>
      <c r="BK78" s="157"/>
      <c r="BL78" s="153"/>
      <c r="BM78" s="153"/>
      <c r="BN78" s="155"/>
      <c r="BO78" s="155"/>
      <c r="BP78" s="153"/>
      <c r="BQ78" s="153"/>
      <c r="BR78" s="144"/>
      <c r="BS78" s="155"/>
      <c r="BT78" s="144"/>
      <c r="BU78" s="121"/>
      <c r="CF78" s="122"/>
      <c r="CG78" s="350"/>
      <c r="CH78" s="153"/>
      <c r="CI78" s="153"/>
      <c r="CJ78" s="53"/>
      <c r="CR78" s="117"/>
    </row>
    <row r="79" spans="1:96" ht="15" customHeight="1" x14ac:dyDescent="0.25">
      <c r="A79" s="123"/>
      <c r="B79" s="124"/>
      <c r="C79" s="188"/>
      <c r="D79" s="124"/>
      <c r="E79" s="124"/>
      <c r="F79" s="124"/>
      <c r="G79" s="124"/>
      <c r="H79" s="125"/>
      <c r="I79" s="124"/>
      <c r="J79" s="124"/>
      <c r="K79" s="124"/>
      <c r="L79" s="126"/>
      <c r="M79" s="349">
        <f>M41</f>
        <v>0</v>
      </c>
      <c r="N79" s="147"/>
      <c r="O79" s="147"/>
      <c r="P79" s="147"/>
      <c r="Q79" s="143"/>
      <c r="R79" s="163"/>
      <c r="S79" s="163"/>
      <c r="T79" s="155"/>
      <c r="U79" s="164"/>
      <c r="V79" s="165"/>
      <c r="W79" s="144"/>
      <c r="X79" s="144"/>
      <c r="Y79" s="349"/>
      <c r="Z79" s="150"/>
      <c r="AA79" s="150"/>
      <c r="AB79" s="151"/>
      <c r="AC79" s="150"/>
      <c r="AD79" s="152"/>
      <c r="AE79" s="361"/>
      <c r="AF79" s="361"/>
      <c r="AG79" s="148"/>
      <c r="AH79" s="150"/>
      <c r="AI79" s="148"/>
      <c r="AJ79" s="150"/>
      <c r="AK79" s="349"/>
      <c r="AL79" s="155"/>
      <c r="AM79" s="155"/>
      <c r="AN79" s="150"/>
      <c r="AO79" s="150"/>
      <c r="AP79" s="53"/>
      <c r="AQ79" s="155"/>
      <c r="AR79" s="144"/>
      <c r="AS79" s="143"/>
      <c r="AT79" s="163"/>
      <c r="AU79" s="144"/>
      <c r="AV79" s="144"/>
      <c r="AW79" s="349"/>
      <c r="AX79" s="153"/>
      <c r="AY79" s="153"/>
      <c r="AZ79" s="150"/>
      <c r="BA79" s="148"/>
      <c r="BB79" s="144"/>
      <c r="BC79" s="144"/>
      <c r="BD79" s="155"/>
      <c r="BE79" s="53"/>
      <c r="BF79" s="148"/>
      <c r="BG79" s="155"/>
      <c r="BH79" s="197"/>
      <c r="BI79" s="349"/>
      <c r="BJ79" s="153"/>
      <c r="BK79" s="157"/>
      <c r="BL79" s="153"/>
      <c r="BM79" s="153"/>
      <c r="BN79" s="155"/>
      <c r="BO79" s="155"/>
      <c r="BP79" s="153"/>
      <c r="BQ79" s="153"/>
      <c r="BR79" s="144"/>
      <c r="BS79" s="155"/>
      <c r="BT79" s="144"/>
      <c r="BU79" s="121"/>
      <c r="CF79" s="122"/>
      <c r="CG79" s="349"/>
      <c r="CH79" s="153"/>
      <c r="CI79" s="153"/>
      <c r="CJ79" s="53"/>
      <c r="CR79" s="117"/>
    </row>
    <row r="80" spans="1:96" x14ac:dyDescent="0.25">
      <c r="A80" s="123"/>
      <c r="B80" s="124"/>
      <c r="C80" s="188"/>
      <c r="D80" s="124"/>
      <c r="E80" s="124"/>
      <c r="F80" s="124"/>
      <c r="G80" s="124"/>
      <c r="H80" s="125"/>
      <c r="I80" s="124"/>
      <c r="J80" s="124"/>
      <c r="K80" s="124"/>
      <c r="L80" s="126"/>
      <c r="M80" s="350"/>
      <c r="N80" s="147"/>
      <c r="O80" s="147"/>
      <c r="P80" s="147"/>
      <c r="Q80" s="143"/>
      <c r="R80" s="163"/>
      <c r="S80" s="163"/>
      <c r="T80" s="155"/>
      <c r="U80" s="164"/>
      <c r="V80" s="165"/>
      <c r="W80" s="144"/>
      <c r="X80" s="144"/>
      <c r="Y80" s="350"/>
      <c r="Z80" s="150"/>
      <c r="AA80" s="150"/>
      <c r="AB80" s="151"/>
      <c r="AC80" s="150"/>
      <c r="AD80" s="152"/>
      <c r="AE80" s="361"/>
      <c r="AF80" s="361"/>
      <c r="AG80" s="148"/>
      <c r="AH80" s="150"/>
      <c r="AI80" s="148"/>
      <c r="AJ80" s="150"/>
      <c r="AK80" s="350"/>
      <c r="AL80" s="155"/>
      <c r="AM80" s="155"/>
      <c r="AN80" s="150"/>
      <c r="AO80" s="150"/>
      <c r="AP80" s="53"/>
      <c r="AQ80" s="155"/>
      <c r="AR80" s="144"/>
      <c r="AS80" s="143"/>
      <c r="AT80" s="163"/>
      <c r="AU80" s="144"/>
      <c r="AV80" s="144"/>
      <c r="AW80" s="350"/>
      <c r="AX80" s="153"/>
      <c r="AY80" s="153"/>
      <c r="AZ80" s="150"/>
      <c r="BA80" s="148"/>
      <c r="BB80" s="144"/>
      <c r="BC80" s="144"/>
      <c r="BD80" s="155"/>
      <c r="BE80" s="53"/>
      <c r="BF80" s="148"/>
      <c r="BG80" s="155"/>
      <c r="BH80" s="197"/>
      <c r="BI80" s="350"/>
      <c r="BJ80" s="153"/>
      <c r="BK80" s="157"/>
      <c r="BL80" s="153"/>
      <c r="BM80" s="153"/>
      <c r="BN80" s="155"/>
      <c r="BO80" s="155"/>
      <c r="BP80" s="153"/>
      <c r="BQ80" s="153"/>
      <c r="BR80" s="144"/>
      <c r="BS80" s="155"/>
      <c r="BT80" s="144"/>
      <c r="BU80" s="121"/>
      <c r="CF80" s="122"/>
      <c r="CG80" s="350"/>
      <c r="CH80" s="153"/>
      <c r="CI80" s="153"/>
      <c r="CJ80" s="53"/>
      <c r="CR80" s="117"/>
    </row>
    <row r="81" spans="1:96" x14ac:dyDescent="0.25">
      <c r="A81" s="123"/>
      <c r="L81" s="126"/>
      <c r="M81" s="349">
        <f>M43</f>
        <v>0</v>
      </c>
      <c r="N81" s="147"/>
      <c r="O81" s="147"/>
      <c r="P81" s="147"/>
      <c r="Q81" s="143"/>
      <c r="R81" s="163"/>
      <c r="S81" s="163"/>
      <c r="T81" s="155"/>
      <c r="U81" s="164"/>
      <c r="V81" s="165"/>
      <c r="W81" s="144"/>
      <c r="X81" s="144"/>
      <c r="Y81" s="349"/>
      <c r="Z81" s="150"/>
      <c r="AA81" s="150"/>
      <c r="AB81" s="151"/>
      <c r="AC81" s="150"/>
      <c r="AD81" s="152"/>
      <c r="AE81" s="361"/>
      <c r="AF81" s="361"/>
      <c r="AG81" s="148"/>
      <c r="AH81" s="150"/>
      <c r="AI81" s="148"/>
      <c r="AJ81" s="150"/>
      <c r="AK81" s="349"/>
      <c r="AL81" s="155"/>
      <c r="AM81" s="155"/>
      <c r="AN81" s="150"/>
      <c r="AO81" s="150"/>
      <c r="AP81" s="53"/>
      <c r="AQ81" s="155"/>
      <c r="AR81" s="144"/>
      <c r="AS81" s="143"/>
      <c r="AT81" s="163"/>
      <c r="AU81" s="144"/>
      <c r="AV81" s="144"/>
      <c r="AW81" s="349"/>
      <c r="AX81" s="153"/>
      <c r="AY81" s="153"/>
      <c r="AZ81" s="150"/>
      <c r="BA81" s="148"/>
      <c r="BB81" s="144"/>
      <c r="BC81" s="144"/>
      <c r="BD81" s="155"/>
      <c r="BE81" s="53"/>
      <c r="BF81" s="148"/>
      <c r="BG81" s="155"/>
      <c r="BH81" s="197"/>
      <c r="BI81" s="349"/>
      <c r="BJ81" s="153"/>
      <c r="BK81" s="157"/>
      <c r="BL81" s="153"/>
      <c r="BM81" s="153"/>
      <c r="BN81" s="155"/>
      <c r="BO81" s="155"/>
      <c r="BP81" s="153"/>
      <c r="BQ81" s="153"/>
      <c r="BR81" s="144"/>
      <c r="BS81" s="155"/>
      <c r="BT81" s="144"/>
      <c r="BU81" s="121"/>
      <c r="CF81" s="122"/>
      <c r="CG81" s="349"/>
      <c r="CH81" s="153"/>
      <c r="CI81" s="153"/>
      <c r="CJ81" s="53"/>
      <c r="CR81" s="117"/>
    </row>
    <row r="82" spans="1:96" ht="15" customHeight="1" x14ac:dyDescent="0.25">
      <c r="A82" s="123"/>
      <c r="L82" s="126"/>
      <c r="M82" s="350"/>
      <c r="N82" s="147"/>
      <c r="O82" s="147"/>
      <c r="P82" s="147"/>
      <c r="Q82" s="143"/>
      <c r="R82" s="163"/>
      <c r="S82" s="163"/>
      <c r="T82" s="155"/>
      <c r="U82" s="164"/>
      <c r="V82" s="165"/>
      <c r="W82" s="144"/>
      <c r="X82" s="144"/>
      <c r="Y82" s="350"/>
      <c r="Z82" s="150"/>
      <c r="AA82" s="150"/>
      <c r="AB82" s="151"/>
      <c r="AC82" s="150"/>
      <c r="AD82" s="152"/>
      <c r="AE82" s="361"/>
      <c r="AF82" s="361"/>
      <c r="AG82" s="148"/>
      <c r="AH82" s="150"/>
      <c r="AI82" s="148"/>
      <c r="AJ82" s="150"/>
      <c r="AK82" s="350"/>
      <c r="AL82" s="155"/>
      <c r="AM82" s="155"/>
      <c r="AN82" s="150"/>
      <c r="AO82" s="150"/>
      <c r="AP82" s="53"/>
      <c r="AQ82" s="155"/>
      <c r="AR82" s="144"/>
      <c r="AS82" s="143"/>
      <c r="AT82" s="163"/>
      <c r="AU82" s="144"/>
      <c r="AV82" s="144"/>
      <c r="AW82" s="350"/>
      <c r="AX82" s="153"/>
      <c r="AY82" s="153"/>
      <c r="AZ82" s="150"/>
      <c r="BA82" s="148"/>
      <c r="BB82" s="144"/>
      <c r="BC82" s="144"/>
      <c r="BD82" s="155"/>
      <c r="BE82" s="53"/>
      <c r="BF82" s="148"/>
      <c r="BG82" s="155"/>
      <c r="BH82" s="197"/>
      <c r="BI82" s="350"/>
      <c r="BJ82" s="153"/>
      <c r="BK82" s="157"/>
      <c r="BL82" s="153"/>
      <c r="BM82" s="153"/>
      <c r="BN82" s="155"/>
      <c r="BO82" s="155"/>
      <c r="BP82" s="153"/>
      <c r="BQ82" s="153"/>
      <c r="BR82" s="144"/>
      <c r="BS82" s="155"/>
      <c r="BT82" s="144"/>
      <c r="BU82" s="121"/>
      <c r="CF82" s="122"/>
      <c r="CG82" s="350"/>
      <c r="CH82" s="153"/>
      <c r="CI82" s="153"/>
      <c r="CJ82" s="53"/>
      <c r="CR82" s="117"/>
    </row>
    <row r="83" spans="1:96" ht="15" customHeight="1" x14ac:dyDescent="0.25">
      <c r="A83" s="159"/>
      <c r="K83" s="160"/>
      <c r="L83" s="122"/>
      <c r="M83" s="159"/>
      <c r="W83" s="160"/>
      <c r="X83" s="122"/>
      <c r="Y83" s="116"/>
      <c r="Z83" s="114"/>
      <c r="AA83" s="114"/>
      <c r="AB83" s="114"/>
      <c r="AC83" s="114"/>
      <c r="AD83" s="114"/>
      <c r="AJ83" s="122"/>
      <c r="AK83" s="116"/>
      <c r="AL83" s="114"/>
      <c r="AM83" s="114"/>
      <c r="AN83" s="114"/>
      <c r="AO83" s="114"/>
      <c r="AP83" s="114"/>
      <c r="AQ83" s="114"/>
      <c r="AR83" s="114"/>
      <c r="AS83" s="114" t="s">
        <v>806</v>
      </c>
      <c r="AT83" s="114"/>
      <c r="AU83" s="114"/>
      <c r="AV83" s="117"/>
      <c r="AW83" s="116"/>
      <c r="AZ83" s="114"/>
      <c r="BA83" s="114"/>
      <c r="BB83" s="114"/>
      <c r="BC83" s="114"/>
      <c r="BD83" s="114"/>
      <c r="BE83" s="114"/>
      <c r="BF83" s="114"/>
      <c r="BG83" s="114"/>
      <c r="BH83" s="117"/>
      <c r="BI83" s="121"/>
      <c r="BP83" s="112"/>
      <c r="BQ83" s="112"/>
      <c r="BR83" s="112"/>
      <c r="BS83" s="112"/>
      <c r="BT83" s="122"/>
      <c r="BU83" s="121"/>
      <c r="CF83" s="122"/>
      <c r="CR83" s="117"/>
    </row>
    <row r="84" spans="1:96" x14ac:dyDescent="0.25">
      <c r="A84" s="167"/>
      <c r="B84" s="168"/>
      <c r="C84" s="169"/>
      <c r="D84" s="170"/>
      <c r="E84" s="170"/>
      <c r="F84" s="171"/>
      <c r="G84" s="170"/>
      <c r="H84" s="171"/>
      <c r="I84" s="170"/>
      <c r="J84" s="170"/>
      <c r="K84" s="172"/>
      <c r="L84" s="173"/>
      <c r="M84" s="167"/>
      <c r="N84" s="168"/>
      <c r="O84" s="169"/>
      <c r="P84" s="170"/>
      <c r="Q84" s="170"/>
      <c r="R84" s="171"/>
      <c r="S84" s="170"/>
      <c r="T84" s="171"/>
      <c r="U84" s="170"/>
      <c r="V84" s="170"/>
      <c r="W84" s="172"/>
      <c r="X84" s="173"/>
      <c r="Y84" s="174"/>
      <c r="Z84" s="168"/>
      <c r="AA84" s="168"/>
      <c r="AB84" s="175"/>
      <c r="AC84" s="175"/>
      <c r="AD84" s="175"/>
      <c r="AE84" s="175"/>
      <c r="AF84" s="175"/>
      <c r="AG84" s="175"/>
      <c r="AH84" s="175"/>
      <c r="AI84" s="175"/>
      <c r="AJ84" s="176"/>
      <c r="AK84" s="174"/>
      <c r="AL84" s="168"/>
      <c r="AM84" s="168"/>
      <c r="AN84" s="175"/>
      <c r="AO84" s="175"/>
      <c r="AP84" s="175"/>
      <c r="AQ84" s="175"/>
      <c r="AR84" s="175"/>
      <c r="AS84" s="175"/>
      <c r="AT84" s="175"/>
      <c r="AU84" s="175"/>
      <c r="AV84" s="176"/>
      <c r="AW84" s="174"/>
      <c r="AX84" s="168"/>
      <c r="AY84" s="168"/>
      <c r="AZ84" s="175"/>
      <c r="BA84" s="175"/>
      <c r="BB84" s="175"/>
      <c r="BC84" s="175"/>
      <c r="BD84" s="175"/>
      <c r="BE84" s="175"/>
      <c r="BF84" s="175"/>
      <c r="BG84" s="175"/>
      <c r="BH84" s="176"/>
      <c r="BI84" s="195"/>
      <c r="BJ84" s="175"/>
      <c r="BK84" s="175"/>
      <c r="BL84" s="175"/>
      <c r="BM84" s="175"/>
      <c r="BN84" s="175"/>
      <c r="BO84" s="175"/>
      <c r="BP84" s="175"/>
      <c r="BQ84" s="175"/>
      <c r="BR84" s="175"/>
      <c r="BS84" s="175"/>
      <c r="BT84" s="176"/>
      <c r="BU84" s="195"/>
      <c r="BV84" s="170"/>
      <c r="BW84" s="170"/>
      <c r="BX84" s="170"/>
      <c r="BY84" s="170"/>
      <c r="BZ84" s="170"/>
      <c r="CA84" s="170"/>
      <c r="CB84" s="175"/>
      <c r="CC84" s="175"/>
      <c r="CD84" s="175"/>
      <c r="CE84" s="175"/>
      <c r="CF84" s="176"/>
      <c r="CR84" s="117"/>
    </row>
    <row r="85" spans="1:96" ht="15.75" thickBot="1" x14ac:dyDescent="0.3">
      <c r="B85" s="114"/>
      <c r="C85" s="114"/>
      <c r="D85" s="114"/>
      <c r="E85" s="114"/>
      <c r="F85" s="114"/>
      <c r="G85" s="114"/>
      <c r="H85" s="114"/>
      <c r="I85" s="114"/>
      <c r="J85" s="114"/>
      <c r="K85" s="114"/>
      <c r="L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c r="AJ85" s="114"/>
      <c r="AK85" s="114"/>
      <c r="AL85" s="114"/>
      <c r="AM85" s="114"/>
      <c r="AN85" s="114"/>
      <c r="AO85" s="114"/>
      <c r="AP85" s="114"/>
      <c r="AQ85" s="114"/>
      <c r="AR85" s="114"/>
      <c r="AS85" s="114"/>
      <c r="AT85" s="114"/>
      <c r="AU85" s="114"/>
      <c r="AV85" s="114"/>
      <c r="AW85" s="114"/>
      <c r="AX85" s="114"/>
      <c r="AY85" s="114"/>
      <c r="AZ85" s="114"/>
      <c r="BA85" s="114"/>
      <c r="BB85" s="114"/>
      <c r="BC85" s="114"/>
      <c r="BD85" s="114"/>
      <c r="BE85" s="114"/>
      <c r="BF85" s="114"/>
      <c r="BG85" s="114"/>
      <c r="BH85" s="114"/>
      <c r="BI85" s="114"/>
      <c r="BJ85" s="114"/>
      <c r="BK85" s="114"/>
      <c r="BL85" s="114"/>
      <c r="BM85" s="114"/>
      <c r="BN85" s="114"/>
      <c r="BO85" s="114"/>
      <c r="BP85" s="114"/>
      <c r="BQ85" s="114"/>
      <c r="BR85" s="114"/>
    </row>
    <row r="86" spans="1:96" ht="16.5" customHeight="1" x14ac:dyDescent="0.25">
      <c r="N86" s="363" t="s">
        <v>736</v>
      </c>
      <c r="O86" s="364"/>
      <c r="P86" s="364"/>
      <c r="Q86" s="364"/>
      <c r="R86" s="364"/>
      <c r="S86" s="365"/>
      <c r="T86" s="363" t="s">
        <v>737</v>
      </c>
      <c r="U86" s="364"/>
      <c r="V86" s="366"/>
      <c r="W86" s="114"/>
      <c r="AL86" s="178"/>
      <c r="AM86" s="178"/>
      <c r="AN86" s="114"/>
      <c r="AO86" s="114"/>
      <c r="AP86" s="114"/>
      <c r="AQ86" s="114"/>
      <c r="AR86" s="114"/>
      <c r="AS86" s="114"/>
      <c r="AT86" s="114"/>
      <c r="AU86" s="114"/>
      <c r="AV86" s="114"/>
      <c r="AW86" s="177"/>
      <c r="AX86" s="178"/>
      <c r="AY86" s="178"/>
      <c r="AZ86" s="114"/>
      <c r="BA86" s="114"/>
      <c r="BB86" s="114"/>
      <c r="BC86" s="114"/>
      <c r="BD86" s="114"/>
      <c r="BE86" s="114"/>
      <c r="BF86" s="114"/>
      <c r="BG86" s="114"/>
      <c r="BH86" s="114"/>
      <c r="BI86" s="114"/>
      <c r="BJ86" s="114"/>
      <c r="BK86" s="114"/>
      <c r="BL86" s="114"/>
      <c r="BM86" s="114"/>
      <c r="BN86" s="114"/>
      <c r="BO86" s="114"/>
      <c r="BP86" s="114"/>
      <c r="BQ86" s="114"/>
      <c r="BR86" s="114"/>
    </row>
    <row r="87" spans="1:96" x14ac:dyDescent="0.25">
      <c r="N87" s="367" t="s">
        <v>738</v>
      </c>
      <c r="O87" s="361"/>
      <c r="P87" s="361"/>
      <c r="Q87" s="361"/>
      <c r="R87" s="361"/>
      <c r="S87" s="369"/>
      <c r="T87" s="367"/>
      <c r="U87" s="361"/>
      <c r="V87" s="368"/>
      <c r="W87" s="114"/>
      <c r="Y87" s="132" t="s">
        <v>672</v>
      </c>
      <c r="Z87" s="132" t="s">
        <v>673</v>
      </c>
      <c r="AL87" s="178"/>
      <c r="AM87" s="178"/>
      <c r="AN87" s="114"/>
      <c r="AO87" s="114"/>
      <c r="AP87" s="114"/>
      <c r="AQ87" s="114"/>
      <c r="AR87" s="114"/>
      <c r="AS87" s="114"/>
      <c r="AT87" s="114"/>
      <c r="AU87" s="114"/>
      <c r="AV87" s="114"/>
      <c r="AW87" s="177"/>
      <c r="AX87" s="178"/>
      <c r="AY87" s="178"/>
      <c r="AZ87" s="114"/>
      <c r="BA87" s="114"/>
      <c r="BB87" s="114"/>
      <c r="BC87" s="114"/>
      <c r="BD87" s="114"/>
      <c r="BE87" s="114"/>
      <c r="BF87" s="114"/>
      <c r="BG87" s="114"/>
      <c r="BH87" s="114"/>
      <c r="BI87" s="114"/>
      <c r="BJ87" s="114"/>
      <c r="BK87" s="114"/>
      <c r="BL87" s="114"/>
      <c r="BM87" s="114"/>
      <c r="BN87" s="114"/>
      <c r="BO87" s="114"/>
      <c r="BP87" s="114"/>
      <c r="BQ87" s="114"/>
      <c r="BR87" s="114"/>
    </row>
    <row r="88" spans="1:96" ht="13.9" customHeight="1" x14ac:dyDescent="0.25">
      <c r="N88" s="367" t="s">
        <v>306</v>
      </c>
      <c r="O88" s="370" t="s">
        <v>739</v>
      </c>
      <c r="P88" s="361" t="s">
        <v>740</v>
      </c>
      <c r="Q88" s="361"/>
      <c r="R88" s="361"/>
      <c r="S88" s="369"/>
      <c r="T88" s="367"/>
      <c r="U88" s="361"/>
      <c r="V88" s="368"/>
      <c r="W88" s="160"/>
      <c r="Y88" s="133" t="s">
        <v>634</v>
      </c>
      <c r="Z88" s="133" t="s">
        <v>634</v>
      </c>
      <c r="AL88" s="178"/>
      <c r="AM88" s="178"/>
      <c r="AN88" s="114"/>
      <c r="AO88" s="114"/>
      <c r="AP88" s="114"/>
      <c r="AQ88" s="114"/>
      <c r="AR88" s="114"/>
      <c r="AS88" s="114"/>
      <c r="AT88" s="114"/>
      <c r="AU88" s="114"/>
      <c r="AV88" s="114"/>
      <c r="AW88" s="177"/>
      <c r="AX88" s="178"/>
      <c r="AY88" s="178"/>
      <c r="AZ88" s="114"/>
      <c r="BA88" s="114"/>
      <c r="BB88" s="114"/>
      <c r="BC88" s="114"/>
      <c r="BD88" s="114"/>
      <c r="BE88" s="114"/>
      <c r="BF88" s="114"/>
      <c r="BG88" s="114"/>
      <c r="BH88" s="114"/>
      <c r="BI88" s="114"/>
      <c r="BJ88" s="114"/>
      <c r="BK88" s="114"/>
      <c r="BL88" s="114"/>
      <c r="BM88" s="114"/>
      <c r="BN88" s="114"/>
      <c r="BO88" s="114"/>
      <c r="BP88" s="114"/>
      <c r="BQ88" s="114"/>
      <c r="BR88" s="114"/>
    </row>
    <row r="89" spans="1:96" x14ac:dyDescent="0.25">
      <c r="N89" s="367"/>
      <c r="O89" s="370"/>
      <c r="P89" s="155" t="s">
        <v>741</v>
      </c>
      <c r="Q89" s="155" t="s">
        <v>308</v>
      </c>
      <c r="R89" s="155" t="s">
        <v>742</v>
      </c>
      <c r="S89" s="180" t="s">
        <v>192</v>
      </c>
      <c r="T89" s="179" t="s">
        <v>308</v>
      </c>
      <c r="U89" s="155" t="s">
        <v>741</v>
      </c>
      <c r="V89" s="181" t="s">
        <v>743</v>
      </c>
      <c r="W89" s="160"/>
      <c r="Y89" s="150">
        <f>2*N51/(3*AA13*(AC13/2-AD13))</f>
        <v>133.25228590452303</v>
      </c>
      <c r="Z89" s="150">
        <f>2*N51/(3*AA13*(AC13/2-AE13))</f>
        <v>116.15512969670527</v>
      </c>
      <c r="AE89" s="125"/>
      <c r="AF89" s="125"/>
      <c r="AL89" s="178"/>
      <c r="AM89" s="178"/>
      <c r="AN89" s="114"/>
      <c r="AO89" s="114"/>
      <c r="AP89" s="114"/>
      <c r="AQ89" s="114"/>
      <c r="AR89" s="114"/>
      <c r="AS89" s="114"/>
      <c r="AT89" s="114"/>
      <c r="AU89" s="114"/>
      <c r="AV89" s="114"/>
      <c r="AW89" s="177"/>
      <c r="AX89" s="178"/>
      <c r="AY89" s="178"/>
      <c r="AZ89" s="114"/>
      <c r="BA89" s="114"/>
      <c r="BB89" s="114"/>
      <c r="BC89" s="114"/>
      <c r="BD89" s="114"/>
      <c r="BE89" s="114"/>
      <c r="BF89" s="114"/>
      <c r="BG89" s="114"/>
      <c r="BH89" s="114"/>
      <c r="BI89" s="114"/>
      <c r="BJ89" s="114"/>
      <c r="BK89" s="114"/>
      <c r="BL89" s="114"/>
      <c r="BM89" s="114"/>
      <c r="BN89" s="114"/>
      <c r="BO89" s="114"/>
      <c r="BP89" s="114"/>
      <c r="BQ89" s="114"/>
      <c r="BR89" s="114"/>
    </row>
    <row r="90" spans="1:96" x14ac:dyDescent="0.25">
      <c r="B90" s="145">
        <v>9.6006999999999998</v>
      </c>
      <c r="C90" s="145">
        <v>72.634100000000004</v>
      </c>
      <c r="D90" s="145">
        <v>454.08749999999998</v>
      </c>
      <c r="E90" s="145">
        <v>280.0093</v>
      </c>
      <c r="F90" s="145">
        <v>10.1501</v>
      </c>
      <c r="N90" s="179" t="s">
        <v>307</v>
      </c>
      <c r="O90" s="155" t="s">
        <v>401</v>
      </c>
      <c r="P90" s="155" t="s">
        <v>374</v>
      </c>
      <c r="Q90" s="155" t="s">
        <v>383</v>
      </c>
      <c r="R90" s="155" t="s">
        <v>374</v>
      </c>
      <c r="S90" s="180" t="s">
        <v>744</v>
      </c>
      <c r="T90" s="179" t="s">
        <v>309</v>
      </c>
      <c r="U90" s="155" t="s">
        <v>150</v>
      </c>
      <c r="V90" s="181" t="s">
        <v>150</v>
      </c>
      <c r="Y90" s="150">
        <f t="shared" ref="Y90:Y120" si="115">2*N52/(3*AA14*(AC14/2-AD14))</f>
        <v>108.51625688754436</v>
      </c>
      <c r="Z90" s="150">
        <f t="shared" ref="Z90:Z120" si="116">2*N52/(3*AA14*(AC14/2-AE14))</f>
        <v>104.01754978888199</v>
      </c>
      <c r="AE90" s="125"/>
      <c r="AF90" s="125"/>
      <c r="AL90" s="178"/>
      <c r="AM90" s="178"/>
      <c r="AN90" s="114"/>
      <c r="AO90" s="114"/>
      <c r="AP90" s="114"/>
      <c r="AQ90" s="114"/>
      <c r="AR90" s="114"/>
      <c r="AS90" s="114"/>
      <c r="AT90" s="114"/>
      <c r="AU90" s="114"/>
      <c r="AV90" s="114"/>
      <c r="AW90" s="177"/>
      <c r="AX90" s="178"/>
      <c r="AY90" s="178"/>
      <c r="AZ90" s="114"/>
      <c r="BA90" s="114"/>
      <c r="BB90" s="114"/>
      <c r="BC90" s="114"/>
      <c r="BD90" s="114"/>
      <c r="BE90" s="114"/>
      <c r="BF90" s="114"/>
      <c r="BG90" s="114"/>
      <c r="BH90" s="114"/>
      <c r="BI90" s="114"/>
      <c r="BJ90" s="114"/>
      <c r="BK90" s="114"/>
      <c r="BL90" s="114"/>
      <c r="BM90" s="114"/>
      <c r="BN90" s="114"/>
      <c r="BO90" s="114"/>
      <c r="BP90" s="114"/>
      <c r="BQ90" s="114"/>
      <c r="BR90" s="114"/>
    </row>
    <row r="91" spans="1:96" x14ac:dyDescent="0.25">
      <c r="B91" s="145">
        <v>18.489999999999998</v>
      </c>
      <c r="C91" s="145">
        <v>60.574399999999997</v>
      </c>
      <c r="D91" s="145">
        <v>440.6549</v>
      </c>
      <c r="E91" s="145">
        <v>296.62860000000001</v>
      </c>
      <c r="F91" s="145">
        <v>37.851399999999998</v>
      </c>
      <c r="N91" s="179">
        <v>2</v>
      </c>
      <c r="O91" s="155" t="str">
        <f t="shared" ref="O91:O102" si="117">CONCATENATE(N91,"/8","""")</f>
        <v>2/8"</v>
      </c>
      <c r="P91" s="155">
        <v>6.4</v>
      </c>
      <c r="Q91" s="155">
        <v>32</v>
      </c>
      <c r="R91" s="155">
        <v>20</v>
      </c>
      <c r="S91" s="180">
        <v>0.25</v>
      </c>
      <c r="T91" s="179">
        <f t="shared" ref="T91:T102" si="118">Q91/100</f>
        <v>0.32</v>
      </c>
      <c r="U91" s="155">
        <f t="shared" ref="U91:U102" si="119">P91/10</f>
        <v>0.64</v>
      </c>
      <c r="V91" s="181">
        <v>25</v>
      </c>
      <c r="Y91" s="150">
        <f t="shared" si="115"/>
        <v>146.11677764725982</v>
      </c>
      <c r="Z91" s="150">
        <f t="shared" si="116"/>
        <v>141.82185665166321</v>
      </c>
      <c r="AU91" s="114"/>
      <c r="AV91" s="114"/>
      <c r="BG91" s="114"/>
      <c r="BH91" s="114"/>
      <c r="BI91" s="114"/>
      <c r="BJ91" s="114"/>
      <c r="BK91" s="114"/>
      <c r="BL91" s="114"/>
      <c r="BM91" s="114"/>
      <c r="BN91" s="114"/>
      <c r="BO91" s="114"/>
      <c r="BP91" s="114"/>
      <c r="BQ91" s="114"/>
      <c r="BR91" s="114"/>
    </row>
    <row r="92" spans="1:96" x14ac:dyDescent="0.25">
      <c r="B92" s="145">
        <v>3.3851</v>
      </c>
      <c r="C92" s="145">
        <v>76.146799999999999</v>
      </c>
      <c r="D92" s="145">
        <v>846.07569999999998</v>
      </c>
      <c r="E92" s="145">
        <v>278.2647</v>
      </c>
      <c r="F92" s="145">
        <v>12.070600000000001</v>
      </c>
      <c r="N92" s="179">
        <v>3</v>
      </c>
      <c r="O92" s="155" t="str">
        <f t="shared" si="117"/>
        <v>3/8"</v>
      </c>
      <c r="P92" s="155">
        <v>9.5</v>
      </c>
      <c r="Q92" s="155">
        <v>71</v>
      </c>
      <c r="R92" s="155">
        <v>30</v>
      </c>
      <c r="S92" s="180">
        <v>0.56000000000000005</v>
      </c>
      <c r="T92" s="179">
        <f t="shared" si="118"/>
        <v>0.71</v>
      </c>
      <c r="U92" s="155">
        <f t="shared" si="119"/>
        <v>0.95</v>
      </c>
      <c r="V92" s="181">
        <v>30</v>
      </c>
      <c r="Y92" s="150">
        <f t="shared" si="115"/>
        <v>143.12307063876193</v>
      </c>
      <c r="Z92" s="150">
        <f t="shared" si="116"/>
        <v>131.36613118435349</v>
      </c>
      <c r="AU92" s="114"/>
      <c r="BG92" s="114"/>
      <c r="BI92" s="114"/>
      <c r="BJ92" s="114"/>
      <c r="BK92" s="114"/>
      <c r="BL92" s="114"/>
      <c r="BM92" s="114"/>
      <c r="BN92" s="114"/>
      <c r="BO92" s="114"/>
      <c r="BP92" s="114"/>
      <c r="BQ92" s="114"/>
      <c r="BR92" s="114"/>
    </row>
    <row r="93" spans="1:96" x14ac:dyDescent="0.25">
      <c r="B93" s="145">
        <v>7.4337</v>
      </c>
      <c r="C93" s="145">
        <v>58.554099999999998</v>
      </c>
      <c r="D93" s="145">
        <v>841.50409999999999</v>
      </c>
      <c r="E93" s="145">
        <v>304.17989999999998</v>
      </c>
      <c r="F93" s="145">
        <v>19.136900000000001</v>
      </c>
      <c r="M93" s="121"/>
      <c r="N93" s="179">
        <v>4</v>
      </c>
      <c r="O93" s="155" t="str">
        <f t="shared" si="117"/>
        <v>4/8"</v>
      </c>
      <c r="P93" s="155">
        <v>12.7</v>
      </c>
      <c r="Q93" s="155">
        <v>129</v>
      </c>
      <c r="R93" s="155">
        <v>40</v>
      </c>
      <c r="S93" s="180">
        <v>0.99399999999999999</v>
      </c>
      <c r="T93" s="179">
        <f t="shared" si="118"/>
        <v>1.29</v>
      </c>
      <c r="U93" s="155">
        <f t="shared" si="119"/>
        <v>1.27</v>
      </c>
      <c r="V93" s="181">
        <v>35</v>
      </c>
      <c r="Y93" s="150">
        <f t="shared" si="115"/>
        <v>115.13140223429593</v>
      </c>
      <c r="Z93" s="150">
        <f t="shared" si="116"/>
        <v>113.85026167279867</v>
      </c>
      <c r="BK93" s="114"/>
      <c r="BL93" s="114"/>
      <c r="BM93" s="114"/>
      <c r="BN93" s="114"/>
      <c r="BO93" s="114"/>
      <c r="BP93" s="114"/>
    </row>
    <row r="94" spans="1:96" x14ac:dyDescent="0.25">
      <c r="B94" s="145">
        <v>21.497499999999999</v>
      </c>
      <c r="C94" s="145">
        <v>67.034199999999998</v>
      </c>
      <c r="D94" s="145">
        <v>447.77609999999999</v>
      </c>
      <c r="E94" s="145">
        <v>292.57580000000002</v>
      </c>
      <c r="F94" s="145">
        <v>42.557600000000001</v>
      </c>
      <c r="M94" s="121"/>
      <c r="N94" s="179">
        <v>5</v>
      </c>
      <c r="O94" s="155" t="str">
        <f t="shared" si="117"/>
        <v>5/8"</v>
      </c>
      <c r="P94" s="155">
        <v>15.9</v>
      </c>
      <c r="Q94" s="155">
        <v>199</v>
      </c>
      <c r="R94" s="155">
        <v>50</v>
      </c>
      <c r="S94" s="180">
        <v>1.552</v>
      </c>
      <c r="T94" s="179">
        <f t="shared" si="118"/>
        <v>1.99</v>
      </c>
      <c r="U94" s="155">
        <f t="shared" si="119"/>
        <v>1.59</v>
      </c>
      <c r="V94" s="181">
        <v>40</v>
      </c>
      <c r="Y94" s="150">
        <f t="shared" si="115"/>
        <v>118.75889528077964</v>
      </c>
      <c r="Z94" s="150">
        <f t="shared" si="116"/>
        <v>98.757768850718719</v>
      </c>
      <c r="BK94" s="114"/>
      <c r="BL94" s="114"/>
      <c r="BM94" s="114"/>
      <c r="BN94" s="114"/>
      <c r="BO94" s="114"/>
      <c r="BP94" s="114"/>
    </row>
    <row r="95" spans="1:96" x14ac:dyDescent="0.25">
      <c r="B95" s="145">
        <v>12.933999999999999</v>
      </c>
      <c r="C95" s="145">
        <v>67.631799999999998</v>
      </c>
      <c r="D95" s="145">
        <v>435.00990000000002</v>
      </c>
      <c r="E95" s="145">
        <v>288.36849999999998</v>
      </c>
      <c r="F95" s="145">
        <v>15.463699999999999</v>
      </c>
      <c r="M95" s="121"/>
      <c r="N95" s="179">
        <v>6</v>
      </c>
      <c r="O95" s="155" t="str">
        <f t="shared" si="117"/>
        <v>6/8"</v>
      </c>
      <c r="P95" s="155">
        <v>19.100000000000001</v>
      </c>
      <c r="Q95" s="155">
        <v>284</v>
      </c>
      <c r="R95" s="155">
        <v>60</v>
      </c>
      <c r="S95" s="180">
        <v>2.2349999999999999</v>
      </c>
      <c r="T95" s="179">
        <f t="shared" si="118"/>
        <v>2.84</v>
      </c>
      <c r="U95" s="155">
        <f t="shared" si="119"/>
        <v>1.9100000000000001</v>
      </c>
      <c r="V95" s="181">
        <v>45</v>
      </c>
      <c r="Y95" s="150">
        <f t="shared" si="115"/>
        <v>102.59519196680037</v>
      </c>
      <c r="Z95" s="150">
        <f t="shared" si="116"/>
        <v>132.8113506714391</v>
      </c>
      <c r="BK95" s="114"/>
      <c r="BL95" s="114"/>
      <c r="BM95" s="114"/>
      <c r="BN95" s="114"/>
      <c r="BO95" s="114"/>
      <c r="BP95" s="114"/>
    </row>
    <row r="96" spans="1:96" x14ac:dyDescent="0.25">
      <c r="B96" s="145">
        <v>21.191800000000001</v>
      </c>
      <c r="C96" s="145">
        <v>66.872600000000006</v>
      </c>
      <c r="D96" s="145">
        <v>447.0111</v>
      </c>
      <c r="E96" s="145">
        <v>292.12349999999998</v>
      </c>
      <c r="F96" s="145">
        <v>42.105400000000003</v>
      </c>
      <c r="M96" s="121"/>
      <c r="N96" s="179">
        <v>7</v>
      </c>
      <c r="O96" s="155" t="str">
        <f t="shared" si="117"/>
        <v>7/8"</v>
      </c>
      <c r="P96" s="155">
        <v>22.2</v>
      </c>
      <c r="Q96" s="155">
        <v>387</v>
      </c>
      <c r="R96" s="155">
        <v>70</v>
      </c>
      <c r="S96" s="180">
        <v>3.0419999999999998</v>
      </c>
      <c r="T96" s="179">
        <f t="shared" si="118"/>
        <v>3.87</v>
      </c>
      <c r="U96" s="155">
        <f t="shared" si="119"/>
        <v>2.2199999999999998</v>
      </c>
      <c r="V96" s="181">
        <v>50</v>
      </c>
      <c r="Y96" s="150">
        <f t="shared" si="115"/>
        <v>103.45114391266904</v>
      </c>
      <c r="Z96" s="150">
        <f t="shared" si="116"/>
        <v>133.84320866910909</v>
      </c>
      <c r="AE96" s="125"/>
      <c r="AF96" s="125"/>
      <c r="AU96" s="114"/>
      <c r="BG96" s="114"/>
      <c r="BK96" s="114"/>
      <c r="BL96" s="114"/>
      <c r="BM96" s="114"/>
      <c r="BN96" s="114"/>
      <c r="BO96" s="114"/>
      <c r="BP96" s="114"/>
    </row>
    <row r="97" spans="1:68" s="111" customFormat="1" x14ac:dyDescent="0.25">
      <c r="B97" s="145">
        <v>12.5959</v>
      </c>
      <c r="C97" s="145">
        <v>67.836799999999997</v>
      </c>
      <c r="D97" s="145">
        <v>434.12670000000003</v>
      </c>
      <c r="E97" s="145">
        <v>287.96480000000003</v>
      </c>
      <c r="F97" s="145">
        <v>14.924899999999999</v>
      </c>
      <c r="M97" s="121"/>
      <c r="N97" s="179">
        <v>8</v>
      </c>
      <c r="O97" s="155" t="str">
        <f t="shared" si="117"/>
        <v>8/8"</v>
      </c>
      <c r="P97" s="155">
        <v>25.4</v>
      </c>
      <c r="Q97" s="155">
        <v>510</v>
      </c>
      <c r="R97" s="155">
        <v>80</v>
      </c>
      <c r="S97" s="180">
        <v>3.9729999999999999</v>
      </c>
      <c r="T97" s="179">
        <f t="shared" si="118"/>
        <v>5.0999999999999996</v>
      </c>
      <c r="U97" s="155">
        <f t="shared" si="119"/>
        <v>2.54</v>
      </c>
      <c r="V97" s="181">
        <v>55</v>
      </c>
      <c r="Y97" s="150">
        <f t="shared" si="115"/>
        <v>126.22960029987696</v>
      </c>
      <c r="Z97" s="150">
        <f t="shared" si="116"/>
        <v>142.73961345336062</v>
      </c>
      <c r="AE97" s="125"/>
      <c r="AF97" s="125"/>
      <c r="AU97" s="114"/>
      <c r="BG97" s="114"/>
    </row>
    <row r="98" spans="1:68" s="111" customFormat="1" x14ac:dyDescent="0.25">
      <c r="B98" s="145">
        <v>5.2232000000000003</v>
      </c>
      <c r="C98" s="145">
        <v>67.049899999999994</v>
      </c>
      <c r="D98" s="145">
        <v>831.024</v>
      </c>
      <c r="E98" s="145">
        <v>291.91149999999999</v>
      </c>
      <c r="F98" s="145">
        <v>15.1631</v>
      </c>
      <c r="M98" s="121"/>
      <c r="N98" s="179">
        <v>9</v>
      </c>
      <c r="O98" s="155" t="str">
        <f t="shared" si="117"/>
        <v>9/8"</v>
      </c>
      <c r="P98" s="155">
        <v>28.7</v>
      </c>
      <c r="Q98" s="155">
        <v>645</v>
      </c>
      <c r="R98" s="155">
        <v>90</v>
      </c>
      <c r="S98" s="180">
        <v>5.0599999999999996</v>
      </c>
      <c r="T98" s="179">
        <f t="shared" si="118"/>
        <v>6.45</v>
      </c>
      <c r="U98" s="155">
        <f t="shared" si="119"/>
        <v>2.87</v>
      </c>
      <c r="V98" s="181">
        <v>60</v>
      </c>
      <c r="Y98" s="150">
        <f t="shared" si="115"/>
        <v>126.19656861366838</v>
      </c>
      <c r="Z98" s="150">
        <f t="shared" si="116"/>
        <v>144.1684808237909</v>
      </c>
      <c r="AU98" s="114"/>
      <c r="BG98" s="114"/>
    </row>
    <row r="99" spans="1:68" s="111" customFormat="1" x14ac:dyDescent="0.25">
      <c r="B99" s="145">
        <v>5.4414999999999996</v>
      </c>
      <c r="C99" s="145">
        <v>67.460899999999995</v>
      </c>
      <c r="D99" s="145">
        <v>826.98699999999997</v>
      </c>
      <c r="E99" s="145">
        <v>290.10109999999997</v>
      </c>
      <c r="F99" s="145">
        <v>15.7631</v>
      </c>
      <c r="M99" s="121"/>
      <c r="N99" s="179">
        <v>10</v>
      </c>
      <c r="O99" s="155" t="str">
        <f t="shared" si="117"/>
        <v>10/8"</v>
      </c>
      <c r="P99" s="155">
        <v>32.299999999999997</v>
      </c>
      <c r="Q99" s="155">
        <v>819</v>
      </c>
      <c r="R99" s="155">
        <v>101.3</v>
      </c>
      <c r="S99" s="180">
        <v>6.4039999999999999</v>
      </c>
      <c r="T99" s="179">
        <f t="shared" si="118"/>
        <v>8.19</v>
      </c>
      <c r="U99" s="155">
        <f t="shared" si="119"/>
        <v>3.2299999999999995</v>
      </c>
      <c r="V99" s="181" t="s">
        <v>271</v>
      </c>
      <c r="Y99" s="150">
        <f t="shared" si="115"/>
        <v>104.72670775839765</v>
      </c>
      <c r="Z99" s="150">
        <f t="shared" si="116"/>
        <v>133.98633352924429</v>
      </c>
      <c r="AU99" s="114"/>
      <c r="BG99" s="114"/>
    </row>
    <row r="100" spans="1:68" s="111" customFormat="1" x14ac:dyDescent="0.25">
      <c r="B100" s="145">
        <v>12.6153</v>
      </c>
      <c r="C100" s="145">
        <v>66.370500000000007</v>
      </c>
      <c r="D100" s="145">
        <v>447.2294</v>
      </c>
      <c r="E100" s="145">
        <v>290.29899999999998</v>
      </c>
      <c r="F100" s="145">
        <v>15.2034</v>
      </c>
      <c r="M100" s="121"/>
      <c r="N100" s="179">
        <v>11</v>
      </c>
      <c r="O100" s="155" t="str">
        <f t="shared" si="117"/>
        <v>11/8"</v>
      </c>
      <c r="P100" s="155">
        <v>35.799999999999997</v>
      </c>
      <c r="Q100" s="155">
        <v>1006</v>
      </c>
      <c r="R100" s="155">
        <v>112.5</v>
      </c>
      <c r="S100" s="180">
        <v>7.907</v>
      </c>
      <c r="T100" s="179">
        <f t="shared" si="118"/>
        <v>10.06</v>
      </c>
      <c r="U100" s="155">
        <f t="shared" si="119"/>
        <v>3.5799999999999996</v>
      </c>
      <c r="V100" s="181">
        <v>70</v>
      </c>
      <c r="Y100" s="150">
        <f t="shared" si="115"/>
        <v>100.78611863446524</v>
      </c>
      <c r="Z100" s="150">
        <f t="shared" si="116"/>
        <v>131.99906489788219</v>
      </c>
      <c r="AU100" s="114"/>
      <c r="BG100" s="114"/>
    </row>
    <row r="101" spans="1:68" s="111" customFormat="1" x14ac:dyDescent="0.25">
      <c r="B101" s="145">
        <v>21.196000000000002</v>
      </c>
      <c r="C101" s="145">
        <v>67.656999999999996</v>
      </c>
      <c r="D101" s="145">
        <v>434.3612</v>
      </c>
      <c r="E101" s="145">
        <v>287.58</v>
      </c>
      <c r="F101" s="145">
        <v>42.340600000000002</v>
      </c>
      <c r="M101" s="121"/>
      <c r="N101" s="179">
        <v>14</v>
      </c>
      <c r="O101" s="155" t="str">
        <f t="shared" si="117"/>
        <v>14/8"</v>
      </c>
      <c r="P101" s="155">
        <v>43</v>
      </c>
      <c r="Q101" s="155">
        <v>1452</v>
      </c>
      <c r="R101" s="155">
        <v>135.1</v>
      </c>
      <c r="S101" s="180">
        <v>11.38</v>
      </c>
      <c r="T101" s="179">
        <f t="shared" si="118"/>
        <v>14.52</v>
      </c>
      <c r="U101" s="155">
        <f t="shared" si="119"/>
        <v>4.3</v>
      </c>
      <c r="V101" s="181">
        <v>75</v>
      </c>
      <c r="Y101" s="150">
        <f t="shared" si="115"/>
        <v>104.59441165457804</v>
      </c>
      <c r="Z101" s="150">
        <f t="shared" si="116"/>
        <v>133.83728156460413</v>
      </c>
      <c r="AU101" s="114"/>
      <c r="BG101" s="114"/>
    </row>
    <row r="102" spans="1:68" s="111" customFormat="1" ht="15.75" thickBot="1" x14ac:dyDescent="0.3">
      <c r="M102" s="121"/>
      <c r="N102" s="182">
        <v>18</v>
      </c>
      <c r="O102" s="183" t="str">
        <f t="shared" si="117"/>
        <v>18/8"</v>
      </c>
      <c r="P102" s="183">
        <v>57.3</v>
      </c>
      <c r="Q102" s="183">
        <v>2581</v>
      </c>
      <c r="R102" s="183">
        <v>180.1</v>
      </c>
      <c r="S102" s="184">
        <v>20.239999999999998</v>
      </c>
      <c r="T102" s="182">
        <f t="shared" si="118"/>
        <v>25.81</v>
      </c>
      <c r="U102" s="183">
        <f t="shared" si="119"/>
        <v>5.7299999999999995</v>
      </c>
      <c r="V102" s="185">
        <v>80</v>
      </c>
      <c r="Y102" s="150">
        <f t="shared" si="115"/>
        <v>100.6339629995001</v>
      </c>
      <c r="Z102" s="150">
        <f t="shared" si="116"/>
        <v>131.84471151461995</v>
      </c>
      <c r="AU102" s="114"/>
      <c r="BG102" s="114"/>
    </row>
    <row r="103" spans="1:68" s="111" customFormat="1" x14ac:dyDescent="0.25">
      <c r="Y103" s="150">
        <f t="shared" si="115"/>
        <v>125.01065549416202</v>
      </c>
      <c r="Z103" s="150">
        <f t="shared" si="116"/>
        <v>142.34366368762306</v>
      </c>
      <c r="AF103" s="125"/>
      <c r="AG103" s="125"/>
      <c r="AU103" s="114"/>
      <c r="BG103" s="114"/>
    </row>
    <row r="104" spans="1:68" s="111" customFormat="1" x14ac:dyDescent="0.25">
      <c r="A104" s="111">
        <v>0.8</v>
      </c>
      <c r="B104" s="111">
        <f>$A$104*B90</f>
        <v>7.6805599999999998</v>
      </c>
      <c r="C104" s="111">
        <f t="shared" ref="C104:E104" si="120">$A$104*C90</f>
        <v>58.107280000000003</v>
      </c>
      <c r="D104" s="111">
        <f t="shared" si="120"/>
        <v>363.27</v>
      </c>
      <c r="E104" s="111">
        <f t="shared" si="120"/>
        <v>224.00744</v>
      </c>
      <c r="F104" s="111">
        <f>$A$104*F90</f>
        <v>8.1200799999999997</v>
      </c>
      <c r="N104" s="111" t="s">
        <v>53</v>
      </c>
      <c r="O104" s="156">
        <f>+MAX(AA13:AA18)</f>
        <v>2.7</v>
      </c>
      <c r="P104" s="111" t="s">
        <v>101</v>
      </c>
      <c r="R104" s="111" t="s">
        <v>125</v>
      </c>
      <c r="S104" s="156">
        <f>(O106-O107)*O110</f>
        <v>0.85073509065836606</v>
      </c>
      <c r="T104" s="111" t="s">
        <v>101</v>
      </c>
      <c r="Y104" s="150">
        <f t="shared" si="115"/>
        <v>124.6711819700552</v>
      </c>
      <c r="Z104" s="150">
        <f t="shared" si="116"/>
        <v>141.85005109302335</v>
      </c>
      <c r="AF104" s="125"/>
      <c r="AG104" s="125"/>
      <c r="AU104" s="114"/>
      <c r="BG104" s="114"/>
    </row>
    <row r="105" spans="1:68" s="111" customFormat="1" x14ac:dyDescent="0.25">
      <c r="B105" s="111">
        <f t="shared" ref="B105:F105" si="121">$A$104*B91</f>
        <v>14.792</v>
      </c>
      <c r="C105" s="111">
        <f t="shared" si="121"/>
        <v>48.459519999999998</v>
      </c>
      <c r="D105" s="111">
        <f t="shared" si="121"/>
        <v>352.52392000000003</v>
      </c>
      <c r="E105" s="111">
        <f t="shared" si="121"/>
        <v>237.30288000000002</v>
      </c>
      <c r="F105" s="111">
        <f t="shared" si="121"/>
        <v>30.281120000000001</v>
      </c>
      <c r="N105" s="111" t="s">
        <v>147</v>
      </c>
      <c r="O105" s="156">
        <f>MAX(AC13:AC18)</f>
        <v>3.1</v>
      </c>
      <c r="P105" s="111" t="s">
        <v>101</v>
      </c>
      <c r="R105" s="111" t="s">
        <v>312</v>
      </c>
      <c r="S105" s="156">
        <f>(O104+2*S104)*O111/2</f>
        <v>4.1389807282175477</v>
      </c>
      <c r="T105" s="111" t="s">
        <v>101</v>
      </c>
      <c r="Y105" s="150">
        <f>2*N67/(3*AA29*(AC29/2-AD29))</f>
        <v>102.21784602272488</v>
      </c>
      <c r="Z105" s="150">
        <f>2*N67/(3*AA29*(AC29/2-AE29))</f>
        <v>133.58803715005513</v>
      </c>
      <c r="AU105" s="114"/>
      <c r="BG105" s="114"/>
    </row>
    <row r="106" spans="1:68" x14ac:dyDescent="0.25">
      <c r="B106" s="111">
        <f t="shared" ref="B106:F106" si="122">$A$104*B92</f>
        <v>2.7080800000000003</v>
      </c>
      <c r="C106" s="111">
        <f t="shared" si="122"/>
        <v>60.917439999999999</v>
      </c>
      <c r="D106" s="111">
        <f t="shared" si="122"/>
        <v>676.86056000000008</v>
      </c>
      <c r="E106" s="111">
        <f t="shared" si="122"/>
        <v>222.61176</v>
      </c>
      <c r="F106" s="111">
        <f t="shared" si="122"/>
        <v>9.656480000000002</v>
      </c>
      <c r="N106" s="111" t="s">
        <v>696</v>
      </c>
      <c r="O106" s="156">
        <f>MAX(U51:U56)</f>
        <v>2</v>
      </c>
      <c r="P106" s="111" t="s">
        <v>101</v>
      </c>
      <c r="S106" s="156"/>
      <c r="Y106" s="150">
        <f>2*N68/(3*AA30*(AC30/2-AD30))</f>
        <v>103.11206971517197</v>
      </c>
      <c r="Z106" s="150">
        <f>2*N68/(3*AA30*(AC30/2-AE30))</f>
        <v>131.8120505271481</v>
      </c>
      <c r="BK106" s="114"/>
      <c r="BL106" s="114"/>
      <c r="BM106" s="114"/>
      <c r="BN106" s="114"/>
      <c r="BO106" s="114"/>
      <c r="BP106" s="114"/>
    </row>
    <row r="107" spans="1:68" x14ac:dyDescent="0.25">
      <c r="B107" s="111">
        <f t="shared" ref="B107:F107" si="123">$A$104*B93</f>
        <v>5.9469600000000007</v>
      </c>
      <c r="C107" s="111">
        <f t="shared" si="123"/>
        <v>46.84328</v>
      </c>
      <c r="D107" s="111">
        <f t="shared" si="123"/>
        <v>673.20328000000006</v>
      </c>
      <c r="E107" s="111">
        <f t="shared" si="123"/>
        <v>243.34392</v>
      </c>
      <c r="F107" s="111">
        <f t="shared" si="123"/>
        <v>15.309520000000001</v>
      </c>
      <c r="N107" s="111" t="s">
        <v>313</v>
      </c>
      <c r="O107" s="156">
        <f>U13</f>
        <v>0.4</v>
      </c>
      <c r="P107" s="111" t="s">
        <v>101</v>
      </c>
      <c r="R107" s="111" t="s">
        <v>745</v>
      </c>
      <c r="S107" s="156">
        <f>(O105+2*S104)*(O104+2*S104)^2*O111/6</f>
        <v>29.157088135248145</v>
      </c>
      <c r="T107" s="111" t="s">
        <v>746</v>
      </c>
      <c r="Y107" s="150">
        <f t="shared" si="115"/>
        <v>118.0098883269804</v>
      </c>
      <c r="Z107" s="150">
        <f t="shared" si="116"/>
        <v>114.19269713156466</v>
      </c>
      <c r="BK107" s="114"/>
      <c r="BL107" s="114"/>
      <c r="BM107" s="114"/>
      <c r="BN107" s="114"/>
      <c r="BO107" s="114"/>
      <c r="BP107" s="114"/>
    </row>
    <row r="108" spans="1:68" x14ac:dyDescent="0.25">
      <c r="B108" s="111">
        <f t="shared" ref="B108:F108" si="124">$A$104*B94</f>
        <v>17.198</v>
      </c>
      <c r="C108" s="111">
        <f t="shared" si="124"/>
        <v>53.627360000000003</v>
      </c>
      <c r="D108" s="111">
        <f t="shared" si="124"/>
        <v>358.22088000000002</v>
      </c>
      <c r="E108" s="111">
        <f t="shared" si="124"/>
        <v>234.06064000000003</v>
      </c>
      <c r="F108" s="111">
        <f t="shared" si="124"/>
        <v>34.046080000000003</v>
      </c>
      <c r="N108" s="111" t="s">
        <v>747</v>
      </c>
      <c r="O108" s="156">
        <v>28</v>
      </c>
      <c r="P108" s="111" t="s">
        <v>748</v>
      </c>
      <c r="R108" s="111" t="s">
        <v>749</v>
      </c>
      <c r="S108" s="156">
        <f>+O104*O105*((O104+2*S104)/2*O111-O106+O107)/3</f>
        <v>7.0837562317269587</v>
      </c>
      <c r="T108" s="111" t="s">
        <v>746</v>
      </c>
      <c r="Y108" s="150">
        <f t="shared" si="115"/>
        <v>124.84447036739635</v>
      </c>
      <c r="Z108" s="150">
        <f t="shared" si="116"/>
        <v>106.00464315814276</v>
      </c>
      <c r="BK108" s="114"/>
      <c r="BL108" s="114"/>
      <c r="BM108" s="114"/>
      <c r="BN108" s="114"/>
      <c r="BO108" s="114"/>
      <c r="BP108" s="114"/>
    </row>
    <row r="109" spans="1:68" x14ac:dyDescent="0.25">
      <c r="B109" s="111">
        <f t="shared" ref="B109:F109" si="125">$A$104*B95</f>
        <v>10.347200000000001</v>
      </c>
      <c r="C109" s="111">
        <f t="shared" si="125"/>
        <v>54.105440000000002</v>
      </c>
      <c r="D109" s="111">
        <f t="shared" si="125"/>
        <v>348.00792000000001</v>
      </c>
      <c r="E109" s="111">
        <f t="shared" si="125"/>
        <v>230.69479999999999</v>
      </c>
      <c r="F109" s="111">
        <f t="shared" si="125"/>
        <v>12.37096</v>
      </c>
      <c r="O109" s="156">
        <f>O108*PI()/180</f>
        <v>0.48869219055841229</v>
      </c>
      <c r="P109" s="111" t="s">
        <v>750</v>
      </c>
      <c r="S109" s="156"/>
      <c r="Y109" s="150">
        <f t="shared" si="115"/>
        <v>146.52666083868121</v>
      </c>
      <c r="Z109" s="150">
        <f t="shared" si="116"/>
        <v>137.66412363613691</v>
      </c>
      <c r="BK109" s="114"/>
      <c r="BL109" s="114"/>
      <c r="BM109" s="114"/>
      <c r="BN109" s="114"/>
      <c r="BO109" s="114"/>
      <c r="BP109" s="114"/>
    </row>
    <row r="110" spans="1:68" x14ac:dyDescent="0.25">
      <c r="B110" s="111">
        <f t="shared" ref="B110:F110" si="126">$A$104*B96</f>
        <v>16.953440000000001</v>
      </c>
      <c r="C110" s="111">
        <f t="shared" si="126"/>
        <v>53.498080000000009</v>
      </c>
      <c r="D110" s="111">
        <f t="shared" si="126"/>
        <v>357.60888</v>
      </c>
      <c r="E110" s="111">
        <f t="shared" si="126"/>
        <v>233.69880000000001</v>
      </c>
      <c r="F110" s="111">
        <f t="shared" si="126"/>
        <v>33.684320000000007</v>
      </c>
      <c r="N110" s="111" t="s">
        <v>751</v>
      </c>
      <c r="O110" s="156">
        <f>TAN(O109)</f>
        <v>0.53170943166147877</v>
      </c>
      <c r="R110" s="111" t="s">
        <v>752</v>
      </c>
      <c r="S110" s="156">
        <f>S107-S108</f>
        <v>22.073331903521186</v>
      </c>
      <c r="T110" s="111" t="s">
        <v>746</v>
      </c>
      <c r="Y110" s="150">
        <f t="shared" si="115"/>
        <v>140.8172618517219</v>
      </c>
      <c r="Z110" s="150">
        <f t="shared" si="116"/>
        <v>133.33159869668219</v>
      </c>
      <c r="BK110" s="114"/>
      <c r="BL110" s="114"/>
      <c r="BM110" s="114"/>
      <c r="BN110" s="114"/>
      <c r="BO110" s="114"/>
      <c r="BP110" s="114"/>
    </row>
    <row r="111" spans="1:68" x14ac:dyDescent="0.25">
      <c r="B111" s="111">
        <f t="shared" ref="B111:F111" si="127">$A$104*B97</f>
        <v>10.076720000000002</v>
      </c>
      <c r="C111" s="111">
        <f t="shared" si="127"/>
        <v>54.269440000000003</v>
      </c>
      <c r="D111" s="111">
        <f t="shared" si="127"/>
        <v>347.30136000000005</v>
      </c>
      <c r="E111" s="111">
        <f t="shared" si="127"/>
        <v>230.37184000000002</v>
      </c>
      <c r="F111" s="111">
        <f t="shared" si="127"/>
        <v>11.939920000000001</v>
      </c>
      <c r="N111" s="111" t="s">
        <v>753</v>
      </c>
      <c r="O111" s="156">
        <f>TAN(PI()/2-O109)</f>
        <v>1.8807264653463318</v>
      </c>
      <c r="S111" s="156"/>
      <c r="Y111" s="150">
        <f t="shared" si="115"/>
        <v>133.80103512891907</v>
      </c>
      <c r="Z111" s="150">
        <f t="shared" si="116"/>
        <v>114.12552523812238</v>
      </c>
      <c r="BK111" s="114"/>
      <c r="BL111" s="114"/>
      <c r="BM111" s="114"/>
      <c r="BN111" s="114"/>
      <c r="BO111" s="114"/>
      <c r="BP111" s="114"/>
    </row>
    <row r="112" spans="1:68" x14ac:dyDescent="0.25">
      <c r="B112" s="111">
        <f t="shared" ref="B112:F112" si="128">$A$104*B98</f>
        <v>4.1785600000000001</v>
      </c>
      <c r="C112" s="111">
        <f t="shared" si="128"/>
        <v>53.639919999999996</v>
      </c>
      <c r="D112" s="111">
        <f t="shared" si="128"/>
        <v>664.81920000000002</v>
      </c>
      <c r="E112" s="111">
        <f t="shared" si="128"/>
        <v>233.5292</v>
      </c>
      <c r="F112" s="111">
        <f t="shared" si="128"/>
        <v>12.13048</v>
      </c>
      <c r="O112" s="156"/>
      <c r="R112" s="111" t="s">
        <v>754</v>
      </c>
      <c r="S112" s="156">
        <f>O104*O105*(O106-O107)</f>
        <v>13.392000000000003</v>
      </c>
      <c r="T112" s="111" t="s">
        <v>746</v>
      </c>
      <c r="Y112" s="150">
        <f t="shared" si="115"/>
        <v>108.26299059046285</v>
      </c>
      <c r="Z112" s="150">
        <f t="shared" si="116"/>
        <v>105.91471509429658</v>
      </c>
      <c r="BK112" s="114"/>
      <c r="BL112" s="114"/>
      <c r="BM112" s="114"/>
      <c r="BN112" s="114"/>
      <c r="BO112" s="114"/>
      <c r="BP112" s="114"/>
    </row>
    <row r="113" spans="2:68" x14ac:dyDescent="0.25">
      <c r="B113" s="111">
        <f t="shared" ref="B113:F113" si="129">$A$104*B99</f>
        <v>4.3532000000000002</v>
      </c>
      <c r="C113" s="111">
        <f t="shared" si="129"/>
        <v>53.968719999999998</v>
      </c>
      <c r="D113" s="111">
        <f t="shared" si="129"/>
        <v>661.58960000000002</v>
      </c>
      <c r="E113" s="111">
        <f t="shared" si="129"/>
        <v>232.08087999999998</v>
      </c>
      <c r="F113" s="111">
        <f t="shared" si="129"/>
        <v>12.610480000000001</v>
      </c>
      <c r="O113" s="156"/>
      <c r="S113" s="156"/>
      <c r="Y113" s="150" t="e">
        <f t="shared" si="115"/>
        <v>#DIV/0!</v>
      </c>
      <c r="Z113" s="150" t="e">
        <f t="shared" si="116"/>
        <v>#DIV/0!</v>
      </c>
      <c r="BK113" s="114"/>
      <c r="BL113" s="114"/>
      <c r="BM113" s="114"/>
      <c r="BN113" s="114"/>
      <c r="BO113" s="114"/>
      <c r="BP113" s="114"/>
    </row>
    <row r="114" spans="2:68" x14ac:dyDescent="0.25">
      <c r="B114" s="111">
        <f t="shared" ref="B114:F114" si="130">$A$104*B100</f>
        <v>10.09224</v>
      </c>
      <c r="C114" s="111">
        <f t="shared" si="130"/>
        <v>53.09640000000001</v>
      </c>
      <c r="D114" s="111">
        <f t="shared" si="130"/>
        <v>357.78352000000001</v>
      </c>
      <c r="E114" s="111">
        <f t="shared" si="130"/>
        <v>232.23919999999998</v>
      </c>
      <c r="F114" s="111">
        <f t="shared" si="130"/>
        <v>12.16272</v>
      </c>
      <c r="O114" s="156"/>
      <c r="S114" s="156">
        <f>S110/S112</f>
        <v>1.6482476033095266</v>
      </c>
      <c r="Y114" s="150" t="e">
        <f t="shared" si="115"/>
        <v>#DIV/0!</v>
      </c>
      <c r="Z114" s="150" t="e">
        <f t="shared" si="116"/>
        <v>#DIV/0!</v>
      </c>
      <c r="BK114" s="114"/>
      <c r="BL114" s="114"/>
      <c r="BM114" s="114"/>
      <c r="BN114" s="114"/>
      <c r="BO114" s="114"/>
      <c r="BP114" s="114"/>
    </row>
    <row r="115" spans="2:68" x14ac:dyDescent="0.25">
      <c r="B115" s="111">
        <f t="shared" ref="B115:F115" si="131">$A$104*B101</f>
        <v>16.956800000000001</v>
      </c>
      <c r="C115" s="111">
        <f t="shared" si="131"/>
        <v>54.125599999999999</v>
      </c>
      <c r="D115" s="111">
        <f t="shared" si="131"/>
        <v>347.48896000000002</v>
      </c>
      <c r="E115" s="111">
        <f t="shared" si="131"/>
        <v>230.06399999999999</v>
      </c>
      <c r="F115" s="111">
        <f t="shared" si="131"/>
        <v>33.872480000000003</v>
      </c>
      <c r="O115" s="156"/>
      <c r="S115" s="156"/>
      <c r="Y115" s="150" t="e">
        <f t="shared" si="115"/>
        <v>#DIV/0!</v>
      </c>
      <c r="Z115" s="150" t="e">
        <f t="shared" si="116"/>
        <v>#DIV/0!</v>
      </c>
      <c r="BK115" s="114"/>
      <c r="BL115" s="114"/>
      <c r="BM115" s="114"/>
      <c r="BN115" s="114"/>
      <c r="BO115" s="114"/>
      <c r="BP115" s="114"/>
    </row>
    <row r="116" spans="2:68" x14ac:dyDescent="0.25">
      <c r="O116" s="156"/>
      <c r="S116" s="156"/>
      <c r="Y116" s="150" t="e">
        <f t="shared" si="115"/>
        <v>#DIV/0!</v>
      </c>
      <c r="Z116" s="150" t="e">
        <f t="shared" si="116"/>
        <v>#DIV/0!</v>
      </c>
      <c r="BK116" s="114"/>
      <c r="BL116" s="114"/>
      <c r="BM116" s="114"/>
      <c r="BN116" s="114"/>
      <c r="BO116" s="114"/>
      <c r="BP116" s="114"/>
    </row>
    <row r="117" spans="2:68" x14ac:dyDescent="0.25">
      <c r="O117" s="156"/>
      <c r="S117" s="156"/>
      <c r="Y117" s="150" t="e">
        <f t="shared" si="115"/>
        <v>#DIV/0!</v>
      </c>
      <c r="Z117" s="150" t="e">
        <f t="shared" si="116"/>
        <v>#DIV/0!</v>
      </c>
      <c r="BK117" s="114"/>
      <c r="BL117" s="114"/>
      <c r="BM117" s="114"/>
      <c r="BN117" s="114"/>
      <c r="BO117" s="114"/>
      <c r="BP117" s="114"/>
    </row>
    <row r="118" spans="2:68" x14ac:dyDescent="0.25">
      <c r="O118" s="156">
        <v>3.8</v>
      </c>
      <c r="P118" s="111" t="s">
        <v>101</v>
      </c>
      <c r="S118" s="156">
        <f>O104</f>
        <v>2.7</v>
      </c>
      <c r="T118" s="111" t="s">
        <v>101</v>
      </c>
      <c r="Y118" s="150" t="e">
        <f t="shared" si="115"/>
        <v>#DIV/0!</v>
      </c>
      <c r="Z118" s="150" t="e">
        <f t="shared" si="116"/>
        <v>#DIV/0!</v>
      </c>
      <c r="BK118" s="114"/>
      <c r="BL118" s="114"/>
      <c r="BM118" s="114"/>
      <c r="BN118" s="114"/>
      <c r="BO118" s="114"/>
      <c r="BP118" s="114"/>
    </row>
    <row r="119" spans="2:68" x14ac:dyDescent="0.25">
      <c r="O119" s="156">
        <v>4.5</v>
      </c>
      <c r="P119" s="111" t="s">
        <v>101</v>
      </c>
      <c r="S119" s="156">
        <f>O105</f>
        <v>3.1</v>
      </c>
      <c r="T119" s="111" t="s">
        <v>101</v>
      </c>
      <c r="Y119" s="150" t="e">
        <f t="shared" si="115"/>
        <v>#DIV/0!</v>
      </c>
      <c r="Z119" s="150" t="e">
        <f t="shared" si="116"/>
        <v>#DIV/0!</v>
      </c>
      <c r="BK119" s="114"/>
      <c r="BL119" s="114"/>
      <c r="BM119" s="114"/>
      <c r="BN119" s="114"/>
      <c r="BO119" s="114"/>
      <c r="BP119" s="114"/>
    </row>
    <row r="120" spans="2:68" x14ac:dyDescent="0.25">
      <c r="O120" s="156">
        <v>0.45</v>
      </c>
      <c r="P120" s="111" t="s">
        <v>101</v>
      </c>
      <c r="S120" s="156">
        <f>O107</f>
        <v>0.4</v>
      </c>
      <c r="T120" s="111" t="s">
        <v>101</v>
      </c>
      <c r="Y120" s="150" t="e">
        <f t="shared" si="115"/>
        <v>#DIV/0!</v>
      </c>
      <c r="Z120" s="150" t="e">
        <f t="shared" si="116"/>
        <v>#DIV/0!</v>
      </c>
      <c r="BK120" s="114"/>
      <c r="BL120" s="114"/>
      <c r="BM120" s="114"/>
      <c r="BN120" s="114"/>
      <c r="BO120" s="114"/>
      <c r="BP120" s="114"/>
    </row>
    <row r="121" spans="2:68" x14ac:dyDescent="0.25">
      <c r="O121" s="156"/>
      <c r="S121" s="156"/>
      <c r="BK121" s="114"/>
      <c r="BL121" s="114"/>
      <c r="BM121" s="114"/>
      <c r="BN121" s="114"/>
      <c r="BO121" s="114"/>
      <c r="BP121" s="114"/>
    </row>
    <row r="122" spans="2:68" x14ac:dyDescent="0.25">
      <c r="O122" s="156">
        <f>+O118*O119*O120</f>
        <v>7.6949999999999994</v>
      </c>
      <c r="P122" s="111" t="s">
        <v>746</v>
      </c>
      <c r="S122" s="156">
        <f>+S118*S119*S120</f>
        <v>3.3480000000000008</v>
      </c>
      <c r="T122" s="111" t="s">
        <v>746</v>
      </c>
      <c r="BK122" s="114"/>
      <c r="BL122" s="114"/>
      <c r="BM122" s="114"/>
      <c r="BN122" s="114"/>
      <c r="BO122" s="114"/>
      <c r="BP122" s="114"/>
    </row>
    <row r="123" spans="2:68" x14ac:dyDescent="0.25">
      <c r="O123" s="156"/>
      <c r="Q123" s="111" t="s">
        <v>755</v>
      </c>
      <c r="S123" s="156"/>
    </row>
    <row r="124" spans="2:68" x14ac:dyDescent="0.25">
      <c r="O124" s="156"/>
      <c r="Q124" s="156">
        <f>+O122-S122</f>
        <v>4.3469999999999986</v>
      </c>
      <c r="S124" s="156"/>
    </row>
    <row r="125" spans="2:68" x14ac:dyDescent="0.25">
      <c r="O125" s="156"/>
      <c r="S125" s="156"/>
    </row>
    <row r="126" spans="2:68" x14ac:dyDescent="0.25">
      <c r="O126" s="156">
        <f>+O119/O118</f>
        <v>1.1842105263157896</v>
      </c>
      <c r="S126" s="156">
        <f>+S119/S118</f>
        <v>1.1481481481481481</v>
      </c>
    </row>
  </sheetData>
  <autoFilter ref="M12:AJ44" xr:uid="{D1D56981-557D-4503-A1AE-01A2128356F2}">
    <sortState xmlns:xlrd2="http://schemas.microsoft.com/office/spreadsheetml/2017/richdata2" ref="M46:AJ46">
      <sortCondition ref="Y12:Y44"/>
    </sortState>
  </autoFilter>
  <mergeCells count="448">
    <mergeCell ref="CG81:CG82"/>
    <mergeCell ref="AE82:AF82"/>
    <mergeCell ref="N86:S86"/>
    <mergeCell ref="T86:V88"/>
    <mergeCell ref="N87:S87"/>
    <mergeCell ref="N88:N89"/>
    <mergeCell ref="O88:O89"/>
    <mergeCell ref="P88:S88"/>
    <mergeCell ref="M81:M82"/>
    <mergeCell ref="Y81:Y82"/>
    <mergeCell ref="AE81:AF81"/>
    <mergeCell ref="AK81:AK82"/>
    <mergeCell ref="AW81:AW82"/>
    <mergeCell ref="BI81:BI82"/>
    <mergeCell ref="CG77:CG78"/>
    <mergeCell ref="AE78:AF78"/>
    <mergeCell ref="M79:M80"/>
    <mergeCell ref="Y79:Y80"/>
    <mergeCell ref="AE79:AF79"/>
    <mergeCell ref="AK79:AK80"/>
    <mergeCell ref="AW79:AW80"/>
    <mergeCell ref="BI79:BI80"/>
    <mergeCell ref="CG79:CG80"/>
    <mergeCell ref="AE80:AF80"/>
    <mergeCell ref="M77:M78"/>
    <mergeCell ref="Y77:Y78"/>
    <mergeCell ref="AE77:AF77"/>
    <mergeCell ref="AK77:AK78"/>
    <mergeCell ref="AW77:AW78"/>
    <mergeCell ref="BI77:BI78"/>
    <mergeCell ref="M73:M74"/>
    <mergeCell ref="Y73:Y74"/>
    <mergeCell ref="AE73:AF73"/>
    <mergeCell ref="AK73:AK74"/>
    <mergeCell ref="AW73:AW74"/>
    <mergeCell ref="BI73:BI74"/>
    <mergeCell ref="CG73:CG74"/>
    <mergeCell ref="AE74:AF74"/>
    <mergeCell ref="M75:M76"/>
    <mergeCell ref="Y75:Y76"/>
    <mergeCell ref="AE75:AF75"/>
    <mergeCell ref="AK75:AK76"/>
    <mergeCell ref="AW75:AW76"/>
    <mergeCell ref="BI75:BI76"/>
    <mergeCell ref="CG75:CG76"/>
    <mergeCell ref="AE76:AF76"/>
    <mergeCell ref="B70:K71"/>
    <mergeCell ref="AE70:AF70"/>
    <mergeCell ref="M71:M72"/>
    <mergeCell ref="Y71:Y72"/>
    <mergeCell ref="AE71:AF71"/>
    <mergeCell ref="AK71:AK72"/>
    <mergeCell ref="BI67:BI68"/>
    <mergeCell ref="CG67:CG68"/>
    <mergeCell ref="AE68:AF68"/>
    <mergeCell ref="M69:M70"/>
    <mergeCell ref="Y69:Y70"/>
    <mergeCell ref="AE69:AF69"/>
    <mergeCell ref="AK69:AK70"/>
    <mergeCell ref="AW69:AW70"/>
    <mergeCell ref="BI69:BI70"/>
    <mergeCell ref="CG69:CG70"/>
    <mergeCell ref="AW71:AW72"/>
    <mergeCell ref="BI71:BI72"/>
    <mergeCell ref="CG71:CG72"/>
    <mergeCell ref="AE72:AF72"/>
    <mergeCell ref="AE66:AF66"/>
    <mergeCell ref="M67:M68"/>
    <mergeCell ref="Y67:Y68"/>
    <mergeCell ref="AE67:AF67"/>
    <mergeCell ref="AK67:AK68"/>
    <mergeCell ref="AW67:AW68"/>
    <mergeCell ref="BI63:BI64"/>
    <mergeCell ref="CG63:CG64"/>
    <mergeCell ref="AE64:AF64"/>
    <mergeCell ref="M65:M66"/>
    <mergeCell ref="Y65:Y66"/>
    <mergeCell ref="AE65:AF65"/>
    <mergeCell ref="AK65:AK66"/>
    <mergeCell ref="AW65:AW66"/>
    <mergeCell ref="BI65:BI66"/>
    <mergeCell ref="CG65:CG66"/>
    <mergeCell ref="AE62:AF62"/>
    <mergeCell ref="M63:M64"/>
    <mergeCell ref="Y63:Y64"/>
    <mergeCell ref="AE63:AF63"/>
    <mergeCell ref="AK63:AK64"/>
    <mergeCell ref="AW63:AW64"/>
    <mergeCell ref="BI59:BI60"/>
    <mergeCell ref="CG59:CG60"/>
    <mergeCell ref="AE60:AF60"/>
    <mergeCell ref="M61:M62"/>
    <mergeCell ref="Y61:Y62"/>
    <mergeCell ref="AE61:AF61"/>
    <mergeCell ref="AK61:AK62"/>
    <mergeCell ref="AW61:AW62"/>
    <mergeCell ref="BI61:BI62"/>
    <mergeCell ref="CG61:CG62"/>
    <mergeCell ref="AE58:AF58"/>
    <mergeCell ref="M59:M60"/>
    <mergeCell ref="Y59:Y60"/>
    <mergeCell ref="AE59:AF59"/>
    <mergeCell ref="AK59:AK60"/>
    <mergeCell ref="AW59:AW60"/>
    <mergeCell ref="BI55:BI56"/>
    <mergeCell ref="CG55:CG56"/>
    <mergeCell ref="AE56:AF56"/>
    <mergeCell ref="M57:M58"/>
    <mergeCell ref="Y57:Y58"/>
    <mergeCell ref="AE57:AF57"/>
    <mergeCell ref="AK57:AK58"/>
    <mergeCell ref="AW57:AW58"/>
    <mergeCell ref="BI57:BI58"/>
    <mergeCell ref="CG57:CG58"/>
    <mergeCell ref="AE54:AF54"/>
    <mergeCell ref="M55:M56"/>
    <mergeCell ref="Y55:Y56"/>
    <mergeCell ref="AE55:AF55"/>
    <mergeCell ref="AK55:AK56"/>
    <mergeCell ref="AW55:AW56"/>
    <mergeCell ref="BI51:BI52"/>
    <mergeCell ref="CG51:CG52"/>
    <mergeCell ref="AE52:AF52"/>
    <mergeCell ref="M53:M54"/>
    <mergeCell ref="Y53:Y54"/>
    <mergeCell ref="AE53:AF53"/>
    <mergeCell ref="AK53:AK54"/>
    <mergeCell ref="AW53:AW54"/>
    <mergeCell ref="BI53:BI54"/>
    <mergeCell ref="CG53:CG54"/>
    <mergeCell ref="M51:M52"/>
    <mergeCell ref="Y51:Y52"/>
    <mergeCell ref="AE51:AF51"/>
    <mergeCell ref="AK51:AK52"/>
    <mergeCell ref="AW51:AW52"/>
    <mergeCell ref="AJ49:AJ50"/>
    <mergeCell ref="AP49:AP50"/>
    <mergeCell ref="AQ49:AQ50"/>
    <mergeCell ref="AS49:AS50"/>
    <mergeCell ref="Q49:Q50"/>
    <mergeCell ref="R49:R50"/>
    <mergeCell ref="S49:S50"/>
    <mergeCell ref="AD49:AD50"/>
    <mergeCell ref="AE49:AF50"/>
    <mergeCell ref="AH49:AH50"/>
    <mergeCell ref="CH48:CJ48"/>
    <mergeCell ref="AK47:AK50"/>
    <mergeCell ref="AW47:AW50"/>
    <mergeCell ref="AX47:BG47"/>
    <mergeCell ref="BI47:BI50"/>
    <mergeCell ref="BJ47:BT47"/>
    <mergeCell ref="CG47:CG50"/>
    <mergeCell ref="BC49:BC50"/>
    <mergeCell ref="BE49:BE50"/>
    <mergeCell ref="BG49:BG50"/>
    <mergeCell ref="BJ49:BJ50"/>
    <mergeCell ref="BN49:BN50"/>
    <mergeCell ref="BO49:BO50"/>
    <mergeCell ref="BR49:BR50"/>
    <mergeCell ref="BS49:BT50"/>
    <mergeCell ref="CJ49:CJ50"/>
    <mergeCell ref="AZ49:AZ50"/>
    <mergeCell ref="BB49:BB50"/>
    <mergeCell ref="CB43:CF44"/>
    <mergeCell ref="CG43:CG44"/>
    <mergeCell ref="CT43:CT44"/>
    <mergeCell ref="M47:M50"/>
    <mergeCell ref="N47:P48"/>
    <mergeCell ref="Q47:V48"/>
    <mergeCell ref="W47:X48"/>
    <mergeCell ref="Y47:Y50"/>
    <mergeCell ref="Z47:AF48"/>
    <mergeCell ref="AG47:AJ47"/>
    <mergeCell ref="M43:M44"/>
    <mergeCell ref="Y43:Y44"/>
    <mergeCell ref="AK43:AK44"/>
    <mergeCell ref="AW43:AW44"/>
    <mergeCell ref="BI43:BI44"/>
    <mergeCell ref="BU43:BU44"/>
    <mergeCell ref="CH47:CJ47"/>
    <mergeCell ref="AG48:AH48"/>
    <mergeCell ref="AI48:AJ48"/>
    <mergeCell ref="AL48:AP48"/>
    <mergeCell ref="AQ48:AU48"/>
    <mergeCell ref="AX48:BG48"/>
    <mergeCell ref="BJ48:BQ48"/>
    <mergeCell ref="BR48:BT48"/>
    <mergeCell ref="CG39:CG40"/>
    <mergeCell ref="CT39:CT40"/>
    <mergeCell ref="M41:M42"/>
    <mergeCell ref="Y41:Y42"/>
    <mergeCell ref="AK41:AK42"/>
    <mergeCell ref="AW41:AW42"/>
    <mergeCell ref="BI41:BI42"/>
    <mergeCell ref="BU41:BU42"/>
    <mergeCell ref="CG41:CG42"/>
    <mergeCell ref="CT41:CT42"/>
    <mergeCell ref="M39:M40"/>
    <mergeCell ref="Y39:Y40"/>
    <mergeCell ref="AK39:AK40"/>
    <mergeCell ref="AW39:AW40"/>
    <mergeCell ref="BI39:BI40"/>
    <mergeCell ref="BU39:BU40"/>
    <mergeCell ref="CG35:CG36"/>
    <mergeCell ref="CT35:CT36"/>
    <mergeCell ref="M37:M38"/>
    <mergeCell ref="Y37:Y38"/>
    <mergeCell ref="AK37:AK38"/>
    <mergeCell ref="AW37:AW38"/>
    <mergeCell ref="BI37:BI38"/>
    <mergeCell ref="BU37:BU38"/>
    <mergeCell ref="CG37:CG38"/>
    <mergeCell ref="CT37:CT38"/>
    <mergeCell ref="M35:M36"/>
    <mergeCell ref="Y35:Y36"/>
    <mergeCell ref="AK35:AK36"/>
    <mergeCell ref="AW35:AW36"/>
    <mergeCell ref="BI35:BI36"/>
    <mergeCell ref="BU35:BU36"/>
    <mergeCell ref="CG31:CG32"/>
    <mergeCell ref="CT31:CT32"/>
    <mergeCell ref="M33:M34"/>
    <mergeCell ref="Y33:Y34"/>
    <mergeCell ref="AK33:AK34"/>
    <mergeCell ref="AW33:AW34"/>
    <mergeCell ref="BI33:BI34"/>
    <mergeCell ref="BU33:BU34"/>
    <mergeCell ref="CG33:CG34"/>
    <mergeCell ref="CT33:CT34"/>
    <mergeCell ref="M31:M32"/>
    <mergeCell ref="Y31:Y32"/>
    <mergeCell ref="AK31:AK32"/>
    <mergeCell ref="AW31:AW32"/>
    <mergeCell ref="BI31:BI32"/>
    <mergeCell ref="BU31:BU32"/>
    <mergeCell ref="M29:M30"/>
    <mergeCell ref="Y29:Y30"/>
    <mergeCell ref="AK29:AK30"/>
    <mergeCell ref="AW29:AW30"/>
    <mergeCell ref="BI29:BI30"/>
    <mergeCell ref="BU29:BU30"/>
    <mergeCell ref="CG29:CG30"/>
    <mergeCell ref="CT29:CT30"/>
    <mergeCell ref="M27:M28"/>
    <mergeCell ref="Y27:Y28"/>
    <mergeCell ref="AK27:AK28"/>
    <mergeCell ref="AW27:AW28"/>
    <mergeCell ref="BI27:BI28"/>
    <mergeCell ref="BU27:BU28"/>
    <mergeCell ref="M25:M26"/>
    <mergeCell ref="Y25:Y26"/>
    <mergeCell ref="AK25:AK26"/>
    <mergeCell ref="AW25:AW26"/>
    <mergeCell ref="BI25:BI26"/>
    <mergeCell ref="BU25:BU26"/>
    <mergeCell ref="CG25:CG26"/>
    <mergeCell ref="CT25:CT26"/>
    <mergeCell ref="CG27:CG28"/>
    <mergeCell ref="CT27:CT28"/>
    <mergeCell ref="CG21:CG22"/>
    <mergeCell ref="CT21:CT22"/>
    <mergeCell ref="M23:M24"/>
    <mergeCell ref="Y23:Y24"/>
    <mergeCell ref="AK23:AK24"/>
    <mergeCell ref="AW23:AW24"/>
    <mergeCell ref="BI23:BI24"/>
    <mergeCell ref="BU23:BU24"/>
    <mergeCell ref="CB23:CE24"/>
    <mergeCell ref="CG23:CG24"/>
    <mergeCell ref="M21:M22"/>
    <mergeCell ref="Y21:Y22"/>
    <mergeCell ref="AK21:AK22"/>
    <mergeCell ref="AW21:AW22"/>
    <mergeCell ref="BI21:BI22"/>
    <mergeCell ref="BU21:BU22"/>
    <mergeCell ref="CT23:CT24"/>
    <mergeCell ref="CG17:CG18"/>
    <mergeCell ref="CT17:CT18"/>
    <mergeCell ref="M19:M20"/>
    <mergeCell ref="Y19:Y20"/>
    <mergeCell ref="AK19:AK20"/>
    <mergeCell ref="AW19:AW20"/>
    <mergeCell ref="BI19:BI20"/>
    <mergeCell ref="BU19:BU20"/>
    <mergeCell ref="CG19:CG20"/>
    <mergeCell ref="CT19:CT20"/>
    <mergeCell ref="M17:M18"/>
    <mergeCell ref="Y17:Y18"/>
    <mergeCell ref="AK17:AK18"/>
    <mergeCell ref="AW17:AW18"/>
    <mergeCell ref="BI17:BI18"/>
    <mergeCell ref="BU17:BU18"/>
    <mergeCell ref="CG13:CG14"/>
    <mergeCell ref="CT13:CT14"/>
    <mergeCell ref="M15:M16"/>
    <mergeCell ref="Y15:Y16"/>
    <mergeCell ref="AK15:AK16"/>
    <mergeCell ref="AW15:AW16"/>
    <mergeCell ref="BI15:BI16"/>
    <mergeCell ref="BU15:BU16"/>
    <mergeCell ref="CG15:CG16"/>
    <mergeCell ref="CT15:CT16"/>
    <mergeCell ref="M13:M14"/>
    <mergeCell ref="Y13:Y14"/>
    <mergeCell ref="AK13:AK14"/>
    <mergeCell ref="AW13:AW14"/>
    <mergeCell ref="BI13:BI14"/>
    <mergeCell ref="BU13:BU14"/>
    <mergeCell ref="CT10:CT12"/>
    <mergeCell ref="CU10:CU12"/>
    <mergeCell ref="CX10:CX12"/>
    <mergeCell ref="CY10:CY12"/>
    <mergeCell ref="AX10:BG10"/>
    <mergeCell ref="BJ10:BM10"/>
    <mergeCell ref="BN10:BS10"/>
    <mergeCell ref="BV10:BX10"/>
    <mergeCell ref="BY10:BY11"/>
    <mergeCell ref="BZ10:BZ12"/>
    <mergeCell ref="BB11:BB12"/>
    <mergeCell ref="BC11:BC12"/>
    <mergeCell ref="BE11:BE12"/>
    <mergeCell ref="BG11:BG12"/>
    <mergeCell ref="BN11:BN12"/>
    <mergeCell ref="BO11:BP12"/>
    <mergeCell ref="BS11:BS12"/>
    <mergeCell ref="BX11:BX12"/>
    <mergeCell ref="CN11:CN12"/>
    <mergeCell ref="CO11:CP12"/>
    <mergeCell ref="AZ11:AZ12"/>
    <mergeCell ref="CL10:CL12"/>
    <mergeCell ref="CM10:CP10"/>
    <mergeCell ref="M10:M12"/>
    <mergeCell ref="N10:N12"/>
    <mergeCell ref="O10:O12"/>
    <mergeCell ref="P10:T10"/>
    <mergeCell ref="U10:V10"/>
    <mergeCell ref="Y10:Y12"/>
    <mergeCell ref="BI9:BI12"/>
    <mergeCell ref="BJ9:BS9"/>
    <mergeCell ref="BU9:BU12"/>
    <mergeCell ref="AF11:AF12"/>
    <mergeCell ref="AG11:AG12"/>
    <mergeCell ref="AP11:AP12"/>
    <mergeCell ref="AQ11:AQ12"/>
    <mergeCell ref="AV11:AV12"/>
    <mergeCell ref="BV9:BZ9"/>
    <mergeCell ref="CG9:CG12"/>
    <mergeCell ref="CH9:CP9"/>
    <mergeCell ref="CH10:CH11"/>
    <mergeCell ref="CI10:CI11"/>
    <mergeCell ref="CJ10:CJ11"/>
    <mergeCell ref="CK10:CK11"/>
    <mergeCell ref="V6:X8"/>
    <mergeCell ref="AK9:AK12"/>
    <mergeCell ref="AL9:AQ10"/>
    <mergeCell ref="AR9:AV10"/>
    <mergeCell ref="AW9:AW12"/>
    <mergeCell ref="AX9:BG9"/>
    <mergeCell ref="Z10:AC10"/>
    <mergeCell ref="AD10:AG10"/>
    <mergeCell ref="AH10:AH12"/>
    <mergeCell ref="AI10:AJ11"/>
    <mergeCell ref="CK3:CN4"/>
    <mergeCell ref="CP3:CR3"/>
    <mergeCell ref="J4:L4"/>
    <mergeCell ref="V4:X4"/>
    <mergeCell ref="AH4:AJ4"/>
    <mergeCell ref="AT4:AV4"/>
    <mergeCell ref="BF4:BH4"/>
    <mergeCell ref="BR4:BT4"/>
    <mergeCell ref="CD4:CF4"/>
    <mergeCell ref="CP4:CR4"/>
    <mergeCell ref="AH3:AJ3"/>
    <mergeCell ref="AN3:AN4"/>
    <mergeCell ref="AO3:AR4"/>
    <mergeCell ref="AT3:AV3"/>
    <mergeCell ref="AZ3:AZ4"/>
    <mergeCell ref="BA3:BD4"/>
    <mergeCell ref="CK1:CN2"/>
    <mergeCell ref="CP1:CR1"/>
    <mergeCell ref="J2:L2"/>
    <mergeCell ref="V2:X2"/>
    <mergeCell ref="AH2:AJ2"/>
    <mergeCell ref="AT2:AV2"/>
    <mergeCell ref="BF2:BH2"/>
    <mergeCell ref="BR2:BT2"/>
    <mergeCell ref="CD2:CF2"/>
    <mergeCell ref="CP2:CR2"/>
    <mergeCell ref="BU1:BW4"/>
    <mergeCell ref="BX1:BX2"/>
    <mergeCell ref="BY1:CB2"/>
    <mergeCell ref="CD1:CF1"/>
    <mergeCell ref="CG1:CI4"/>
    <mergeCell ref="CJ1:CJ2"/>
    <mergeCell ref="BX3:BX4"/>
    <mergeCell ref="BY3:CB4"/>
    <mergeCell ref="CD3:CF3"/>
    <mergeCell ref="CJ3:CJ4"/>
    <mergeCell ref="BA1:BD2"/>
    <mergeCell ref="BF1:BH1"/>
    <mergeCell ref="BI1:BK4"/>
    <mergeCell ref="BL1:BL2"/>
    <mergeCell ref="BM1:BP2"/>
    <mergeCell ref="BR1:BT1"/>
    <mergeCell ref="BF3:BH3"/>
    <mergeCell ref="BL3:BL4"/>
    <mergeCell ref="BM3:BP4"/>
    <mergeCell ref="BR3:BT3"/>
    <mergeCell ref="AK1:AM4"/>
    <mergeCell ref="AN1:AN2"/>
    <mergeCell ref="AO1:AR2"/>
    <mergeCell ref="AT1:AV1"/>
    <mergeCell ref="AW1:AY4"/>
    <mergeCell ref="AZ1:AZ2"/>
    <mergeCell ref="Q1:T2"/>
    <mergeCell ref="V1:X1"/>
    <mergeCell ref="Y1:AA4"/>
    <mergeCell ref="AB1:AB2"/>
    <mergeCell ref="AC1:AF2"/>
    <mergeCell ref="AH1:AJ1"/>
    <mergeCell ref="Q3:T4"/>
    <mergeCell ref="V3:X3"/>
    <mergeCell ref="AB3:AB4"/>
    <mergeCell ref="AC3:AF4"/>
    <mergeCell ref="A1:C4"/>
    <mergeCell ref="D1:D2"/>
    <mergeCell ref="E1:H2"/>
    <mergeCell ref="J1:L1"/>
    <mergeCell ref="M1:O4"/>
    <mergeCell ref="P1:P2"/>
    <mergeCell ref="D3:D4"/>
    <mergeCell ref="E3:H4"/>
    <mergeCell ref="J3:L3"/>
    <mergeCell ref="P3:P4"/>
    <mergeCell ref="DC10:DC12"/>
    <mergeCell ref="DD10:DD12"/>
    <mergeCell ref="DB13:DB14"/>
    <mergeCell ref="DB15:DB16"/>
    <mergeCell ref="DB17:DB18"/>
    <mergeCell ref="DB19:DB20"/>
    <mergeCell ref="DC13:DC14"/>
    <mergeCell ref="DD13:DD14"/>
    <mergeCell ref="DC15:DC16"/>
    <mergeCell ref="DD15:DD16"/>
    <mergeCell ref="DC17:DC18"/>
    <mergeCell ref="DD17:DD18"/>
    <mergeCell ref="DC19:DC20"/>
    <mergeCell ref="DD19:DD20"/>
  </mergeCells>
  <conditionalFormatting sqref="Y89:Z120">
    <cfRule type="cellIs" dxfId="36" priority="27" operator="lessThan">
      <formula>0</formula>
    </cfRule>
    <cfRule type="cellIs" dxfId="35" priority="29" operator="between">
      <formula>$T$6</formula>
      <formula>0</formula>
    </cfRule>
    <cfRule type="cellIs" dxfId="34" priority="28" operator="greaterThan">
      <formula>$T$6</formula>
    </cfRule>
  </conditionalFormatting>
  <conditionalFormatting sqref="Z51:AC82">
    <cfRule type="cellIs" dxfId="33" priority="7" operator="lessThan">
      <formula>0</formula>
    </cfRule>
    <cfRule type="cellIs" dxfId="32" priority="8" operator="greaterThan">
      <formula>$T$6</formula>
    </cfRule>
    <cfRule type="cellIs" dxfId="31" priority="9" operator="between">
      <formula>$T$6</formula>
      <formula>0</formula>
    </cfRule>
  </conditionalFormatting>
  <conditionalFormatting sqref="AD51:AD82">
    <cfRule type="cellIs" dxfId="30" priority="45" operator="greaterThan">
      <formula>1</formula>
    </cfRule>
    <cfRule type="cellIs" dxfId="29" priority="44" operator="lessThan">
      <formula>1</formula>
    </cfRule>
  </conditionalFormatting>
  <conditionalFormatting sqref="AF13:AG36">
    <cfRule type="cellIs" dxfId="28" priority="17" operator="equal">
      <formula>"N/C"</formula>
    </cfRule>
    <cfRule type="cellIs" dxfId="27" priority="18" operator="equal">
      <formula>"OK"</formula>
    </cfRule>
  </conditionalFormatting>
  <conditionalFormatting sqref="AF39:AG44">
    <cfRule type="cellIs" dxfId="26" priority="6" operator="equal">
      <formula>"OK"</formula>
    </cfRule>
    <cfRule type="cellIs" dxfId="25" priority="5" operator="equal">
      <formula>"N/C"</formula>
    </cfRule>
  </conditionalFormatting>
  <conditionalFormatting sqref="AH51:AH82 AJ51:AJ82">
    <cfRule type="cellIs" dxfId="24" priority="42" operator="lessThan">
      <formula>2</formula>
    </cfRule>
    <cfRule type="cellIs" dxfId="23" priority="43" operator="greaterThan">
      <formula>2</formula>
    </cfRule>
  </conditionalFormatting>
  <conditionalFormatting sqref="AP13:AP36">
    <cfRule type="cellIs" dxfId="22" priority="38" operator="equal">
      <formula>"N/C"</formula>
    </cfRule>
    <cfRule type="cellIs" dxfId="21" priority="39" operator="equal">
      <formula>"OK"</formula>
    </cfRule>
  </conditionalFormatting>
  <conditionalFormatting sqref="AP51:AP76">
    <cfRule type="cellIs" dxfId="20" priority="36" operator="equal">
      <formula>"N/C"</formula>
    </cfRule>
    <cfRule type="cellIs" dxfId="19" priority="37" operator="equal">
      <formula>"OK"</formula>
    </cfRule>
  </conditionalFormatting>
  <conditionalFormatting sqref="AQ13:AQ36">
    <cfRule type="cellIs" dxfId="18" priority="40" operator="equal">
      <formula>$U13</formula>
    </cfRule>
    <cfRule type="cellIs" dxfId="17" priority="41" operator="greaterThan">
      <formula>$U13</formula>
    </cfRule>
  </conditionalFormatting>
  <conditionalFormatting sqref="AV13:AV36">
    <cfRule type="cellIs" dxfId="16" priority="34" operator="equal">
      <formula>"N/C"</formula>
    </cfRule>
    <cfRule type="cellIs" dxfId="15" priority="35" operator="equal">
      <formula>"OK"</formula>
    </cfRule>
  </conditionalFormatting>
  <conditionalFormatting sqref="BE13:BE36">
    <cfRule type="cellIs" dxfId="14" priority="32" operator="equal">
      <formula>"N/C"</formula>
    </cfRule>
    <cfRule type="cellIs" dxfId="13" priority="33" operator="equal">
      <formula>"OK"</formula>
    </cfRule>
  </conditionalFormatting>
  <conditionalFormatting sqref="BE51:BE76">
    <cfRule type="cellIs" dxfId="12" priority="30" operator="equal">
      <formula>"N/C"</formula>
    </cfRule>
    <cfRule type="cellIs" dxfId="11" priority="31" operator="equal">
      <formula>"OK"</formula>
    </cfRule>
  </conditionalFormatting>
  <conditionalFormatting sqref="BS13:BS36">
    <cfRule type="cellIs" dxfId="10" priority="25" operator="equal">
      <formula>"N/C"</formula>
    </cfRule>
    <cfRule type="cellIs" dxfId="9" priority="26" operator="equal">
      <formula>"OK"</formula>
    </cfRule>
  </conditionalFormatting>
  <conditionalFormatting sqref="BZ13:BZ36">
    <cfRule type="cellIs" dxfId="8" priority="23" operator="equal">
      <formula>"N/C"</formula>
    </cfRule>
    <cfRule type="cellIs" dxfId="7" priority="24" operator="equal">
      <formula>"OK"</formula>
    </cfRule>
  </conditionalFormatting>
  <conditionalFormatting sqref="CJ51:CJ74">
    <cfRule type="cellIs" dxfId="6" priority="19" operator="equal">
      <formula>"N/C"</formula>
    </cfRule>
    <cfRule type="cellIs" dxfId="5" priority="20" operator="equal">
      <formula>"OK"</formula>
    </cfRule>
  </conditionalFormatting>
  <conditionalFormatting sqref="CJ13:CK36">
    <cfRule type="cellIs" dxfId="4" priority="14" operator="lessThan">
      <formula>0</formula>
    </cfRule>
    <cfRule type="cellIs" dxfId="3" priority="15" operator="greaterThan">
      <formula>$T$6</formula>
    </cfRule>
    <cfRule type="cellIs" dxfId="2" priority="16" operator="between">
      <formula>$T$6</formula>
      <formula>0</formula>
    </cfRule>
  </conditionalFormatting>
  <conditionalFormatting sqref="CL13:CL36">
    <cfRule type="cellIs" dxfId="1" priority="21" operator="equal">
      <formula>"N/C"</formula>
    </cfRule>
    <cfRule type="cellIs" dxfId="0" priority="22" operator="equal">
      <formula>"OK"</formula>
    </cfRule>
  </conditionalFormatting>
  <dataValidations disablePrompts="1" count="5">
    <dataValidation type="list" allowBlank="1" showInputMessage="1" showErrorMessage="1" sqref="AH13:AH44" xr:uid="{E02B9273-F3E1-4185-A5DF-1DDBE6FA2D3D}">
      <formula1>"Central,L,B,Esquinera"</formula1>
    </dataValidation>
    <dataValidation type="list" allowBlank="1" showInputMessage="1" showErrorMessage="1" sqref="AS51:AS82" xr:uid="{C7F87861-001F-494E-8E67-5D8EB4FE7264}">
      <formula1>"DES,DMO,DMI"</formula1>
    </dataValidation>
    <dataValidation type="list" allowBlank="1" showInputMessage="1" showErrorMessage="1" sqref="C43:C44 C13:C40 O13:O44" xr:uid="{CDDF5707-9069-4126-9BEB-CC68ADDF69DB}">
      <formula1>"Central, Medianera, Esquinera"</formula1>
    </dataValidation>
    <dataValidation type="list" allowBlank="1" showInputMessage="1" showErrorMessage="1" sqref="BN51:BN82" xr:uid="{F8499842-9491-4513-AE12-A2E27E1CF075}">
      <formula1>"Empotrado, Articulado"</formula1>
    </dataValidation>
    <dataValidation type="list" allowBlank="1" showInputMessage="1" showErrorMessage="1" sqref="AR9:AR12 CP13:CP44 AR50 AR47:AR48 BP13:BP44 BT51:BT82 BB13:BB44 BB51:BB82" xr:uid="{938F7621-0318-45FA-B655-C6C6669D9A74}">
      <formula1>$N$91:$N$102</formula1>
    </dataValidation>
  </dataValidations>
  <printOptions horizontalCentered="1" verticalCentered="1"/>
  <pageMargins left="0.39370078740157483" right="0.39370078740157483" top="0.47244094488188981" bottom="0.47244094488188981" header="0.31496062992125984" footer="0.31496062992125984"/>
  <pageSetup scale="59" fitToWidth="0" orientation="portrait" r:id="rId1"/>
  <colBreaks count="7" manualBreakCount="7">
    <brk id="12" max="83" man="1"/>
    <brk id="24" max="83" man="1"/>
    <brk id="36" max="83" man="1"/>
    <brk id="48" max="1048575" man="1"/>
    <brk id="60" max="83" man="1"/>
    <brk id="72" max="83" man="1"/>
    <brk id="84" max="83" man="1"/>
  </col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895CC-2CAE-4708-AA30-C3F11A4E92A6}">
  <dimension ref="A1:U65"/>
  <sheetViews>
    <sheetView view="pageBreakPreview" zoomScale="60" zoomScaleNormal="100" workbookViewId="0">
      <selection activeCell="AE44" sqref="AE44"/>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1" ht="15" customHeight="1" x14ac:dyDescent="0.25">
      <c r="A1" s="211" t="str">
        <f>'0. CARTA RESPONSABILIDAD'!A1</f>
        <v>Memoria de cálculos estructurales</v>
      </c>
      <c r="B1" s="212"/>
      <c r="C1" s="212"/>
      <c r="D1" s="212"/>
      <c r="E1" s="213"/>
      <c r="F1" s="217" t="s">
        <v>0</v>
      </c>
      <c r="G1" s="210"/>
      <c r="H1" s="211" t="str">
        <f>'0. CARTA RESPONSABILIDAD'!H1</f>
        <v>EDIFICACIÓN LOCALES COMERCIALES</v>
      </c>
      <c r="I1" s="212"/>
      <c r="J1" s="212"/>
      <c r="K1" s="212"/>
      <c r="L1" s="212"/>
      <c r="M1" s="212"/>
      <c r="N1" s="213"/>
      <c r="O1" s="221" t="s">
        <v>2</v>
      </c>
      <c r="P1" s="222"/>
      <c r="Q1" s="222" t="str">
        <f>'0. CARTA RESPONSABILIDAD'!Q1</f>
        <v>Mayo de 2025</v>
      </c>
      <c r="R1" s="222"/>
      <c r="S1" s="222"/>
      <c r="T1" s="222"/>
      <c r="U1" s="223"/>
    </row>
    <row r="2" spans="1:21" x14ac:dyDescent="0.25">
      <c r="A2" s="214"/>
      <c r="B2" s="215"/>
      <c r="C2" s="215"/>
      <c r="D2" s="215"/>
      <c r="E2" s="216"/>
      <c r="F2" s="218"/>
      <c r="G2" s="219"/>
      <c r="H2" s="229"/>
      <c r="I2" s="230"/>
      <c r="J2" s="230"/>
      <c r="K2" s="230"/>
      <c r="L2" s="230"/>
      <c r="M2" s="230"/>
      <c r="N2" s="231"/>
      <c r="O2" s="221" t="s">
        <v>3</v>
      </c>
      <c r="P2" s="222"/>
      <c r="Q2" s="222" t="str">
        <f>'0. CARTA RESPONSABILIDAD'!Q2</f>
        <v xml:space="preserve"> </v>
      </c>
      <c r="R2" s="222"/>
      <c r="S2" s="222"/>
      <c r="T2" s="222"/>
      <c r="U2" s="223"/>
    </row>
    <row r="3" spans="1:21" x14ac:dyDescent="0.25">
      <c r="A3" s="214"/>
      <c r="B3" s="215"/>
      <c r="C3" s="215"/>
      <c r="D3" s="215"/>
      <c r="E3" s="216"/>
      <c r="F3" s="217" t="s">
        <v>1</v>
      </c>
      <c r="G3" s="210"/>
      <c r="H3" s="217" t="s">
        <v>801</v>
      </c>
      <c r="I3" s="209"/>
      <c r="J3" s="209"/>
      <c r="K3" s="209"/>
      <c r="L3" s="209"/>
      <c r="M3" s="209"/>
      <c r="N3" s="210"/>
      <c r="O3" s="217" t="s">
        <v>4</v>
      </c>
      <c r="P3" s="209"/>
      <c r="Q3" s="209" t="str">
        <f>'0. CARTA RESPONSABILIDAD'!Q3</f>
        <v>R0</v>
      </c>
      <c r="R3" s="209"/>
      <c r="S3" s="209"/>
      <c r="T3" s="209"/>
      <c r="U3" s="210"/>
    </row>
    <row r="4" spans="1:21" ht="13.9" x14ac:dyDescent="0.25">
      <c r="A4" s="2"/>
      <c r="B4" s="3"/>
      <c r="C4" s="3"/>
      <c r="D4" s="3"/>
      <c r="E4" s="3"/>
      <c r="F4" s="3"/>
      <c r="G4" s="3"/>
      <c r="H4" s="3"/>
      <c r="I4" s="3"/>
      <c r="J4" s="3"/>
      <c r="K4" s="3"/>
      <c r="L4" s="3"/>
      <c r="M4" s="3"/>
      <c r="N4" s="3"/>
      <c r="O4" s="3"/>
      <c r="P4" s="3"/>
      <c r="Q4" s="3"/>
      <c r="R4" s="3"/>
      <c r="S4" s="3"/>
      <c r="T4" s="3"/>
      <c r="U4" s="4"/>
    </row>
    <row r="5" spans="1:21" ht="13.9" customHeight="1" x14ac:dyDescent="0.25">
      <c r="A5" s="5"/>
      <c r="U5" s="7"/>
    </row>
    <row r="6" spans="1:21" ht="13.9" customHeight="1" x14ac:dyDescent="0.25">
      <c r="A6" s="5"/>
      <c r="U6" s="7"/>
    </row>
    <row r="7" spans="1:21" ht="13.9" customHeight="1" x14ac:dyDescent="0.25">
      <c r="A7" s="5"/>
      <c r="B7" s="106"/>
      <c r="C7" s="106"/>
      <c r="D7" s="106"/>
      <c r="E7" s="106"/>
      <c r="F7" s="106"/>
      <c r="G7" s="106"/>
      <c r="H7" s="106"/>
      <c r="I7" s="106"/>
      <c r="J7" s="106"/>
      <c r="K7" s="106"/>
      <c r="L7" s="106"/>
      <c r="M7" s="106"/>
      <c r="N7" s="106"/>
      <c r="O7" s="106"/>
      <c r="P7" s="106"/>
      <c r="Q7" s="106"/>
      <c r="R7" s="106"/>
      <c r="S7" s="106"/>
      <c r="T7" s="106"/>
      <c r="U7" s="7"/>
    </row>
    <row r="8" spans="1:21" ht="13.9" customHeight="1" x14ac:dyDescent="0.25">
      <c r="A8" s="5"/>
      <c r="B8" s="6"/>
      <c r="C8" s="106"/>
      <c r="D8" s="106"/>
      <c r="E8" s="106"/>
      <c r="F8" s="106"/>
      <c r="G8" s="106"/>
      <c r="H8" s="106"/>
      <c r="I8" s="106"/>
      <c r="J8" s="106"/>
      <c r="K8" s="106"/>
      <c r="L8" s="106"/>
      <c r="M8" s="106"/>
      <c r="N8" s="106"/>
      <c r="O8" s="106"/>
      <c r="P8" s="106"/>
      <c r="Q8" s="106"/>
      <c r="R8" s="106"/>
      <c r="S8" s="106"/>
      <c r="T8" s="106"/>
      <c r="U8" s="7"/>
    </row>
    <row r="9" spans="1:21" ht="13.9" x14ac:dyDescent="0.25">
      <c r="A9" s="5"/>
      <c r="U9" s="7"/>
    </row>
    <row r="10" spans="1:21" ht="13.9" x14ac:dyDescent="0.25">
      <c r="A10" s="5"/>
      <c r="U10" s="7"/>
    </row>
    <row r="11" spans="1:21" ht="13.9" x14ac:dyDescent="0.25">
      <c r="A11" s="5"/>
      <c r="U11" s="7"/>
    </row>
    <row r="12" spans="1:21" ht="13.9" x14ac:dyDescent="0.25">
      <c r="A12" s="5"/>
      <c r="U12" s="7"/>
    </row>
    <row r="13" spans="1:21" ht="13.9" x14ac:dyDescent="0.25">
      <c r="A13" s="5"/>
      <c r="U13" s="7"/>
    </row>
    <row r="14" spans="1:21" ht="13.9" x14ac:dyDescent="0.25">
      <c r="A14" s="5"/>
      <c r="U14" s="7"/>
    </row>
    <row r="15" spans="1:21" ht="13.9" x14ac:dyDescent="0.25">
      <c r="A15" s="5"/>
      <c r="U15" s="7"/>
    </row>
    <row r="16" spans="1:21" ht="13.9" x14ac:dyDescent="0.25">
      <c r="A16" s="5"/>
      <c r="U16" s="7"/>
    </row>
    <row r="17" spans="1:21" ht="13.9" x14ac:dyDescent="0.25">
      <c r="A17" s="5"/>
      <c r="U17" s="7"/>
    </row>
    <row r="18" spans="1:21" ht="13.9" x14ac:dyDescent="0.25">
      <c r="A18" s="5"/>
      <c r="U18" s="7"/>
    </row>
    <row r="19" spans="1:21" ht="13.9" x14ac:dyDescent="0.25">
      <c r="A19" s="5"/>
      <c r="U19" s="7"/>
    </row>
    <row r="20" spans="1:21" ht="13.9" x14ac:dyDescent="0.25">
      <c r="A20" s="5"/>
      <c r="U20" s="7"/>
    </row>
    <row r="21" spans="1:21" ht="13.9" x14ac:dyDescent="0.25">
      <c r="A21" s="5"/>
      <c r="U21" s="7"/>
    </row>
    <row r="22" spans="1:21" ht="13.9" x14ac:dyDescent="0.25">
      <c r="A22" s="5"/>
      <c r="U22" s="7"/>
    </row>
    <row r="23" spans="1:21" ht="13.9" x14ac:dyDescent="0.25">
      <c r="A23" s="5"/>
      <c r="U23" s="7"/>
    </row>
    <row r="24" spans="1:21" ht="13.9" x14ac:dyDescent="0.25">
      <c r="A24" s="5"/>
      <c r="B24" s="6"/>
      <c r="C24" s="6"/>
      <c r="D24" s="6"/>
      <c r="E24" s="6"/>
      <c r="F24" s="6"/>
      <c r="G24" s="6"/>
      <c r="H24" s="6"/>
      <c r="I24" s="6"/>
      <c r="J24" s="6"/>
      <c r="U24" s="7"/>
    </row>
    <row r="25" spans="1:21" ht="13.9" x14ac:dyDescent="0.25">
      <c r="A25" s="5"/>
      <c r="U25" s="7"/>
    </row>
    <row r="26" spans="1:21" ht="13.9" x14ac:dyDescent="0.25">
      <c r="A26" s="5"/>
      <c r="U26" s="7"/>
    </row>
    <row r="27" spans="1:21" ht="13.9" customHeight="1" x14ac:dyDescent="0.25">
      <c r="A27" s="5"/>
      <c r="B27" s="94"/>
      <c r="C27" s="94"/>
      <c r="D27" s="94"/>
      <c r="E27" s="94"/>
      <c r="F27" s="94"/>
      <c r="G27" s="94"/>
      <c r="H27" s="94"/>
      <c r="I27" s="94"/>
      <c r="J27" s="94"/>
      <c r="K27" s="94"/>
      <c r="L27" s="94"/>
      <c r="M27" s="94"/>
      <c r="N27" s="94"/>
      <c r="O27" s="94"/>
      <c r="P27" s="94"/>
      <c r="Q27" s="94"/>
      <c r="R27" s="94"/>
      <c r="S27" s="94"/>
      <c r="T27" s="94"/>
      <c r="U27" s="7"/>
    </row>
    <row r="28" spans="1:21" ht="13.9" customHeight="1" x14ac:dyDescent="0.25">
      <c r="A28" s="5"/>
      <c r="B28" s="94"/>
      <c r="C28" s="94"/>
      <c r="D28" s="94"/>
      <c r="E28" s="94"/>
      <c r="F28" s="94"/>
      <c r="G28" s="94"/>
      <c r="H28" s="94"/>
      <c r="I28" s="94"/>
      <c r="J28" s="94"/>
      <c r="K28" s="94"/>
      <c r="L28" s="94"/>
      <c r="M28" s="94"/>
      <c r="N28" s="94"/>
      <c r="O28" s="94"/>
      <c r="P28" s="94"/>
      <c r="Q28" s="94"/>
      <c r="R28" s="94"/>
      <c r="S28" s="94"/>
      <c r="T28" s="94"/>
      <c r="U28" s="7"/>
    </row>
    <row r="29" spans="1:21" ht="13.9" customHeight="1" x14ac:dyDescent="0.25">
      <c r="A29" s="5"/>
      <c r="B29" s="94"/>
      <c r="C29" s="94"/>
      <c r="D29" s="94"/>
      <c r="E29" s="94"/>
      <c r="F29" s="94"/>
      <c r="G29" s="94"/>
      <c r="H29" s="94"/>
      <c r="I29" s="94"/>
      <c r="J29" s="94"/>
      <c r="K29" s="94"/>
      <c r="L29" s="94"/>
      <c r="M29" s="94"/>
      <c r="N29" s="94"/>
      <c r="O29" s="94"/>
      <c r="P29" s="94"/>
      <c r="Q29" s="94"/>
      <c r="R29" s="94"/>
      <c r="S29" s="94"/>
      <c r="T29" s="94"/>
      <c r="U29" s="7"/>
    </row>
    <row r="30" spans="1:21" ht="13.9" customHeight="1" x14ac:dyDescent="0.25">
      <c r="A30" s="5"/>
      <c r="B30" s="94"/>
      <c r="C30" s="94"/>
      <c r="D30" s="94"/>
      <c r="E30" s="94"/>
      <c r="F30" s="94"/>
      <c r="G30" s="94"/>
      <c r="H30" s="94"/>
      <c r="I30" s="94"/>
      <c r="J30" s="94"/>
      <c r="K30" s="94"/>
      <c r="L30" s="94"/>
      <c r="M30" s="94"/>
      <c r="N30" s="94"/>
      <c r="O30" s="94"/>
      <c r="P30" s="94"/>
      <c r="Q30" s="94"/>
      <c r="R30" s="94"/>
      <c r="S30" s="94"/>
      <c r="T30" s="94"/>
      <c r="U30" s="7"/>
    </row>
    <row r="31" spans="1:21" ht="13.9" customHeight="1" x14ac:dyDescent="0.25">
      <c r="A31" s="5"/>
      <c r="B31" s="94"/>
      <c r="C31" s="94"/>
      <c r="D31" s="94"/>
      <c r="E31" s="94"/>
      <c r="F31" s="94"/>
      <c r="G31" s="94"/>
      <c r="H31" s="94"/>
      <c r="I31" s="94"/>
      <c r="J31" s="94"/>
      <c r="K31" s="94"/>
      <c r="L31" s="94"/>
      <c r="M31" s="94"/>
      <c r="N31" s="94"/>
      <c r="O31" s="94"/>
      <c r="P31" s="94"/>
      <c r="Q31" s="94"/>
      <c r="R31" s="94"/>
      <c r="S31" s="94"/>
      <c r="T31" s="94"/>
      <c r="U31" s="7"/>
    </row>
    <row r="32" spans="1:21" ht="13.9" customHeight="1" x14ac:dyDescent="0.25">
      <c r="A32" s="5"/>
      <c r="B32" s="314" t="s">
        <v>856</v>
      </c>
      <c r="C32" s="314"/>
      <c r="D32" s="314"/>
      <c r="E32" s="314"/>
      <c r="F32" s="314"/>
      <c r="G32" s="314"/>
      <c r="H32" s="314"/>
      <c r="I32" s="314"/>
      <c r="J32" s="314"/>
      <c r="K32" s="314"/>
      <c r="L32" s="314"/>
      <c r="M32" s="314"/>
      <c r="N32" s="314"/>
      <c r="O32" s="314"/>
      <c r="P32" s="314"/>
      <c r="Q32" s="314"/>
      <c r="R32" s="314"/>
      <c r="S32" s="314"/>
      <c r="T32" s="314"/>
      <c r="U32" s="7"/>
    </row>
    <row r="33" spans="1:21" ht="13.9" customHeight="1" x14ac:dyDescent="0.25">
      <c r="A33" s="5"/>
      <c r="B33" s="314"/>
      <c r="C33" s="314"/>
      <c r="D33" s="314"/>
      <c r="E33" s="314"/>
      <c r="F33" s="314"/>
      <c r="G33" s="314"/>
      <c r="H33" s="314"/>
      <c r="I33" s="314"/>
      <c r="J33" s="314"/>
      <c r="K33" s="314"/>
      <c r="L33" s="314"/>
      <c r="M33" s="314"/>
      <c r="N33" s="314"/>
      <c r="O33" s="314"/>
      <c r="P33" s="314"/>
      <c r="Q33" s="314"/>
      <c r="R33" s="314"/>
      <c r="S33" s="314"/>
      <c r="T33" s="314"/>
      <c r="U33" s="7"/>
    </row>
    <row r="34" spans="1:21" ht="13.9" customHeight="1" x14ac:dyDescent="0.25">
      <c r="A34" s="5"/>
      <c r="B34" s="94"/>
      <c r="C34" s="94"/>
      <c r="D34" s="94"/>
      <c r="E34" s="94"/>
      <c r="F34" s="94"/>
      <c r="G34" s="94"/>
      <c r="H34" s="94"/>
      <c r="I34" s="94"/>
      <c r="J34" s="94"/>
      <c r="K34" s="94"/>
      <c r="L34" s="94"/>
      <c r="M34" s="94"/>
      <c r="N34" s="94"/>
      <c r="O34" s="94"/>
      <c r="P34" s="94"/>
      <c r="Q34" s="94"/>
      <c r="R34" s="94"/>
      <c r="S34" s="94"/>
      <c r="T34" s="94"/>
      <c r="U34" s="7"/>
    </row>
    <row r="35" spans="1:21" ht="13.9" customHeight="1" x14ac:dyDescent="0.25">
      <c r="A35" s="5"/>
      <c r="B35" s="94"/>
      <c r="C35" s="94"/>
      <c r="D35" s="94"/>
      <c r="E35" s="94"/>
      <c r="F35" s="94"/>
      <c r="G35" s="94"/>
      <c r="H35" s="94"/>
      <c r="I35" s="94"/>
      <c r="J35" s="94"/>
      <c r="K35" s="94"/>
      <c r="L35" s="94"/>
      <c r="M35" s="94"/>
      <c r="N35" s="94"/>
      <c r="O35" s="94"/>
      <c r="P35" s="94"/>
      <c r="Q35" s="94"/>
      <c r="R35" s="94"/>
      <c r="S35" s="94"/>
      <c r="T35" s="94"/>
      <c r="U35" s="7"/>
    </row>
    <row r="36" spans="1:21" ht="13.9" customHeight="1" x14ac:dyDescent="0.25">
      <c r="A36" s="5"/>
      <c r="B36" s="94"/>
      <c r="C36" s="94"/>
      <c r="D36" s="94"/>
      <c r="E36" s="94"/>
      <c r="F36" s="94"/>
      <c r="G36" s="94"/>
      <c r="H36" s="94"/>
      <c r="I36" s="94"/>
      <c r="J36" s="94"/>
      <c r="K36" s="94"/>
      <c r="L36" s="94"/>
      <c r="M36" s="94"/>
      <c r="N36" s="94"/>
      <c r="O36" s="94"/>
      <c r="P36" s="94"/>
      <c r="Q36" s="94"/>
      <c r="R36" s="94"/>
      <c r="S36" s="94"/>
      <c r="T36" s="94"/>
      <c r="U36" s="7"/>
    </row>
    <row r="37" spans="1:21" ht="13.9" customHeight="1" x14ac:dyDescent="0.25">
      <c r="A37" s="5"/>
      <c r="B37" s="94"/>
      <c r="C37" s="94"/>
      <c r="D37" s="94"/>
      <c r="E37" s="94"/>
      <c r="F37" s="94"/>
      <c r="G37" s="94"/>
      <c r="H37" s="94"/>
      <c r="I37" s="94"/>
      <c r="J37" s="94"/>
      <c r="K37" s="94"/>
      <c r="L37" s="94"/>
      <c r="M37" s="94"/>
      <c r="N37" s="94"/>
      <c r="O37" s="94"/>
      <c r="P37" s="94"/>
      <c r="Q37" s="94"/>
      <c r="R37" s="94"/>
      <c r="S37" s="94"/>
      <c r="T37" s="94"/>
      <c r="U37" s="7"/>
    </row>
    <row r="38" spans="1:21" ht="13.9" customHeight="1" x14ac:dyDescent="0.25">
      <c r="A38" s="5"/>
      <c r="B38" s="94"/>
      <c r="C38" s="94"/>
      <c r="D38" s="94"/>
      <c r="E38" s="94"/>
      <c r="F38" s="94"/>
      <c r="G38" s="94"/>
      <c r="H38" s="94"/>
      <c r="I38" s="94"/>
      <c r="J38" s="94"/>
      <c r="K38" s="94"/>
      <c r="L38" s="94"/>
      <c r="M38" s="94"/>
      <c r="N38" s="94"/>
      <c r="O38" s="94"/>
      <c r="P38" s="94"/>
      <c r="Q38" s="94"/>
      <c r="R38" s="94"/>
      <c r="S38" s="94"/>
      <c r="T38" s="94"/>
      <c r="U38" s="7"/>
    </row>
    <row r="39" spans="1:21" ht="13.9" x14ac:dyDescent="0.25">
      <c r="A39" s="5"/>
      <c r="U39" s="7"/>
    </row>
    <row r="40" spans="1:21" ht="13.9" x14ac:dyDescent="0.25">
      <c r="A40" s="5"/>
      <c r="U40" s="7"/>
    </row>
    <row r="41" spans="1:21" ht="13.9" x14ac:dyDescent="0.25">
      <c r="A41" s="5"/>
      <c r="B41" s="6"/>
      <c r="C41" s="6"/>
      <c r="D41" s="6"/>
      <c r="E41" s="6"/>
      <c r="F41" s="6"/>
      <c r="G41" s="6"/>
      <c r="H41" s="6"/>
      <c r="I41" s="6"/>
      <c r="J41" s="6"/>
      <c r="U41" s="7"/>
    </row>
    <row r="42" spans="1:21" ht="13.9" x14ac:dyDescent="0.25">
      <c r="A42" s="5"/>
      <c r="B42" s="6"/>
      <c r="C42" s="6"/>
      <c r="D42" s="6"/>
      <c r="E42" s="6"/>
      <c r="F42" s="6"/>
      <c r="G42" s="6"/>
      <c r="H42" s="6"/>
      <c r="I42" s="6"/>
      <c r="J42" s="6"/>
      <c r="U42" s="8"/>
    </row>
    <row r="43" spans="1:21" ht="13.9" x14ac:dyDescent="0.25">
      <c r="A43" s="5"/>
      <c r="B43" s="6"/>
      <c r="C43" s="6"/>
      <c r="D43" s="6"/>
      <c r="E43" s="6"/>
      <c r="F43" s="6"/>
      <c r="G43" s="6"/>
      <c r="H43" s="6"/>
      <c r="I43" s="6"/>
      <c r="J43" s="6"/>
      <c r="U43" s="7"/>
    </row>
    <row r="44" spans="1:21" ht="13.9" x14ac:dyDescent="0.25">
      <c r="A44" s="5"/>
      <c r="B44" s="6"/>
      <c r="C44" s="6"/>
      <c r="D44" s="6"/>
      <c r="E44" s="6"/>
      <c r="F44" s="6"/>
      <c r="G44" s="6"/>
      <c r="H44" s="6"/>
      <c r="I44" s="6"/>
      <c r="J44" s="6"/>
      <c r="U44" s="7"/>
    </row>
    <row r="45" spans="1:21" ht="13.9" x14ac:dyDescent="0.25">
      <c r="A45" s="5"/>
      <c r="B45" s="6"/>
      <c r="C45" s="6"/>
      <c r="D45" s="6"/>
      <c r="E45" s="6"/>
      <c r="F45" s="6"/>
      <c r="G45" s="6"/>
      <c r="H45" s="6"/>
      <c r="I45" s="6"/>
      <c r="J45" s="6"/>
      <c r="U45" s="7"/>
    </row>
    <row r="46" spans="1:21" ht="13.9" x14ac:dyDescent="0.25">
      <c r="A46" s="5"/>
      <c r="B46" s="6"/>
      <c r="C46" s="6"/>
      <c r="D46" s="6"/>
      <c r="E46" s="6"/>
      <c r="F46" s="6"/>
      <c r="G46" s="6"/>
      <c r="H46" s="6"/>
      <c r="I46" s="6"/>
      <c r="J46" s="6"/>
      <c r="U46" s="7"/>
    </row>
    <row r="47" spans="1:21" ht="13.9" x14ac:dyDescent="0.25">
      <c r="A47" s="5"/>
      <c r="B47" s="6"/>
      <c r="C47" s="6"/>
      <c r="D47" s="6"/>
      <c r="E47" s="6"/>
      <c r="F47" s="6"/>
      <c r="G47" s="6"/>
      <c r="H47" s="6"/>
      <c r="I47" s="6"/>
      <c r="J47" s="6"/>
      <c r="U47" s="7"/>
    </row>
    <row r="48" spans="1:21" ht="13.9" x14ac:dyDescent="0.25">
      <c r="A48" s="5"/>
      <c r="B48" s="6"/>
      <c r="C48" s="6"/>
      <c r="D48" s="6"/>
      <c r="E48" s="6"/>
      <c r="F48" s="6"/>
      <c r="G48" s="6"/>
      <c r="H48" s="6"/>
      <c r="I48" s="6"/>
      <c r="J48" s="6"/>
      <c r="U48" s="7"/>
    </row>
    <row r="49" spans="1:21" ht="13.9" x14ac:dyDescent="0.25">
      <c r="A49" s="5"/>
      <c r="B49" s="6"/>
      <c r="C49" s="6"/>
      <c r="D49" s="6"/>
      <c r="E49" s="6"/>
      <c r="F49" s="6"/>
      <c r="G49" s="6"/>
      <c r="H49" s="6"/>
      <c r="I49" s="6"/>
      <c r="J49" s="6"/>
      <c r="U49" s="7"/>
    </row>
    <row r="50" spans="1:21" ht="13.9" x14ac:dyDescent="0.25">
      <c r="A50" s="5"/>
      <c r="B50" s="6"/>
      <c r="C50" s="6"/>
      <c r="D50" s="6"/>
      <c r="E50" s="6"/>
      <c r="F50" s="6"/>
      <c r="G50" s="6"/>
      <c r="H50" s="6"/>
      <c r="I50" s="6"/>
      <c r="J50" s="6"/>
      <c r="U50" s="7"/>
    </row>
    <row r="51" spans="1:21" ht="13.9" x14ac:dyDescent="0.25">
      <c r="A51" s="5"/>
      <c r="B51" s="6"/>
      <c r="C51" s="6"/>
      <c r="D51" s="6"/>
      <c r="E51" s="6"/>
      <c r="F51" s="6"/>
      <c r="G51" s="6"/>
      <c r="H51" s="6"/>
      <c r="I51" s="6"/>
      <c r="J51" s="6"/>
      <c r="U51" s="7"/>
    </row>
    <row r="52" spans="1:21" ht="13.9" x14ac:dyDescent="0.25">
      <c r="A52" s="5"/>
      <c r="B52" s="6"/>
      <c r="C52" s="6"/>
      <c r="D52" s="6"/>
      <c r="E52" s="6"/>
      <c r="F52" s="6"/>
      <c r="G52" s="6"/>
      <c r="H52" s="6"/>
      <c r="I52" s="6"/>
      <c r="J52" s="6"/>
      <c r="U52" s="7"/>
    </row>
    <row r="53" spans="1:21" ht="13.9" x14ac:dyDescent="0.25">
      <c r="A53" s="5"/>
      <c r="B53" s="6"/>
      <c r="C53" s="6"/>
      <c r="D53" s="6"/>
      <c r="E53" s="6"/>
      <c r="F53" s="6"/>
      <c r="G53" s="6"/>
      <c r="H53" s="6"/>
      <c r="I53" s="6"/>
      <c r="J53" s="6"/>
      <c r="U53" s="7"/>
    </row>
    <row r="54" spans="1:21" ht="13.9" x14ac:dyDescent="0.25">
      <c r="A54" s="5"/>
      <c r="B54" s="6"/>
      <c r="C54" s="6"/>
      <c r="D54" s="6"/>
      <c r="E54" s="6"/>
      <c r="F54" s="6"/>
      <c r="G54" s="6"/>
      <c r="H54" s="6"/>
      <c r="I54" s="6"/>
      <c r="J54" s="6"/>
      <c r="U54" s="7"/>
    </row>
    <row r="55" spans="1:21" ht="13.9" x14ac:dyDescent="0.25">
      <c r="A55" s="5"/>
      <c r="B55" s="6"/>
      <c r="C55" s="6"/>
      <c r="D55" s="6"/>
      <c r="E55" s="6"/>
      <c r="F55" s="6"/>
      <c r="G55" s="6"/>
      <c r="H55" s="6"/>
      <c r="I55" s="6"/>
      <c r="J55" s="6"/>
      <c r="U55" s="7"/>
    </row>
    <row r="56" spans="1:21" ht="13.9" x14ac:dyDescent="0.25">
      <c r="A56" s="5"/>
      <c r="B56" s="6"/>
      <c r="C56" s="6"/>
      <c r="D56" s="6"/>
      <c r="E56" s="6"/>
      <c r="F56" s="6"/>
      <c r="G56" s="6"/>
      <c r="H56" s="6"/>
      <c r="I56" s="6"/>
      <c r="J56" s="6"/>
      <c r="U56" s="7"/>
    </row>
    <row r="57" spans="1:21" ht="13.9" x14ac:dyDescent="0.25">
      <c r="A57" s="5"/>
      <c r="B57" s="6"/>
      <c r="C57" s="6"/>
      <c r="D57" s="6"/>
      <c r="E57" s="6"/>
      <c r="F57" s="6"/>
      <c r="G57" s="6"/>
      <c r="H57" s="6"/>
      <c r="I57" s="6"/>
      <c r="J57" s="6"/>
      <c r="U57" s="7"/>
    </row>
    <row r="58" spans="1:21" ht="13.9" x14ac:dyDescent="0.25">
      <c r="A58" s="5"/>
      <c r="B58" s="6"/>
      <c r="C58" s="6"/>
      <c r="D58" s="6"/>
      <c r="E58" s="6"/>
      <c r="F58" s="6"/>
      <c r="G58" s="6"/>
      <c r="H58" s="6"/>
      <c r="I58" s="6"/>
      <c r="J58" s="6"/>
      <c r="U58" s="7"/>
    </row>
    <row r="59" spans="1:21" ht="13.9" x14ac:dyDescent="0.25">
      <c r="A59" s="5"/>
      <c r="U59" s="7"/>
    </row>
    <row r="60" spans="1:21" ht="13.9" x14ac:dyDescent="0.25">
      <c r="A60" s="5"/>
      <c r="U60" s="7"/>
    </row>
    <row r="61" spans="1:21" ht="13.9" x14ac:dyDescent="0.25">
      <c r="A61" s="5"/>
      <c r="U61" s="7"/>
    </row>
    <row r="62" spans="1:21" ht="13.9" x14ac:dyDescent="0.25">
      <c r="A62" s="5"/>
      <c r="B62" s="6"/>
      <c r="C62" s="6"/>
      <c r="D62" s="6"/>
      <c r="E62" s="6"/>
      <c r="F62" s="6"/>
      <c r="G62" s="6"/>
      <c r="H62" s="6"/>
      <c r="I62" s="6"/>
      <c r="J62" s="6"/>
      <c r="U62" s="7"/>
    </row>
    <row r="63" spans="1:21" ht="13.9" x14ac:dyDescent="0.25">
      <c r="A63" s="5"/>
      <c r="B63" s="6"/>
      <c r="C63" s="6"/>
      <c r="D63" s="6"/>
      <c r="E63" s="6"/>
      <c r="F63" s="6"/>
      <c r="G63" s="6"/>
      <c r="H63" s="6"/>
      <c r="I63" s="6"/>
      <c r="J63" s="6"/>
      <c r="U63" s="7"/>
    </row>
    <row r="64" spans="1:21" ht="13.9" x14ac:dyDescent="0.25">
      <c r="A64" s="5"/>
      <c r="B64" s="6"/>
      <c r="C64" s="6"/>
      <c r="D64" s="6"/>
      <c r="E64" s="6"/>
      <c r="F64" s="6"/>
      <c r="G64" s="6"/>
      <c r="H64" s="6"/>
      <c r="I64" s="6"/>
      <c r="J64" s="6"/>
      <c r="U64" s="7"/>
    </row>
    <row r="65" spans="1:21" ht="13.9" x14ac:dyDescent="0.25">
      <c r="A65" s="9"/>
      <c r="B65" s="10"/>
      <c r="C65" s="10"/>
      <c r="D65" s="10"/>
      <c r="E65" s="10"/>
      <c r="F65" s="10"/>
      <c r="G65" s="10"/>
      <c r="H65" s="10"/>
      <c r="I65" s="10"/>
      <c r="J65" s="10"/>
      <c r="K65" s="10"/>
      <c r="L65" s="10"/>
      <c r="M65" s="10"/>
      <c r="N65" s="10"/>
      <c r="O65" s="10"/>
      <c r="P65" s="10"/>
      <c r="Q65" s="10"/>
      <c r="R65" s="10"/>
      <c r="S65" s="10"/>
      <c r="T65" s="10"/>
      <c r="U65" s="11"/>
    </row>
  </sheetData>
  <mergeCells count="12">
    <mergeCell ref="Q3:U3"/>
    <mergeCell ref="B32:T33"/>
    <mergeCell ref="A1:E3"/>
    <mergeCell ref="F1:G2"/>
    <mergeCell ref="H1:N2"/>
    <mergeCell ref="O1:P1"/>
    <mergeCell ref="Q1:U1"/>
    <mergeCell ref="O2:P2"/>
    <mergeCell ref="Q2:U2"/>
    <mergeCell ref="F3:G3"/>
    <mergeCell ref="H3:N3"/>
    <mergeCell ref="O3:P3"/>
  </mergeCells>
  <printOptions horizontalCentered="1" verticalCentered="1"/>
  <pageMargins left="0.47244094488188981" right="0.47244094488188981" top="0.74803149606299213" bottom="0.74803149606299213" header="0.31496062992125984" footer="0.31496062992125984"/>
  <pageSetup scale="75" fitToWidth="0"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F7B2B-4BBA-4B42-ADCC-522A5DFA3967}">
  <dimension ref="A1:AR65"/>
  <sheetViews>
    <sheetView topLeftCell="A10" workbookViewId="0">
      <selection sqref="A1:E3"/>
    </sheetView>
  </sheetViews>
  <sheetFormatPr baseColWidth="10" defaultColWidth="5.7109375" defaultRowHeight="15" x14ac:dyDescent="0.25"/>
  <cols>
    <col min="1" max="16" width="5.7109375" style="1" customWidth="1"/>
    <col min="17" max="17" width="5.7109375" style="1"/>
    <col min="18" max="21" width="5.7109375" style="1" customWidth="1"/>
    <col min="22" max="16384" width="5.7109375" style="1"/>
  </cols>
  <sheetData>
    <row r="1" spans="1:26" ht="15" customHeight="1" x14ac:dyDescent="0.25">
      <c r="A1" s="211" t="s">
        <v>5</v>
      </c>
      <c r="B1" s="212"/>
      <c r="C1" s="212"/>
      <c r="D1" s="212"/>
      <c r="E1" s="213"/>
      <c r="F1" s="217" t="s">
        <v>0</v>
      </c>
      <c r="G1" s="210"/>
      <c r="H1" s="217"/>
      <c r="I1" s="209"/>
      <c r="J1" s="209"/>
      <c r="K1" s="209"/>
      <c r="L1" s="209"/>
      <c r="M1" s="209"/>
      <c r="N1" s="210"/>
      <c r="O1" s="221" t="s">
        <v>2</v>
      </c>
      <c r="P1" s="222"/>
      <c r="Q1" s="222"/>
      <c r="R1" s="222"/>
      <c r="S1" s="222"/>
      <c r="T1" s="222"/>
      <c r="U1" s="223"/>
    </row>
    <row r="2" spans="1:26" x14ac:dyDescent="0.25">
      <c r="A2" s="214"/>
      <c r="B2" s="215"/>
      <c r="C2" s="215"/>
      <c r="D2" s="215"/>
      <c r="E2" s="216"/>
      <c r="F2" s="218"/>
      <c r="G2" s="219"/>
      <c r="H2" s="218"/>
      <c r="I2" s="220"/>
      <c r="J2" s="220"/>
      <c r="K2" s="220"/>
      <c r="L2" s="220"/>
      <c r="M2" s="220"/>
      <c r="N2" s="219"/>
      <c r="O2" s="221" t="s">
        <v>3</v>
      </c>
      <c r="P2" s="222"/>
      <c r="Q2" s="222"/>
      <c r="R2" s="222"/>
      <c r="S2" s="222"/>
      <c r="T2" s="222"/>
      <c r="U2" s="223"/>
    </row>
    <row r="3" spans="1:26" x14ac:dyDescent="0.25">
      <c r="A3" s="214"/>
      <c r="B3" s="215"/>
      <c r="C3" s="215"/>
      <c r="D3" s="215"/>
      <c r="E3" s="216"/>
      <c r="F3" s="217" t="s">
        <v>1</v>
      </c>
      <c r="G3" s="210"/>
      <c r="H3" s="217" t="s">
        <v>426</v>
      </c>
      <c r="I3" s="209"/>
      <c r="J3" s="209"/>
      <c r="K3" s="209"/>
      <c r="L3" s="209"/>
      <c r="M3" s="209"/>
      <c r="N3" s="210"/>
      <c r="O3" s="217" t="s">
        <v>4</v>
      </c>
      <c r="P3" s="209"/>
      <c r="Q3" s="209"/>
      <c r="R3" s="209"/>
      <c r="S3" s="209"/>
      <c r="T3" s="209"/>
      <c r="U3" s="210"/>
    </row>
    <row r="4" spans="1:26" x14ac:dyDescent="0.25">
      <c r="A4" s="91"/>
      <c r="B4" s="50"/>
      <c r="C4" s="50"/>
      <c r="D4" s="50"/>
      <c r="E4" s="50"/>
      <c r="F4" s="50"/>
      <c r="G4" s="50"/>
      <c r="H4" s="50"/>
      <c r="I4" s="50"/>
      <c r="J4" s="50"/>
      <c r="K4" s="50"/>
      <c r="L4" s="50"/>
      <c r="M4" s="50"/>
      <c r="N4" s="50"/>
      <c r="O4" s="50"/>
      <c r="P4" s="50"/>
      <c r="Q4" s="50"/>
      <c r="R4" s="50"/>
      <c r="S4" s="50"/>
      <c r="T4" s="50"/>
      <c r="U4" s="90"/>
      <c r="W4" s="259" t="s">
        <v>398</v>
      </c>
      <c r="X4" s="259"/>
      <c r="Y4" s="259"/>
    </row>
    <row r="5" spans="1:26" ht="14.45" customHeight="1" x14ac:dyDescent="0.25">
      <c r="A5" s="96"/>
      <c r="B5" s="254" t="s">
        <v>425</v>
      </c>
      <c r="C5" s="254"/>
      <c r="D5" s="254"/>
      <c r="E5" s="254"/>
      <c r="F5" s="254"/>
      <c r="G5" s="254"/>
      <c r="H5" s="254"/>
      <c r="I5" s="254"/>
      <c r="J5" s="254"/>
      <c r="K5" s="254"/>
      <c r="L5" s="254"/>
      <c r="M5" s="254"/>
      <c r="N5" s="254"/>
      <c r="O5" s="254"/>
      <c r="P5" s="254"/>
      <c r="Q5" s="254"/>
      <c r="R5" s="254"/>
      <c r="S5" s="254"/>
      <c r="T5" s="254"/>
      <c r="U5" s="97"/>
      <c r="W5" s="259"/>
      <c r="X5" s="259"/>
      <c r="Y5" s="259"/>
    </row>
    <row r="6" spans="1:26" ht="14.45" customHeight="1" x14ac:dyDescent="0.25">
      <c r="A6" s="96"/>
      <c r="B6" s="254" t="s">
        <v>404</v>
      </c>
      <c r="C6" s="54" t="s">
        <v>399</v>
      </c>
      <c r="D6" s="54" t="s">
        <v>405</v>
      </c>
      <c r="E6" s="54" t="s">
        <v>418</v>
      </c>
      <c r="F6" s="54"/>
      <c r="G6" s="54" t="s">
        <v>419</v>
      </c>
      <c r="H6" s="54"/>
      <c r="I6" s="254" t="s">
        <v>402</v>
      </c>
      <c r="J6" s="254"/>
      <c r="K6" s="54" t="s">
        <v>423</v>
      </c>
      <c r="L6" s="254" t="s">
        <v>407</v>
      </c>
      <c r="M6" s="254"/>
      <c r="N6" s="254" t="s">
        <v>249</v>
      </c>
      <c r="O6" s="254"/>
      <c r="P6" s="254" t="s">
        <v>148</v>
      </c>
      <c r="Q6" s="254"/>
      <c r="R6" s="254" t="s">
        <v>422</v>
      </c>
      <c r="S6" s="254"/>
      <c r="T6" s="254"/>
      <c r="U6" s="97"/>
      <c r="W6" s="1" t="s">
        <v>399</v>
      </c>
      <c r="Y6" s="1" t="s">
        <v>400</v>
      </c>
    </row>
    <row r="7" spans="1:26" ht="14.45" customHeight="1" x14ac:dyDescent="0.25">
      <c r="A7" s="96"/>
      <c r="B7" s="254"/>
      <c r="C7" s="54" t="s">
        <v>125</v>
      </c>
      <c r="D7" s="54" t="s">
        <v>312</v>
      </c>
      <c r="E7" s="54" t="s">
        <v>313</v>
      </c>
      <c r="F7" s="54" t="s">
        <v>314</v>
      </c>
      <c r="G7" s="54" t="s">
        <v>9</v>
      </c>
      <c r="H7" s="54" t="s">
        <v>26</v>
      </c>
      <c r="I7" s="254" t="s">
        <v>406</v>
      </c>
      <c r="J7" s="254"/>
      <c r="K7" s="54" t="s">
        <v>147</v>
      </c>
      <c r="L7" s="254" t="s">
        <v>408</v>
      </c>
      <c r="M7" s="254"/>
      <c r="N7" s="254" t="s">
        <v>420</v>
      </c>
      <c r="O7" s="254"/>
      <c r="P7" s="254" t="s">
        <v>421</v>
      </c>
      <c r="Q7" s="254"/>
      <c r="R7" s="54" t="s">
        <v>149</v>
      </c>
      <c r="S7" s="54" t="s">
        <v>410</v>
      </c>
      <c r="T7" s="54" t="s">
        <v>392</v>
      </c>
      <c r="U7" s="97"/>
      <c r="W7" s="1" t="s">
        <v>150</v>
      </c>
      <c r="Y7" s="1" t="s">
        <v>261</v>
      </c>
    </row>
    <row r="8" spans="1:26" ht="14.45" customHeight="1" x14ac:dyDescent="0.25">
      <c r="A8" s="96"/>
      <c r="B8" s="254"/>
      <c r="C8" s="54" t="s">
        <v>374</v>
      </c>
      <c r="D8" s="54" t="s">
        <v>374</v>
      </c>
      <c r="E8" s="54" t="s">
        <v>374</v>
      </c>
      <c r="F8" s="54" t="s">
        <v>374</v>
      </c>
      <c r="G8" s="54" t="s">
        <v>180</v>
      </c>
      <c r="H8" s="54" t="s">
        <v>180</v>
      </c>
      <c r="I8" s="254" t="s">
        <v>403</v>
      </c>
      <c r="J8" s="254"/>
      <c r="K8" s="54" t="s">
        <v>101</v>
      </c>
      <c r="L8" s="254" t="s">
        <v>409</v>
      </c>
      <c r="M8" s="254"/>
      <c r="N8" s="254" t="s">
        <v>96</v>
      </c>
      <c r="O8" s="254"/>
      <c r="P8" s="254" t="s">
        <v>96</v>
      </c>
      <c r="Q8" s="254"/>
      <c r="R8" s="54" t="s">
        <v>409</v>
      </c>
      <c r="S8" s="54" t="s">
        <v>411</v>
      </c>
      <c r="T8" s="54" t="s">
        <v>95</v>
      </c>
      <c r="U8" s="97"/>
      <c r="W8" s="1">
        <v>80</v>
      </c>
      <c r="X8" s="1">
        <v>140</v>
      </c>
      <c r="Y8" s="1">
        <v>1</v>
      </c>
    </row>
    <row r="9" spans="1:26" ht="14.45" customHeight="1" x14ac:dyDescent="0.25">
      <c r="A9" s="96"/>
      <c r="B9" s="53" t="s">
        <v>424</v>
      </c>
      <c r="C9" s="64">
        <v>120</v>
      </c>
      <c r="D9" s="64">
        <v>400</v>
      </c>
      <c r="E9" s="53">
        <v>60</v>
      </c>
      <c r="F9" s="53">
        <f>+D9-E9</f>
        <v>340</v>
      </c>
      <c r="G9" s="64">
        <v>21</v>
      </c>
      <c r="H9" s="64">
        <v>420</v>
      </c>
      <c r="I9" s="371">
        <v>6</v>
      </c>
      <c r="J9" s="371"/>
      <c r="K9" s="64">
        <v>5</v>
      </c>
      <c r="L9" s="236">
        <f>2.4*D9/1000*C9/1000</f>
        <v>0.11519999999999998</v>
      </c>
      <c r="M9" s="236"/>
      <c r="N9" s="371">
        <v>3</v>
      </c>
      <c r="O9" s="371"/>
      <c r="P9" s="371">
        <v>1.8</v>
      </c>
      <c r="Q9" s="371"/>
      <c r="R9" s="53">
        <f>1.6*P9*K9+1.2*(N9*K9+L9)</f>
        <v>32.538240000000002</v>
      </c>
      <c r="S9" s="53">
        <f>R9*K9^2/8</f>
        <v>101.682</v>
      </c>
      <c r="T9" s="53">
        <f>R9*K9/2</f>
        <v>81.345600000000005</v>
      </c>
      <c r="U9" s="97"/>
      <c r="W9" s="1">
        <v>150</v>
      </c>
      <c r="X9" s="1">
        <v>400</v>
      </c>
      <c r="Y9" s="1">
        <v>2</v>
      </c>
    </row>
    <row r="10" spans="1:26" ht="14.45" customHeight="1" x14ac:dyDescent="0.25">
      <c r="A10" s="96"/>
      <c r="B10" s="53" t="s">
        <v>428</v>
      </c>
      <c r="C10" s="64">
        <v>120</v>
      </c>
      <c r="D10" s="64">
        <v>400</v>
      </c>
      <c r="E10" s="53">
        <v>60</v>
      </c>
      <c r="F10" s="53">
        <f>+D10-E10</f>
        <v>340</v>
      </c>
      <c r="G10" s="64">
        <v>21</v>
      </c>
      <c r="H10" s="64">
        <v>420</v>
      </c>
      <c r="I10" s="371">
        <f>+K10*(2.36+0.65)/2</f>
        <v>7.3443999999999994</v>
      </c>
      <c r="J10" s="371"/>
      <c r="K10" s="64">
        <f>1+0.98+1.02+1.88</f>
        <v>4.88</v>
      </c>
      <c r="L10" s="236">
        <f>2.4*D10/1000*C10/1000</f>
        <v>0.11519999999999998</v>
      </c>
      <c r="M10" s="236"/>
      <c r="N10" s="371">
        <v>5</v>
      </c>
      <c r="O10" s="371"/>
      <c r="P10" s="371">
        <v>1.8</v>
      </c>
      <c r="Q10" s="371"/>
      <c r="R10" s="53">
        <f>1.6*P10*K10+1.2*(N10*K10+L10)</f>
        <v>43.472639999999998</v>
      </c>
      <c r="S10" s="53">
        <f>R10*K10^2/8</f>
        <v>129.40935475199998</v>
      </c>
      <c r="T10" s="53">
        <f>R10*K10/2</f>
        <v>106.07324159999999</v>
      </c>
      <c r="U10" s="97"/>
      <c r="W10" s="1">
        <v>410</v>
      </c>
      <c r="X10" s="1">
        <v>550</v>
      </c>
      <c r="Y10" s="1">
        <v>3</v>
      </c>
    </row>
    <row r="11" spans="1:26" ht="13.9" x14ac:dyDescent="0.25">
      <c r="A11" s="96"/>
      <c r="B11" s="53" t="s">
        <v>429</v>
      </c>
      <c r="C11" s="53"/>
      <c r="D11" s="53"/>
      <c r="E11" s="53"/>
      <c r="F11" s="53"/>
      <c r="G11" s="53"/>
      <c r="H11" s="53"/>
      <c r="I11" s="236"/>
      <c r="J11" s="236"/>
      <c r="K11" s="53"/>
      <c r="L11" s="236"/>
      <c r="M11" s="236"/>
      <c r="N11" s="236"/>
      <c r="O11" s="236"/>
      <c r="P11" s="236"/>
      <c r="Q11" s="236"/>
      <c r="R11" s="53"/>
      <c r="S11" s="53"/>
      <c r="T11" s="53"/>
      <c r="U11" s="97"/>
      <c r="W11" s="1">
        <v>560</v>
      </c>
      <c r="X11" s="1">
        <v>700</v>
      </c>
      <c r="Y11" s="1">
        <v>4</v>
      </c>
    </row>
    <row r="12" spans="1:26" ht="13.9" x14ac:dyDescent="0.25">
      <c r="A12" s="96"/>
      <c r="B12" s="53" t="s">
        <v>430</v>
      </c>
      <c r="C12" s="53"/>
      <c r="D12" s="53"/>
      <c r="E12" s="53"/>
      <c r="F12" s="53"/>
      <c r="G12" s="53"/>
      <c r="H12" s="53"/>
      <c r="I12" s="236"/>
      <c r="J12" s="236"/>
      <c r="K12" s="53"/>
      <c r="L12" s="236"/>
      <c r="M12" s="236"/>
      <c r="N12" s="236"/>
      <c r="O12" s="236"/>
      <c r="P12" s="236"/>
      <c r="Q12" s="236"/>
      <c r="R12" s="53"/>
      <c r="S12" s="53"/>
      <c r="T12" s="53"/>
      <c r="U12" s="97"/>
      <c r="W12" s="1">
        <v>710</v>
      </c>
      <c r="X12" s="1">
        <v>850</v>
      </c>
      <c r="Y12" s="1">
        <v>5</v>
      </c>
    </row>
    <row r="13" spans="1:26" ht="13.9" x14ac:dyDescent="0.25">
      <c r="A13" s="96"/>
      <c r="B13" s="53" t="s">
        <v>431</v>
      </c>
      <c r="C13" s="53"/>
      <c r="D13" s="53"/>
      <c r="E13" s="53"/>
      <c r="F13" s="53"/>
      <c r="G13" s="53"/>
      <c r="H13" s="53"/>
      <c r="I13" s="236"/>
      <c r="J13" s="236"/>
      <c r="K13" s="53"/>
      <c r="L13" s="236"/>
      <c r="M13" s="236"/>
      <c r="N13" s="236"/>
      <c r="O13" s="236"/>
      <c r="P13" s="236"/>
      <c r="Q13" s="236"/>
      <c r="R13" s="53"/>
      <c r="S13" s="53"/>
      <c r="T13" s="53"/>
      <c r="U13" s="97"/>
      <c r="W13" s="1">
        <v>860</v>
      </c>
      <c r="X13" s="1">
        <v>1000</v>
      </c>
      <c r="Y13" s="1">
        <v>6</v>
      </c>
    </row>
    <row r="14" spans="1:26" ht="13.9" x14ac:dyDescent="0.25">
      <c r="A14" s="96"/>
      <c r="B14" s="53" t="s">
        <v>432</v>
      </c>
      <c r="C14" s="53"/>
      <c r="D14" s="53"/>
      <c r="E14" s="53"/>
      <c r="F14" s="53"/>
      <c r="G14" s="53"/>
      <c r="H14" s="53"/>
      <c r="I14" s="236"/>
      <c r="J14" s="236"/>
      <c r="K14" s="53"/>
      <c r="L14" s="236"/>
      <c r="M14" s="236"/>
      <c r="N14" s="236"/>
      <c r="O14" s="236"/>
      <c r="P14" s="236"/>
      <c r="Q14" s="236"/>
      <c r="R14" s="53"/>
      <c r="S14" s="53"/>
      <c r="T14" s="53"/>
      <c r="U14" s="97"/>
    </row>
    <row r="15" spans="1:26" x14ac:dyDescent="0.25">
      <c r="A15" s="96"/>
      <c r="B15" s="53" t="s">
        <v>433</v>
      </c>
      <c r="C15" s="53"/>
      <c r="D15" s="53"/>
      <c r="E15" s="53"/>
      <c r="F15" s="53"/>
      <c r="G15" s="53"/>
      <c r="H15" s="53"/>
      <c r="I15" s="236"/>
      <c r="J15" s="236"/>
      <c r="K15" s="53"/>
      <c r="L15" s="236"/>
      <c r="M15" s="236"/>
      <c r="N15" s="236"/>
      <c r="O15" s="236"/>
      <c r="P15" s="236"/>
      <c r="Q15" s="236"/>
      <c r="R15" s="53"/>
      <c r="S15" s="53"/>
      <c r="T15" s="53"/>
      <c r="U15" s="97"/>
      <c r="W15" s="1" t="s">
        <v>307</v>
      </c>
      <c r="X15" s="1" t="s">
        <v>401</v>
      </c>
      <c r="Y15" s="1" t="s">
        <v>374</v>
      </c>
      <c r="Z15" s="1" t="s">
        <v>383</v>
      </c>
    </row>
    <row r="16" spans="1:26" ht="13.9" x14ac:dyDescent="0.25">
      <c r="A16" s="96"/>
      <c r="B16" s="53" t="s">
        <v>434</v>
      </c>
      <c r="C16" s="53"/>
      <c r="D16" s="53"/>
      <c r="E16" s="53"/>
      <c r="F16" s="53"/>
      <c r="G16" s="53"/>
      <c r="H16" s="53"/>
      <c r="I16" s="236"/>
      <c r="J16" s="236"/>
      <c r="K16" s="53"/>
      <c r="L16" s="236"/>
      <c r="M16" s="236"/>
      <c r="N16" s="236"/>
      <c r="O16" s="236"/>
      <c r="P16" s="236"/>
      <c r="Q16" s="236"/>
      <c r="R16" s="53"/>
      <c r="S16" s="53"/>
      <c r="T16" s="53"/>
      <c r="U16" s="97"/>
      <c r="W16" s="1">
        <v>2</v>
      </c>
      <c r="X16" s="1" t="str">
        <f>CONCATENATE(W16,"/8","""")</f>
        <v>2/8"</v>
      </c>
      <c r="Y16" s="1">
        <v>6.4</v>
      </c>
      <c r="Z16" s="1">
        <v>32</v>
      </c>
    </row>
    <row r="17" spans="1:44" ht="13.9" x14ac:dyDescent="0.25">
      <c r="A17" s="96"/>
      <c r="B17" s="53" t="s">
        <v>435</v>
      </c>
      <c r="C17" s="53"/>
      <c r="D17" s="53"/>
      <c r="E17" s="53"/>
      <c r="F17" s="53"/>
      <c r="G17" s="53"/>
      <c r="H17" s="53"/>
      <c r="I17" s="236"/>
      <c r="J17" s="236"/>
      <c r="K17" s="53"/>
      <c r="L17" s="236"/>
      <c r="M17" s="236"/>
      <c r="N17" s="236"/>
      <c r="O17" s="236"/>
      <c r="P17" s="236"/>
      <c r="Q17" s="236"/>
      <c r="R17" s="53"/>
      <c r="S17" s="53"/>
      <c r="T17" s="53"/>
      <c r="U17" s="97"/>
      <c r="W17" s="1">
        <v>3</v>
      </c>
      <c r="X17" s="1" t="str">
        <f t="shared" ref="X17:X24" si="0">CONCATENATE(W17,"/8","""")</f>
        <v>3/8"</v>
      </c>
      <c r="Y17" s="1">
        <v>9.5</v>
      </c>
      <c r="Z17" s="1">
        <v>71</v>
      </c>
    </row>
    <row r="18" spans="1:44" ht="13.9" x14ac:dyDescent="0.25">
      <c r="A18" s="96"/>
      <c r="B18" s="53" t="s">
        <v>436</v>
      </c>
      <c r="C18" s="53"/>
      <c r="D18" s="53"/>
      <c r="E18" s="53"/>
      <c r="F18" s="53"/>
      <c r="G18" s="53"/>
      <c r="H18" s="53"/>
      <c r="I18" s="236"/>
      <c r="J18" s="236"/>
      <c r="K18" s="53"/>
      <c r="L18" s="236"/>
      <c r="M18" s="236"/>
      <c r="N18" s="236"/>
      <c r="O18" s="236"/>
      <c r="P18" s="236"/>
      <c r="Q18" s="236"/>
      <c r="R18" s="53"/>
      <c r="S18" s="53"/>
      <c r="T18" s="53"/>
      <c r="U18" s="97"/>
      <c r="W18" s="1">
        <v>4</v>
      </c>
      <c r="X18" s="1" t="str">
        <f t="shared" si="0"/>
        <v>4/8"</v>
      </c>
      <c r="Y18" s="1">
        <v>12.7</v>
      </c>
      <c r="Z18" s="1">
        <v>129</v>
      </c>
    </row>
    <row r="19" spans="1:44" ht="13.9" x14ac:dyDescent="0.25">
      <c r="A19" s="96"/>
      <c r="B19" s="53" t="s">
        <v>437</v>
      </c>
      <c r="C19" s="53"/>
      <c r="D19" s="53"/>
      <c r="E19" s="53"/>
      <c r="F19" s="53"/>
      <c r="G19" s="53"/>
      <c r="H19" s="53"/>
      <c r="I19" s="236"/>
      <c r="J19" s="236"/>
      <c r="K19" s="53"/>
      <c r="L19" s="236"/>
      <c r="M19" s="236"/>
      <c r="N19" s="236"/>
      <c r="O19" s="236"/>
      <c r="P19" s="236"/>
      <c r="Q19" s="236"/>
      <c r="R19" s="53"/>
      <c r="S19" s="53"/>
      <c r="T19" s="53"/>
      <c r="U19" s="97"/>
      <c r="W19" s="1">
        <v>5</v>
      </c>
      <c r="X19" s="1" t="str">
        <f t="shared" si="0"/>
        <v>5/8"</v>
      </c>
      <c r="Y19" s="1">
        <v>15.9</v>
      </c>
      <c r="Z19" s="1">
        <v>199</v>
      </c>
    </row>
    <row r="20" spans="1:44" ht="13.9" x14ac:dyDescent="0.25">
      <c r="A20" s="96"/>
      <c r="B20" s="53" t="s">
        <v>438</v>
      </c>
      <c r="C20" s="53"/>
      <c r="D20" s="53"/>
      <c r="E20" s="53"/>
      <c r="F20" s="53"/>
      <c r="G20" s="53"/>
      <c r="H20" s="53"/>
      <c r="I20" s="236"/>
      <c r="J20" s="236"/>
      <c r="K20" s="53"/>
      <c r="L20" s="236"/>
      <c r="M20" s="236"/>
      <c r="N20" s="236"/>
      <c r="O20" s="236"/>
      <c r="P20" s="236"/>
      <c r="Q20" s="236"/>
      <c r="R20" s="53"/>
      <c r="S20" s="53"/>
      <c r="T20" s="53"/>
      <c r="U20" s="97"/>
      <c r="W20" s="1">
        <v>6</v>
      </c>
      <c r="X20" s="1" t="str">
        <f t="shared" si="0"/>
        <v>6/8"</v>
      </c>
      <c r="Y20" s="1">
        <v>19.100000000000001</v>
      </c>
      <c r="Z20" s="1">
        <v>284</v>
      </c>
    </row>
    <row r="21" spans="1:44" ht="13.9" x14ac:dyDescent="0.25">
      <c r="A21" s="96"/>
      <c r="B21" s="53" t="s">
        <v>439</v>
      </c>
      <c r="C21" s="53"/>
      <c r="D21" s="53"/>
      <c r="E21" s="53"/>
      <c r="F21" s="53"/>
      <c r="G21" s="53"/>
      <c r="H21" s="53"/>
      <c r="I21" s="236"/>
      <c r="J21" s="236"/>
      <c r="K21" s="53"/>
      <c r="L21" s="236"/>
      <c r="M21" s="236"/>
      <c r="N21" s="236"/>
      <c r="O21" s="236"/>
      <c r="P21" s="236"/>
      <c r="Q21" s="236"/>
      <c r="R21" s="53"/>
      <c r="S21" s="53"/>
      <c r="T21" s="53"/>
      <c r="U21" s="97"/>
      <c r="W21" s="1">
        <v>7</v>
      </c>
      <c r="X21" s="1" t="str">
        <f t="shared" si="0"/>
        <v>7/8"</v>
      </c>
      <c r="Y21" s="1">
        <v>22.2</v>
      </c>
      <c r="Z21" s="1">
        <v>387</v>
      </c>
    </row>
    <row r="22" spans="1:44" ht="13.9" x14ac:dyDescent="0.25">
      <c r="A22" s="96"/>
      <c r="B22" s="53" t="s">
        <v>440</v>
      </c>
      <c r="C22" s="53"/>
      <c r="D22" s="53"/>
      <c r="E22" s="53"/>
      <c r="F22" s="53"/>
      <c r="G22" s="53"/>
      <c r="H22" s="53"/>
      <c r="I22" s="236"/>
      <c r="J22" s="236"/>
      <c r="K22" s="53"/>
      <c r="L22" s="236"/>
      <c r="M22" s="236"/>
      <c r="N22" s="236"/>
      <c r="O22" s="236"/>
      <c r="P22" s="236"/>
      <c r="Q22" s="236"/>
      <c r="R22" s="53"/>
      <c r="S22" s="53"/>
      <c r="T22" s="53"/>
      <c r="U22" s="97"/>
      <c r="W22" s="1">
        <v>8</v>
      </c>
      <c r="X22" s="1" t="str">
        <f t="shared" si="0"/>
        <v>8/8"</v>
      </c>
      <c r="Y22" s="1">
        <v>25.4</v>
      </c>
      <c r="Z22" s="1">
        <v>510</v>
      </c>
    </row>
    <row r="23" spans="1:44" ht="13.9" x14ac:dyDescent="0.25">
      <c r="A23" s="96"/>
      <c r="B23" s="53" t="s">
        <v>441</v>
      </c>
      <c r="C23" s="53"/>
      <c r="D23" s="53"/>
      <c r="E23" s="53"/>
      <c r="F23" s="53"/>
      <c r="G23" s="53"/>
      <c r="H23" s="53"/>
      <c r="I23" s="236"/>
      <c r="J23" s="236"/>
      <c r="K23" s="53"/>
      <c r="L23" s="236"/>
      <c r="M23" s="236"/>
      <c r="N23" s="236"/>
      <c r="O23" s="236"/>
      <c r="P23" s="236"/>
      <c r="Q23" s="236"/>
      <c r="R23" s="53"/>
      <c r="S23" s="53"/>
      <c r="T23" s="53"/>
      <c r="U23" s="97"/>
      <c r="W23" s="1">
        <v>9</v>
      </c>
      <c r="X23" s="1" t="str">
        <f t="shared" si="0"/>
        <v>9/8"</v>
      </c>
      <c r="Y23" s="1">
        <v>28.7</v>
      </c>
      <c r="Z23" s="1">
        <v>645</v>
      </c>
      <c r="AQ23" s="6"/>
      <c r="AR23" s="6"/>
    </row>
    <row r="24" spans="1:44" ht="13.9" x14ac:dyDescent="0.25">
      <c r="A24" s="96"/>
      <c r="B24" s="53" t="s">
        <v>442</v>
      </c>
      <c r="C24" s="53"/>
      <c r="D24" s="53"/>
      <c r="E24" s="53"/>
      <c r="F24" s="53"/>
      <c r="G24" s="53"/>
      <c r="H24" s="53"/>
      <c r="I24" s="236"/>
      <c r="J24" s="236"/>
      <c r="K24" s="53"/>
      <c r="L24" s="236"/>
      <c r="M24" s="236"/>
      <c r="N24" s="236"/>
      <c r="O24" s="236"/>
      <c r="P24" s="236"/>
      <c r="Q24" s="236"/>
      <c r="R24" s="53"/>
      <c r="S24" s="53"/>
      <c r="T24" s="53"/>
      <c r="U24" s="97"/>
      <c r="W24" s="1">
        <v>10</v>
      </c>
      <c r="X24" s="1" t="str">
        <f t="shared" si="0"/>
        <v>10/8"</v>
      </c>
      <c r="Y24" s="1">
        <v>32.299999999999997</v>
      </c>
      <c r="Z24" s="1">
        <v>819</v>
      </c>
    </row>
    <row r="25" spans="1:44" ht="13.9" x14ac:dyDescent="0.25">
      <c r="A25" s="96"/>
      <c r="B25" s="53" t="s">
        <v>443</v>
      </c>
      <c r="C25" s="53"/>
      <c r="D25" s="53"/>
      <c r="E25" s="53"/>
      <c r="F25" s="53"/>
      <c r="G25" s="53"/>
      <c r="H25" s="53"/>
      <c r="I25" s="236"/>
      <c r="J25" s="236"/>
      <c r="K25" s="53"/>
      <c r="L25" s="236"/>
      <c r="M25" s="236"/>
      <c r="N25" s="236"/>
      <c r="O25" s="236"/>
      <c r="P25" s="236"/>
      <c r="Q25" s="236"/>
      <c r="R25" s="53"/>
      <c r="S25" s="53"/>
      <c r="T25" s="53"/>
      <c r="U25" s="97"/>
    </row>
    <row r="26" spans="1:44" ht="13.9" x14ac:dyDescent="0.25">
      <c r="A26" s="96"/>
      <c r="B26" s="53" t="s">
        <v>444</v>
      </c>
      <c r="C26" s="53"/>
      <c r="D26" s="53"/>
      <c r="E26" s="53"/>
      <c r="F26" s="53"/>
      <c r="G26" s="53"/>
      <c r="H26" s="53"/>
      <c r="I26" s="236"/>
      <c r="J26" s="236"/>
      <c r="K26" s="53"/>
      <c r="L26" s="236"/>
      <c r="M26" s="236"/>
      <c r="N26" s="236"/>
      <c r="O26" s="236"/>
      <c r="P26" s="236"/>
      <c r="Q26" s="236"/>
      <c r="R26" s="53"/>
      <c r="S26" s="53"/>
      <c r="T26" s="53"/>
      <c r="U26" s="97"/>
    </row>
    <row r="27" spans="1:44" ht="13.9" customHeight="1" x14ac:dyDescent="0.25">
      <c r="A27" s="96"/>
      <c r="B27" s="53" t="s">
        <v>445</v>
      </c>
      <c r="C27" s="53"/>
      <c r="D27" s="53"/>
      <c r="E27" s="53"/>
      <c r="F27" s="53"/>
      <c r="G27" s="53"/>
      <c r="H27" s="53"/>
      <c r="I27" s="236"/>
      <c r="J27" s="236"/>
      <c r="K27" s="53"/>
      <c r="L27" s="236"/>
      <c r="M27" s="236"/>
      <c r="N27" s="236"/>
      <c r="O27" s="236"/>
      <c r="P27" s="236"/>
      <c r="Q27" s="236"/>
      <c r="R27" s="53"/>
      <c r="S27" s="53"/>
      <c r="T27" s="53"/>
      <c r="U27" s="97"/>
      <c r="AP27" s="6"/>
      <c r="AQ27" s="6"/>
      <c r="AR27" s="6"/>
    </row>
    <row r="28" spans="1:44" ht="13.9" customHeight="1" x14ac:dyDescent="0.25">
      <c r="A28" s="96"/>
      <c r="B28" s="53" t="s">
        <v>446</v>
      </c>
      <c r="C28" s="53"/>
      <c r="D28" s="53"/>
      <c r="E28" s="53"/>
      <c r="F28" s="53"/>
      <c r="G28" s="53"/>
      <c r="H28" s="53"/>
      <c r="I28" s="236"/>
      <c r="J28" s="236"/>
      <c r="K28" s="53"/>
      <c r="L28" s="236"/>
      <c r="M28" s="236"/>
      <c r="N28" s="236"/>
      <c r="O28" s="236"/>
      <c r="P28" s="236"/>
      <c r="Q28" s="236"/>
      <c r="R28" s="53"/>
      <c r="S28" s="53"/>
      <c r="T28" s="53"/>
      <c r="U28" s="97"/>
      <c r="AR28" s="95"/>
    </row>
    <row r="29" spans="1:44" ht="13.9" customHeight="1" x14ac:dyDescent="0.25">
      <c r="A29" s="96"/>
      <c r="B29" s="53" t="s">
        <v>447</v>
      </c>
      <c r="C29" s="53"/>
      <c r="D29" s="53"/>
      <c r="E29" s="53"/>
      <c r="F29" s="53"/>
      <c r="G29" s="53"/>
      <c r="H29" s="53"/>
      <c r="I29" s="236"/>
      <c r="J29" s="236"/>
      <c r="K29" s="53"/>
      <c r="L29" s="236"/>
      <c r="M29" s="236"/>
      <c r="N29" s="236"/>
      <c r="O29" s="236"/>
      <c r="P29" s="236"/>
      <c r="Q29" s="236"/>
      <c r="R29" s="53"/>
      <c r="S29" s="53"/>
      <c r="T29" s="53"/>
      <c r="U29" s="97"/>
    </row>
    <row r="30" spans="1:44" ht="13.9" customHeight="1" x14ac:dyDescent="0.25">
      <c r="A30" s="96"/>
      <c r="B30" s="53" t="s">
        <v>448</v>
      </c>
      <c r="C30" s="53"/>
      <c r="D30" s="53"/>
      <c r="E30" s="53"/>
      <c r="F30" s="53"/>
      <c r="G30" s="53"/>
      <c r="H30" s="53"/>
      <c r="I30" s="236"/>
      <c r="J30" s="236"/>
      <c r="K30" s="53"/>
      <c r="L30" s="236"/>
      <c r="M30" s="236"/>
      <c r="N30" s="236"/>
      <c r="O30" s="236"/>
      <c r="P30" s="236"/>
      <c r="Q30" s="236"/>
      <c r="R30" s="53"/>
      <c r="S30" s="53"/>
      <c r="T30" s="53"/>
      <c r="U30" s="97"/>
    </row>
    <row r="31" spans="1:44" ht="13.9" customHeight="1" x14ac:dyDescent="0.25">
      <c r="A31" s="96"/>
      <c r="B31" s="53" t="s">
        <v>449</v>
      </c>
      <c r="C31" s="53"/>
      <c r="D31" s="53"/>
      <c r="E31" s="53"/>
      <c r="F31" s="53"/>
      <c r="G31" s="53"/>
      <c r="H31" s="53"/>
      <c r="I31" s="236"/>
      <c r="J31" s="236"/>
      <c r="K31" s="53"/>
      <c r="L31" s="236"/>
      <c r="M31" s="236"/>
      <c r="N31" s="236"/>
      <c r="O31" s="236"/>
      <c r="P31" s="236"/>
      <c r="Q31" s="236"/>
      <c r="R31" s="53"/>
      <c r="S31" s="53"/>
      <c r="T31" s="53"/>
      <c r="U31" s="97"/>
      <c r="X31" s="94"/>
      <c r="Y31" s="94"/>
      <c r="Z31" s="94"/>
      <c r="AA31" s="94"/>
      <c r="AB31" s="94"/>
      <c r="AQ31" s="6"/>
      <c r="AR31" s="6"/>
    </row>
    <row r="32" spans="1:44" ht="13.9" customHeight="1" x14ac:dyDescent="0.25">
      <c r="A32" s="96"/>
      <c r="B32" s="53" t="s">
        <v>450</v>
      </c>
      <c r="C32" s="53"/>
      <c r="D32" s="53"/>
      <c r="E32" s="53"/>
      <c r="F32" s="53"/>
      <c r="G32" s="53"/>
      <c r="H32" s="53"/>
      <c r="I32" s="236"/>
      <c r="J32" s="236"/>
      <c r="K32" s="53"/>
      <c r="L32" s="236"/>
      <c r="M32" s="236"/>
      <c r="N32" s="236"/>
      <c r="O32" s="236"/>
      <c r="P32" s="236"/>
      <c r="Q32" s="236"/>
      <c r="R32" s="53"/>
      <c r="S32" s="53"/>
      <c r="T32" s="53"/>
      <c r="U32" s="97"/>
      <c r="W32" s="94"/>
      <c r="X32" s="94"/>
    </row>
    <row r="33" spans="1:31" ht="13.9" customHeight="1" x14ac:dyDescent="0.25">
      <c r="A33" s="96"/>
      <c r="B33" s="53" t="s">
        <v>451</v>
      </c>
      <c r="C33" s="53"/>
      <c r="D33" s="53"/>
      <c r="E33" s="53"/>
      <c r="F33" s="53"/>
      <c r="G33" s="53"/>
      <c r="H33" s="53"/>
      <c r="I33" s="236"/>
      <c r="J33" s="236"/>
      <c r="K33" s="53"/>
      <c r="L33" s="236"/>
      <c r="M33" s="236"/>
      <c r="N33" s="236"/>
      <c r="O33" s="236"/>
      <c r="P33" s="236"/>
      <c r="Q33" s="236"/>
      <c r="R33" s="53"/>
      <c r="S33" s="53"/>
      <c r="T33" s="53"/>
      <c r="U33" s="97"/>
      <c r="X33" s="94"/>
    </row>
    <row r="34" spans="1:31" ht="13.9" customHeight="1" x14ac:dyDescent="0.25">
      <c r="A34" s="96"/>
      <c r="B34" s="42"/>
      <c r="C34" s="42"/>
      <c r="D34" s="42"/>
      <c r="E34" s="42"/>
      <c r="F34" s="42"/>
      <c r="G34" s="42"/>
      <c r="H34" s="42"/>
      <c r="I34" s="42"/>
      <c r="J34" s="42"/>
      <c r="K34" s="42"/>
      <c r="L34" s="42"/>
      <c r="M34" s="42"/>
      <c r="N34" s="42"/>
      <c r="O34" s="42"/>
      <c r="P34" s="42"/>
      <c r="Q34" s="42"/>
      <c r="R34" s="42"/>
      <c r="S34" s="42"/>
      <c r="T34" s="42"/>
      <c r="U34" s="97"/>
      <c r="X34" s="94"/>
    </row>
    <row r="35" spans="1:31" ht="13.9" customHeight="1" x14ac:dyDescent="0.25">
      <c r="A35" s="96"/>
      <c r="B35" s="254" t="s">
        <v>427</v>
      </c>
      <c r="C35" s="254"/>
      <c r="D35" s="254"/>
      <c r="E35" s="254"/>
      <c r="F35" s="254"/>
      <c r="G35" s="254"/>
      <c r="H35" s="254"/>
      <c r="I35" s="254"/>
      <c r="J35" s="254"/>
      <c r="K35" s="254"/>
      <c r="L35" s="254"/>
      <c r="M35" s="254"/>
      <c r="N35" s="254"/>
      <c r="O35" s="254"/>
      <c r="P35" s="254"/>
      <c r="Q35" s="254"/>
      <c r="R35" s="254"/>
      <c r="S35" s="254"/>
      <c r="T35" s="254"/>
      <c r="U35" s="97"/>
      <c r="X35" s="94"/>
      <c r="Y35" s="94"/>
      <c r="AB35" s="94"/>
    </row>
    <row r="36" spans="1:31" ht="13.9" customHeight="1" x14ac:dyDescent="0.25">
      <c r="A36" s="96"/>
      <c r="B36" s="254" t="s">
        <v>404</v>
      </c>
      <c r="C36" s="254" t="s">
        <v>412</v>
      </c>
      <c r="D36" s="254"/>
      <c r="E36" s="254"/>
      <c r="F36" s="254"/>
      <c r="G36" s="254"/>
      <c r="H36" s="254"/>
      <c r="I36" s="254"/>
      <c r="J36" s="254"/>
      <c r="K36" s="254"/>
      <c r="L36" s="254"/>
      <c r="M36" s="254" t="s">
        <v>390</v>
      </c>
      <c r="N36" s="254"/>
      <c r="O36" s="254"/>
      <c r="P36" s="254"/>
      <c r="Q36" s="254"/>
      <c r="R36" s="254"/>
      <c r="S36" s="254"/>
      <c r="T36" s="254"/>
      <c r="U36" s="97"/>
    </row>
    <row r="37" spans="1:31" ht="13.9" customHeight="1" x14ac:dyDescent="0.25">
      <c r="A37" s="96"/>
      <c r="B37" s="254"/>
      <c r="C37" s="254" t="s">
        <v>334</v>
      </c>
      <c r="D37" s="254"/>
      <c r="E37" s="254" t="s">
        <v>333</v>
      </c>
      <c r="F37" s="254"/>
      <c r="G37" s="254" t="s">
        <v>394</v>
      </c>
      <c r="H37" s="254"/>
      <c r="I37" s="254" t="s">
        <v>416</v>
      </c>
      <c r="J37" s="254"/>
      <c r="K37" s="254" t="s">
        <v>417</v>
      </c>
      <c r="L37" s="254"/>
      <c r="M37" s="254" t="s">
        <v>391</v>
      </c>
      <c r="N37" s="254" t="s">
        <v>344</v>
      </c>
      <c r="O37" s="254"/>
      <c r="P37" s="254" t="s">
        <v>394</v>
      </c>
      <c r="Q37" s="254" t="s">
        <v>452</v>
      </c>
      <c r="R37" s="254" t="s">
        <v>396</v>
      </c>
      <c r="S37" s="254" t="s">
        <v>397</v>
      </c>
      <c r="T37" s="254"/>
      <c r="U37" s="97"/>
      <c r="Y37" s="6"/>
      <c r="Z37" s="1" t="s">
        <v>389</v>
      </c>
    </row>
    <row r="38" spans="1:31" ht="13.9" customHeight="1" x14ac:dyDescent="0.25">
      <c r="A38" s="96"/>
      <c r="B38" s="254"/>
      <c r="C38" s="254" t="s">
        <v>414</v>
      </c>
      <c r="D38" s="254"/>
      <c r="E38" s="254" t="s">
        <v>415</v>
      </c>
      <c r="F38" s="254"/>
      <c r="G38" s="254"/>
      <c r="H38" s="254"/>
      <c r="I38" s="254"/>
      <c r="J38" s="254"/>
      <c r="K38" s="254" t="s">
        <v>415</v>
      </c>
      <c r="L38" s="254"/>
      <c r="M38" s="254"/>
      <c r="N38" s="254"/>
      <c r="O38" s="254"/>
      <c r="P38" s="254"/>
      <c r="Q38" s="254"/>
      <c r="R38" s="254"/>
      <c r="S38" s="254"/>
      <c r="T38" s="254"/>
      <c r="U38" s="97"/>
      <c r="X38" s="312" t="s">
        <v>413</v>
      </c>
      <c r="Y38" s="312"/>
      <c r="Z38" s="6" t="s">
        <v>392</v>
      </c>
      <c r="AC38" s="1" t="s">
        <v>344</v>
      </c>
      <c r="AE38" s="1" t="s">
        <v>395</v>
      </c>
    </row>
    <row r="39" spans="1:31" x14ac:dyDescent="0.25">
      <c r="A39" s="96"/>
      <c r="B39" s="254"/>
      <c r="C39" s="254"/>
      <c r="D39" s="254"/>
      <c r="E39" s="254" t="s">
        <v>309</v>
      </c>
      <c r="F39" s="254"/>
      <c r="G39" s="254"/>
      <c r="H39" s="254"/>
      <c r="I39" s="254"/>
      <c r="J39" s="254"/>
      <c r="K39" s="254" t="s">
        <v>309</v>
      </c>
      <c r="L39" s="254"/>
      <c r="M39" s="54" t="s">
        <v>95</v>
      </c>
      <c r="N39" s="254"/>
      <c r="O39" s="254"/>
      <c r="P39" s="254"/>
      <c r="Q39" s="54" t="s">
        <v>374</v>
      </c>
      <c r="R39" s="54" t="s">
        <v>95</v>
      </c>
      <c r="S39" s="54" t="s">
        <v>95</v>
      </c>
      <c r="T39" s="254"/>
      <c r="U39" s="97"/>
      <c r="X39" s="312" t="s">
        <v>180</v>
      </c>
      <c r="Y39" s="312"/>
      <c r="Z39" s="6" t="s">
        <v>95</v>
      </c>
      <c r="AC39" s="1" t="s">
        <v>393</v>
      </c>
      <c r="AE39" s="1" t="s">
        <v>383</v>
      </c>
    </row>
    <row r="40" spans="1:31" ht="13.9" x14ac:dyDescent="0.25">
      <c r="A40" s="96"/>
      <c r="B40" s="53" t="s">
        <v>424</v>
      </c>
      <c r="C40" s="236">
        <f>MAX(0.85*G9/H9*(1-SQRT(1-2*X40/(0.85*G9))),0.0033)</f>
        <v>3.3E-3</v>
      </c>
      <c r="D40" s="236"/>
      <c r="E40" s="236">
        <f>C40*C9*F9/100</f>
        <v>1.3464</v>
      </c>
      <c r="F40" s="236"/>
      <c r="G40" s="236">
        <v>4</v>
      </c>
      <c r="H40" s="236"/>
      <c r="I40" s="236">
        <v>2</v>
      </c>
      <c r="J40" s="236"/>
      <c r="K40" s="236">
        <f>VLOOKUP(G40,$W$16:$Z$24,4,)/100*I40</f>
        <v>2.58</v>
      </c>
      <c r="L40" s="236"/>
      <c r="M40" s="53">
        <f>0.75*0.17*SQRT(G9)*C9*F9/1000</f>
        <v>23.838558765160275</v>
      </c>
      <c r="N40" s="53">
        <v>2</v>
      </c>
      <c r="O40" s="53"/>
      <c r="P40" s="53">
        <v>3</v>
      </c>
      <c r="Q40" s="53">
        <f>F9/2</f>
        <v>170</v>
      </c>
      <c r="R40" s="53">
        <f>0.75*AE40*H9*F9/Q40/1000</f>
        <v>89.46</v>
      </c>
      <c r="S40" s="53">
        <f>M40+R40</f>
        <v>113.29855876516027</v>
      </c>
      <c r="T40" s="53" t="str">
        <f>IF(Z40&gt;S40,"N.C.","O.K.")</f>
        <v>O.K.</v>
      </c>
      <c r="U40" s="97"/>
      <c r="W40" s="13" t="s">
        <v>424</v>
      </c>
      <c r="X40" s="300">
        <f>S9/(0.9*C9*F9^2)</f>
        <v>8.1444636678200695E-6</v>
      </c>
      <c r="Y40" s="300"/>
      <c r="Z40" s="6">
        <f>T9</f>
        <v>81.345600000000005</v>
      </c>
      <c r="AA40" s="1" t="str">
        <f>IF(Z40&gt;M40,"Requiere Asv","O.K.")</f>
        <v>Requiere Asv</v>
      </c>
      <c r="AC40" s="1">
        <f>VLOOKUP(C9,$W$8:$Y$13,3,1)</f>
        <v>1</v>
      </c>
      <c r="AE40" s="1">
        <f>VLOOKUP(P40,$W$16:$Z$24,4,)*N40</f>
        <v>142</v>
      </c>
    </row>
    <row r="41" spans="1:31" ht="13.9" x14ac:dyDescent="0.25">
      <c r="A41" s="96"/>
      <c r="B41" s="53" t="s">
        <v>428</v>
      </c>
      <c r="C41" s="236">
        <f>MAX(0.85*G10/H10*(1-SQRT(1-2*X41/(0.85*G10))),0.0033)</f>
        <v>3.3E-3</v>
      </c>
      <c r="D41" s="236"/>
      <c r="E41" s="236">
        <f>C41*C10*F10/100</f>
        <v>1.3464</v>
      </c>
      <c r="F41" s="236"/>
      <c r="G41" s="236">
        <v>4</v>
      </c>
      <c r="H41" s="236"/>
      <c r="I41" s="236">
        <v>2</v>
      </c>
      <c r="J41" s="236"/>
      <c r="K41" s="236">
        <f>VLOOKUP(G41,$W$16:$Z$24,4,)/100*I41</f>
        <v>2.58</v>
      </c>
      <c r="L41" s="236"/>
      <c r="M41" s="53">
        <f>0.75*0.17*SQRT(G10)*C10*F10/1000</f>
        <v>23.838558765160275</v>
      </c>
      <c r="N41" s="53">
        <v>2</v>
      </c>
      <c r="O41" s="53"/>
      <c r="P41" s="53">
        <v>3</v>
      </c>
      <c r="Q41" s="53">
        <f>F10/2</f>
        <v>170</v>
      </c>
      <c r="R41" s="53">
        <f>0.75*AE41*H10*F10/Q41/1000</f>
        <v>89.46</v>
      </c>
      <c r="S41" s="53">
        <f>M41+R41</f>
        <v>113.29855876516027</v>
      </c>
      <c r="T41" s="53" t="str">
        <f>IF(Z41&gt;S41,"N.C.","O.K.")</f>
        <v>O.K.</v>
      </c>
      <c r="U41" s="97"/>
      <c r="W41" s="13" t="s">
        <v>428</v>
      </c>
      <c r="X41" s="300">
        <f t="shared" ref="X41:X64" si="1">S10/(0.9*C10*F10^2)</f>
        <v>1.036535264898116E-5</v>
      </c>
      <c r="Y41" s="300"/>
      <c r="Z41" s="6">
        <f t="shared" ref="Z41:Z64" si="2">T10</f>
        <v>106.07324159999999</v>
      </c>
      <c r="AA41" s="1" t="str">
        <f t="shared" ref="AA41:AA64" si="3">IF(Z41&gt;M41,"Requiere Asv","O.K.")</f>
        <v>Requiere Asv</v>
      </c>
      <c r="AC41" s="1">
        <f t="shared" ref="AC41:AC64" si="4">VLOOKUP(C10,$W$8:$Y$13,3,1)</f>
        <v>1</v>
      </c>
      <c r="AE41" s="1">
        <f t="shared" ref="AE41:AE64" si="5">VLOOKUP(P41,$W$16:$Z$24,4,)*N41</f>
        <v>142</v>
      </c>
    </row>
    <row r="42" spans="1:31" ht="13.9" x14ac:dyDescent="0.25">
      <c r="A42" s="96"/>
      <c r="B42" s="53" t="s">
        <v>429</v>
      </c>
      <c r="C42" s="236"/>
      <c r="D42" s="236"/>
      <c r="E42" s="236"/>
      <c r="F42" s="236"/>
      <c r="G42" s="236"/>
      <c r="H42" s="236"/>
      <c r="I42" s="236"/>
      <c r="J42" s="236"/>
      <c r="K42" s="236"/>
      <c r="L42" s="236"/>
      <c r="M42" s="53"/>
      <c r="N42" s="53"/>
      <c r="O42" s="53"/>
      <c r="P42" s="53"/>
      <c r="Q42" s="53"/>
      <c r="R42" s="53"/>
      <c r="S42" s="53"/>
      <c r="T42" s="53"/>
      <c r="U42" s="98"/>
      <c r="W42" s="13" t="s">
        <v>429</v>
      </c>
      <c r="X42" s="300" t="e">
        <f t="shared" si="1"/>
        <v>#DIV/0!</v>
      </c>
      <c r="Y42" s="300"/>
      <c r="Z42" s="6">
        <f t="shared" si="2"/>
        <v>0</v>
      </c>
      <c r="AA42" s="1" t="str">
        <f t="shared" si="3"/>
        <v>O.K.</v>
      </c>
      <c r="AC42" s="1" t="e">
        <f t="shared" si="4"/>
        <v>#N/A</v>
      </c>
      <c r="AE42" s="1" t="e">
        <f t="shared" si="5"/>
        <v>#N/A</v>
      </c>
    </row>
    <row r="43" spans="1:31" ht="13.9" x14ac:dyDescent="0.25">
      <c r="A43" s="96"/>
      <c r="B43" s="53" t="s">
        <v>430</v>
      </c>
      <c r="C43" s="236"/>
      <c r="D43" s="236"/>
      <c r="E43" s="236"/>
      <c r="F43" s="236"/>
      <c r="G43" s="236"/>
      <c r="H43" s="236"/>
      <c r="I43" s="236"/>
      <c r="J43" s="236"/>
      <c r="K43" s="236"/>
      <c r="L43" s="236"/>
      <c r="M43" s="53"/>
      <c r="N43" s="53"/>
      <c r="O43" s="53"/>
      <c r="P43" s="53"/>
      <c r="Q43" s="53"/>
      <c r="R43" s="53"/>
      <c r="S43" s="53"/>
      <c r="T43" s="53"/>
      <c r="U43" s="97"/>
      <c r="W43" s="13" t="s">
        <v>430</v>
      </c>
      <c r="X43" s="300" t="e">
        <f t="shared" si="1"/>
        <v>#DIV/0!</v>
      </c>
      <c r="Y43" s="300"/>
      <c r="Z43" s="6">
        <f t="shared" si="2"/>
        <v>0</v>
      </c>
      <c r="AA43" s="1" t="str">
        <f t="shared" si="3"/>
        <v>O.K.</v>
      </c>
      <c r="AC43" s="1" t="e">
        <f t="shared" si="4"/>
        <v>#N/A</v>
      </c>
      <c r="AE43" s="1" t="e">
        <f t="shared" si="5"/>
        <v>#N/A</v>
      </c>
    </row>
    <row r="44" spans="1:31" ht="13.9" x14ac:dyDescent="0.25">
      <c r="A44" s="96"/>
      <c r="B44" s="53" t="s">
        <v>431</v>
      </c>
      <c r="C44" s="236"/>
      <c r="D44" s="236"/>
      <c r="E44" s="236"/>
      <c r="F44" s="236"/>
      <c r="G44" s="236"/>
      <c r="H44" s="236"/>
      <c r="I44" s="236"/>
      <c r="J44" s="236"/>
      <c r="K44" s="236"/>
      <c r="L44" s="236"/>
      <c r="M44" s="53"/>
      <c r="N44" s="53"/>
      <c r="O44" s="53"/>
      <c r="P44" s="53"/>
      <c r="Q44" s="53"/>
      <c r="R44" s="53"/>
      <c r="S44" s="53"/>
      <c r="T44" s="53"/>
      <c r="U44" s="97"/>
      <c r="W44" s="13" t="s">
        <v>431</v>
      </c>
      <c r="X44" s="300" t="e">
        <f t="shared" si="1"/>
        <v>#DIV/0!</v>
      </c>
      <c r="Y44" s="300"/>
      <c r="Z44" s="6">
        <f t="shared" si="2"/>
        <v>0</v>
      </c>
      <c r="AA44" s="1" t="str">
        <f t="shared" si="3"/>
        <v>O.K.</v>
      </c>
      <c r="AC44" s="1" t="e">
        <f t="shared" si="4"/>
        <v>#N/A</v>
      </c>
      <c r="AE44" s="1" t="e">
        <f t="shared" si="5"/>
        <v>#N/A</v>
      </c>
    </row>
    <row r="45" spans="1:31" ht="13.9" x14ac:dyDescent="0.25">
      <c r="A45" s="96"/>
      <c r="B45" s="53" t="s">
        <v>432</v>
      </c>
      <c r="C45" s="236"/>
      <c r="D45" s="236"/>
      <c r="E45" s="236"/>
      <c r="F45" s="236"/>
      <c r="G45" s="236"/>
      <c r="H45" s="236"/>
      <c r="I45" s="236"/>
      <c r="J45" s="236"/>
      <c r="K45" s="236"/>
      <c r="L45" s="236"/>
      <c r="M45" s="53"/>
      <c r="N45" s="53"/>
      <c r="O45" s="53"/>
      <c r="P45" s="53"/>
      <c r="Q45" s="53"/>
      <c r="R45" s="53"/>
      <c r="S45" s="53"/>
      <c r="T45" s="53"/>
      <c r="U45" s="97"/>
      <c r="W45" s="13" t="s">
        <v>432</v>
      </c>
      <c r="X45" s="300" t="e">
        <f t="shared" si="1"/>
        <v>#DIV/0!</v>
      </c>
      <c r="Y45" s="300"/>
      <c r="Z45" s="6">
        <f t="shared" si="2"/>
        <v>0</v>
      </c>
      <c r="AA45" s="1" t="str">
        <f t="shared" si="3"/>
        <v>O.K.</v>
      </c>
      <c r="AC45" s="1" t="e">
        <f t="shared" si="4"/>
        <v>#N/A</v>
      </c>
      <c r="AE45" s="1" t="e">
        <f t="shared" si="5"/>
        <v>#N/A</v>
      </c>
    </row>
    <row r="46" spans="1:31" ht="13.9" x14ac:dyDescent="0.25">
      <c r="A46" s="96"/>
      <c r="B46" s="53" t="s">
        <v>433</v>
      </c>
      <c r="C46" s="236"/>
      <c r="D46" s="236"/>
      <c r="E46" s="236"/>
      <c r="F46" s="236"/>
      <c r="G46" s="236"/>
      <c r="H46" s="236"/>
      <c r="I46" s="236"/>
      <c r="J46" s="236"/>
      <c r="K46" s="236"/>
      <c r="L46" s="236"/>
      <c r="M46" s="53"/>
      <c r="N46" s="53"/>
      <c r="O46" s="53"/>
      <c r="P46" s="53"/>
      <c r="Q46" s="53"/>
      <c r="R46" s="53"/>
      <c r="S46" s="53"/>
      <c r="T46" s="53"/>
      <c r="U46" s="97"/>
      <c r="W46" s="13" t="s">
        <v>433</v>
      </c>
      <c r="X46" s="300" t="e">
        <f t="shared" si="1"/>
        <v>#DIV/0!</v>
      </c>
      <c r="Y46" s="300"/>
      <c r="Z46" s="6">
        <f t="shared" si="2"/>
        <v>0</v>
      </c>
      <c r="AA46" s="1" t="str">
        <f t="shared" si="3"/>
        <v>O.K.</v>
      </c>
      <c r="AC46" s="1" t="e">
        <f t="shared" si="4"/>
        <v>#N/A</v>
      </c>
      <c r="AE46" s="1" t="e">
        <f t="shared" si="5"/>
        <v>#N/A</v>
      </c>
    </row>
    <row r="47" spans="1:31" ht="13.9" x14ac:dyDescent="0.25">
      <c r="A47" s="96"/>
      <c r="B47" s="53" t="s">
        <v>434</v>
      </c>
      <c r="C47" s="236"/>
      <c r="D47" s="236"/>
      <c r="E47" s="236"/>
      <c r="F47" s="236"/>
      <c r="G47" s="236"/>
      <c r="H47" s="236"/>
      <c r="I47" s="236"/>
      <c r="J47" s="236"/>
      <c r="K47" s="236"/>
      <c r="L47" s="236"/>
      <c r="M47" s="53"/>
      <c r="N47" s="53"/>
      <c r="O47" s="53"/>
      <c r="P47" s="53"/>
      <c r="Q47" s="53"/>
      <c r="R47" s="53"/>
      <c r="S47" s="53"/>
      <c r="T47" s="53"/>
      <c r="U47" s="97"/>
      <c r="W47" s="13" t="s">
        <v>434</v>
      </c>
      <c r="X47" s="300" t="e">
        <f t="shared" si="1"/>
        <v>#DIV/0!</v>
      </c>
      <c r="Y47" s="300"/>
      <c r="Z47" s="6">
        <f t="shared" si="2"/>
        <v>0</v>
      </c>
      <c r="AA47" s="1" t="str">
        <f t="shared" si="3"/>
        <v>O.K.</v>
      </c>
      <c r="AC47" s="1" t="e">
        <f t="shared" si="4"/>
        <v>#N/A</v>
      </c>
      <c r="AE47" s="1" t="e">
        <f t="shared" si="5"/>
        <v>#N/A</v>
      </c>
    </row>
    <row r="48" spans="1:31" ht="13.9" x14ac:dyDescent="0.25">
      <c r="A48" s="96"/>
      <c r="B48" s="53" t="s">
        <v>435</v>
      </c>
      <c r="C48" s="236"/>
      <c r="D48" s="236"/>
      <c r="E48" s="236"/>
      <c r="F48" s="236"/>
      <c r="G48" s="236"/>
      <c r="H48" s="236"/>
      <c r="I48" s="236"/>
      <c r="J48" s="236"/>
      <c r="K48" s="236"/>
      <c r="L48" s="236"/>
      <c r="M48" s="53"/>
      <c r="N48" s="53"/>
      <c r="O48" s="53"/>
      <c r="P48" s="53"/>
      <c r="Q48" s="53"/>
      <c r="R48" s="53"/>
      <c r="S48" s="53"/>
      <c r="T48" s="53"/>
      <c r="U48" s="97"/>
      <c r="W48" s="13" t="s">
        <v>435</v>
      </c>
      <c r="X48" s="300" t="e">
        <f t="shared" si="1"/>
        <v>#DIV/0!</v>
      </c>
      <c r="Y48" s="300"/>
      <c r="Z48" s="6">
        <f t="shared" si="2"/>
        <v>0</v>
      </c>
      <c r="AA48" s="1" t="str">
        <f t="shared" si="3"/>
        <v>O.K.</v>
      </c>
      <c r="AC48" s="1" t="e">
        <f t="shared" si="4"/>
        <v>#N/A</v>
      </c>
      <c r="AE48" s="1" t="e">
        <f t="shared" si="5"/>
        <v>#N/A</v>
      </c>
    </row>
    <row r="49" spans="1:31" ht="13.9" x14ac:dyDescent="0.25">
      <c r="A49" s="96"/>
      <c r="B49" s="53" t="s">
        <v>436</v>
      </c>
      <c r="C49" s="236"/>
      <c r="D49" s="236"/>
      <c r="E49" s="236"/>
      <c r="F49" s="236"/>
      <c r="G49" s="236"/>
      <c r="H49" s="236"/>
      <c r="I49" s="236"/>
      <c r="J49" s="236"/>
      <c r="K49" s="236"/>
      <c r="L49" s="236"/>
      <c r="M49" s="53"/>
      <c r="N49" s="53"/>
      <c r="O49" s="53"/>
      <c r="P49" s="53"/>
      <c r="Q49" s="53"/>
      <c r="R49" s="53"/>
      <c r="S49" s="53"/>
      <c r="T49" s="53"/>
      <c r="U49" s="97"/>
      <c r="W49" s="13" t="s">
        <v>436</v>
      </c>
      <c r="X49" s="300" t="e">
        <f t="shared" si="1"/>
        <v>#DIV/0!</v>
      </c>
      <c r="Y49" s="300"/>
      <c r="Z49" s="6">
        <f t="shared" si="2"/>
        <v>0</v>
      </c>
      <c r="AA49" s="1" t="str">
        <f t="shared" si="3"/>
        <v>O.K.</v>
      </c>
      <c r="AC49" s="1" t="e">
        <f t="shared" si="4"/>
        <v>#N/A</v>
      </c>
      <c r="AE49" s="1" t="e">
        <f t="shared" si="5"/>
        <v>#N/A</v>
      </c>
    </row>
    <row r="50" spans="1:31" ht="13.9" x14ac:dyDescent="0.25">
      <c r="A50" s="96"/>
      <c r="B50" s="53" t="s">
        <v>437</v>
      </c>
      <c r="C50" s="236"/>
      <c r="D50" s="236"/>
      <c r="E50" s="236"/>
      <c r="F50" s="236"/>
      <c r="G50" s="236"/>
      <c r="H50" s="236"/>
      <c r="I50" s="236"/>
      <c r="J50" s="236"/>
      <c r="K50" s="236"/>
      <c r="L50" s="236"/>
      <c r="M50" s="53"/>
      <c r="N50" s="53"/>
      <c r="O50" s="53"/>
      <c r="P50" s="53"/>
      <c r="Q50" s="53"/>
      <c r="R50" s="53"/>
      <c r="S50" s="53"/>
      <c r="T50" s="53"/>
      <c r="U50" s="97"/>
      <c r="W50" s="13" t="s">
        <v>437</v>
      </c>
      <c r="X50" s="300" t="e">
        <f t="shared" si="1"/>
        <v>#DIV/0!</v>
      </c>
      <c r="Y50" s="300"/>
      <c r="Z50" s="6">
        <f t="shared" si="2"/>
        <v>0</v>
      </c>
      <c r="AA50" s="1" t="str">
        <f t="shared" si="3"/>
        <v>O.K.</v>
      </c>
      <c r="AC50" s="1" t="e">
        <f t="shared" si="4"/>
        <v>#N/A</v>
      </c>
      <c r="AE50" s="1" t="e">
        <f t="shared" si="5"/>
        <v>#N/A</v>
      </c>
    </row>
    <row r="51" spans="1:31" ht="13.9" x14ac:dyDescent="0.25">
      <c r="A51" s="96"/>
      <c r="B51" s="53" t="s">
        <v>438</v>
      </c>
      <c r="C51" s="236"/>
      <c r="D51" s="236"/>
      <c r="E51" s="236"/>
      <c r="F51" s="236"/>
      <c r="G51" s="236"/>
      <c r="H51" s="236"/>
      <c r="I51" s="236"/>
      <c r="J51" s="236"/>
      <c r="K51" s="236"/>
      <c r="L51" s="236"/>
      <c r="M51" s="53"/>
      <c r="N51" s="53"/>
      <c r="O51" s="53"/>
      <c r="P51" s="53"/>
      <c r="Q51" s="53"/>
      <c r="R51" s="53"/>
      <c r="S51" s="53"/>
      <c r="T51" s="53"/>
      <c r="U51" s="97"/>
      <c r="W51" s="13" t="s">
        <v>438</v>
      </c>
      <c r="X51" s="300" t="e">
        <f t="shared" si="1"/>
        <v>#DIV/0!</v>
      </c>
      <c r="Y51" s="300"/>
      <c r="Z51" s="6">
        <f t="shared" si="2"/>
        <v>0</v>
      </c>
      <c r="AA51" s="1" t="str">
        <f t="shared" si="3"/>
        <v>O.K.</v>
      </c>
      <c r="AC51" s="1" t="e">
        <f t="shared" si="4"/>
        <v>#N/A</v>
      </c>
      <c r="AE51" s="1" t="e">
        <f t="shared" si="5"/>
        <v>#N/A</v>
      </c>
    </row>
    <row r="52" spans="1:31" ht="13.9" x14ac:dyDescent="0.25">
      <c r="A52" s="96"/>
      <c r="B52" s="53" t="s">
        <v>439</v>
      </c>
      <c r="C52" s="236"/>
      <c r="D52" s="236"/>
      <c r="E52" s="236"/>
      <c r="F52" s="236"/>
      <c r="G52" s="236"/>
      <c r="H52" s="236"/>
      <c r="I52" s="236"/>
      <c r="J52" s="236"/>
      <c r="K52" s="236"/>
      <c r="L52" s="236"/>
      <c r="M52" s="53"/>
      <c r="N52" s="53"/>
      <c r="O52" s="53"/>
      <c r="P52" s="53"/>
      <c r="Q52" s="53"/>
      <c r="R52" s="53"/>
      <c r="S52" s="53"/>
      <c r="T52" s="53"/>
      <c r="U52" s="97"/>
      <c r="W52" s="13" t="s">
        <v>439</v>
      </c>
      <c r="X52" s="300" t="e">
        <f t="shared" si="1"/>
        <v>#DIV/0!</v>
      </c>
      <c r="Y52" s="300"/>
      <c r="Z52" s="6">
        <f t="shared" si="2"/>
        <v>0</v>
      </c>
      <c r="AA52" s="1" t="str">
        <f t="shared" si="3"/>
        <v>O.K.</v>
      </c>
      <c r="AC52" s="1" t="e">
        <f t="shared" si="4"/>
        <v>#N/A</v>
      </c>
      <c r="AE52" s="1" t="e">
        <f t="shared" si="5"/>
        <v>#N/A</v>
      </c>
    </row>
    <row r="53" spans="1:31" ht="13.9" x14ac:dyDescent="0.25">
      <c r="A53" s="96"/>
      <c r="B53" s="53" t="s">
        <v>440</v>
      </c>
      <c r="C53" s="236"/>
      <c r="D53" s="236"/>
      <c r="E53" s="236"/>
      <c r="F53" s="236"/>
      <c r="G53" s="236"/>
      <c r="H53" s="236"/>
      <c r="I53" s="236"/>
      <c r="J53" s="236"/>
      <c r="K53" s="236"/>
      <c r="L53" s="236"/>
      <c r="M53" s="53"/>
      <c r="N53" s="53"/>
      <c r="O53" s="53"/>
      <c r="P53" s="53"/>
      <c r="Q53" s="53"/>
      <c r="R53" s="53"/>
      <c r="S53" s="53"/>
      <c r="T53" s="53"/>
      <c r="U53" s="97"/>
      <c r="W53" s="13" t="s">
        <v>440</v>
      </c>
      <c r="X53" s="300" t="e">
        <f t="shared" si="1"/>
        <v>#DIV/0!</v>
      </c>
      <c r="Y53" s="300"/>
      <c r="Z53" s="6">
        <f t="shared" si="2"/>
        <v>0</v>
      </c>
      <c r="AA53" s="1" t="str">
        <f t="shared" si="3"/>
        <v>O.K.</v>
      </c>
      <c r="AC53" s="1" t="e">
        <f t="shared" si="4"/>
        <v>#N/A</v>
      </c>
      <c r="AE53" s="1" t="e">
        <f t="shared" si="5"/>
        <v>#N/A</v>
      </c>
    </row>
    <row r="54" spans="1:31" ht="13.9" x14ac:dyDescent="0.25">
      <c r="A54" s="96"/>
      <c r="B54" s="53" t="s">
        <v>441</v>
      </c>
      <c r="C54" s="236"/>
      <c r="D54" s="236"/>
      <c r="E54" s="236"/>
      <c r="F54" s="236"/>
      <c r="G54" s="236"/>
      <c r="H54" s="236"/>
      <c r="I54" s="236"/>
      <c r="J54" s="236"/>
      <c r="K54" s="236"/>
      <c r="L54" s="236"/>
      <c r="M54" s="53"/>
      <c r="N54" s="53"/>
      <c r="O54" s="53"/>
      <c r="P54" s="53"/>
      <c r="Q54" s="53"/>
      <c r="R54" s="53"/>
      <c r="S54" s="53"/>
      <c r="T54" s="53"/>
      <c r="U54" s="97"/>
      <c r="W54" s="13" t="s">
        <v>441</v>
      </c>
      <c r="X54" s="300" t="e">
        <f t="shared" si="1"/>
        <v>#DIV/0!</v>
      </c>
      <c r="Y54" s="300"/>
      <c r="Z54" s="6">
        <f t="shared" si="2"/>
        <v>0</v>
      </c>
      <c r="AA54" s="1" t="str">
        <f t="shared" si="3"/>
        <v>O.K.</v>
      </c>
      <c r="AC54" s="1" t="e">
        <f t="shared" si="4"/>
        <v>#N/A</v>
      </c>
      <c r="AE54" s="1" t="e">
        <f t="shared" si="5"/>
        <v>#N/A</v>
      </c>
    </row>
    <row r="55" spans="1:31" ht="13.9" x14ac:dyDescent="0.25">
      <c r="A55" s="96"/>
      <c r="B55" s="53" t="s">
        <v>442</v>
      </c>
      <c r="C55" s="236"/>
      <c r="D55" s="236"/>
      <c r="E55" s="236"/>
      <c r="F55" s="236"/>
      <c r="G55" s="236"/>
      <c r="H55" s="236"/>
      <c r="I55" s="236"/>
      <c r="J55" s="236"/>
      <c r="K55" s="236"/>
      <c r="L55" s="236"/>
      <c r="M55" s="53"/>
      <c r="N55" s="53"/>
      <c r="O55" s="53"/>
      <c r="P55" s="53"/>
      <c r="Q55" s="53"/>
      <c r="R55" s="53"/>
      <c r="S55" s="53"/>
      <c r="T55" s="53"/>
      <c r="U55" s="97"/>
      <c r="W55" s="13" t="s">
        <v>442</v>
      </c>
      <c r="X55" s="300" t="e">
        <f t="shared" si="1"/>
        <v>#DIV/0!</v>
      </c>
      <c r="Y55" s="300"/>
      <c r="Z55" s="6">
        <f t="shared" si="2"/>
        <v>0</v>
      </c>
      <c r="AA55" s="1" t="str">
        <f t="shared" si="3"/>
        <v>O.K.</v>
      </c>
      <c r="AC55" s="1" t="e">
        <f t="shared" si="4"/>
        <v>#N/A</v>
      </c>
      <c r="AE55" s="1" t="e">
        <f t="shared" si="5"/>
        <v>#N/A</v>
      </c>
    </row>
    <row r="56" spans="1:31" ht="13.9" x14ac:dyDescent="0.25">
      <c r="A56" s="96"/>
      <c r="B56" s="53" t="s">
        <v>443</v>
      </c>
      <c r="C56" s="236"/>
      <c r="D56" s="236"/>
      <c r="E56" s="236"/>
      <c r="F56" s="236"/>
      <c r="G56" s="236"/>
      <c r="H56" s="236"/>
      <c r="I56" s="236"/>
      <c r="J56" s="236"/>
      <c r="K56" s="236"/>
      <c r="L56" s="236"/>
      <c r="M56" s="53"/>
      <c r="N56" s="53"/>
      <c r="O56" s="53"/>
      <c r="P56" s="53"/>
      <c r="Q56" s="53"/>
      <c r="R56" s="53"/>
      <c r="S56" s="53"/>
      <c r="T56" s="53"/>
      <c r="U56" s="97"/>
      <c r="W56" s="13" t="s">
        <v>443</v>
      </c>
      <c r="X56" s="300" t="e">
        <f t="shared" si="1"/>
        <v>#DIV/0!</v>
      </c>
      <c r="Y56" s="300"/>
      <c r="Z56" s="6">
        <f t="shared" si="2"/>
        <v>0</v>
      </c>
      <c r="AA56" s="1" t="str">
        <f t="shared" si="3"/>
        <v>O.K.</v>
      </c>
      <c r="AC56" s="1" t="e">
        <f t="shared" si="4"/>
        <v>#N/A</v>
      </c>
      <c r="AE56" s="1" t="e">
        <f t="shared" si="5"/>
        <v>#N/A</v>
      </c>
    </row>
    <row r="57" spans="1:31" ht="13.9" x14ac:dyDescent="0.25">
      <c r="A57" s="96"/>
      <c r="B57" s="53" t="s">
        <v>444</v>
      </c>
      <c r="C57" s="236"/>
      <c r="D57" s="236"/>
      <c r="E57" s="236"/>
      <c r="F57" s="236"/>
      <c r="G57" s="236"/>
      <c r="H57" s="236"/>
      <c r="I57" s="236"/>
      <c r="J57" s="236"/>
      <c r="K57" s="236"/>
      <c r="L57" s="236"/>
      <c r="M57" s="53"/>
      <c r="N57" s="53"/>
      <c r="O57" s="53"/>
      <c r="P57" s="53"/>
      <c r="Q57" s="53"/>
      <c r="R57" s="53"/>
      <c r="S57" s="53"/>
      <c r="T57" s="53"/>
      <c r="U57" s="97"/>
      <c r="W57" s="13" t="s">
        <v>444</v>
      </c>
      <c r="X57" s="300" t="e">
        <f t="shared" si="1"/>
        <v>#DIV/0!</v>
      </c>
      <c r="Y57" s="300"/>
      <c r="Z57" s="6">
        <f t="shared" si="2"/>
        <v>0</v>
      </c>
      <c r="AA57" s="1" t="str">
        <f t="shared" si="3"/>
        <v>O.K.</v>
      </c>
      <c r="AC57" s="1" t="e">
        <f t="shared" si="4"/>
        <v>#N/A</v>
      </c>
      <c r="AE57" s="1" t="e">
        <f t="shared" si="5"/>
        <v>#N/A</v>
      </c>
    </row>
    <row r="58" spans="1:31" ht="13.9" x14ac:dyDescent="0.25">
      <c r="A58" s="96"/>
      <c r="B58" s="53" t="s">
        <v>445</v>
      </c>
      <c r="C58" s="236"/>
      <c r="D58" s="236"/>
      <c r="E58" s="236"/>
      <c r="F58" s="236"/>
      <c r="G58" s="236"/>
      <c r="H58" s="236"/>
      <c r="I58" s="236"/>
      <c r="J58" s="236"/>
      <c r="K58" s="236"/>
      <c r="L58" s="236"/>
      <c r="M58" s="53"/>
      <c r="N58" s="53"/>
      <c r="O58" s="53"/>
      <c r="P58" s="53"/>
      <c r="Q58" s="53"/>
      <c r="R58" s="53"/>
      <c r="S58" s="53"/>
      <c r="T58" s="53"/>
      <c r="U58" s="97"/>
      <c r="W58" s="13" t="s">
        <v>445</v>
      </c>
      <c r="X58" s="300" t="e">
        <f t="shared" si="1"/>
        <v>#DIV/0!</v>
      </c>
      <c r="Y58" s="300"/>
      <c r="Z58" s="6">
        <f t="shared" si="2"/>
        <v>0</v>
      </c>
      <c r="AA58" s="1" t="str">
        <f t="shared" si="3"/>
        <v>O.K.</v>
      </c>
      <c r="AC58" s="1" t="e">
        <f t="shared" si="4"/>
        <v>#N/A</v>
      </c>
      <c r="AE58" s="1" t="e">
        <f t="shared" si="5"/>
        <v>#N/A</v>
      </c>
    </row>
    <row r="59" spans="1:31" ht="13.9" x14ac:dyDescent="0.25">
      <c r="A59" s="96"/>
      <c r="B59" s="53" t="s">
        <v>446</v>
      </c>
      <c r="C59" s="236"/>
      <c r="D59" s="236"/>
      <c r="E59" s="236"/>
      <c r="F59" s="236"/>
      <c r="G59" s="236"/>
      <c r="H59" s="236"/>
      <c r="I59" s="236"/>
      <c r="J59" s="236"/>
      <c r="K59" s="236"/>
      <c r="L59" s="236"/>
      <c r="M59" s="53"/>
      <c r="N59" s="53"/>
      <c r="O59" s="53"/>
      <c r="P59" s="53"/>
      <c r="Q59" s="53"/>
      <c r="R59" s="53"/>
      <c r="S59" s="53"/>
      <c r="T59" s="53"/>
      <c r="U59" s="97"/>
      <c r="W59" s="13" t="s">
        <v>446</v>
      </c>
      <c r="X59" s="300" t="e">
        <f t="shared" si="1"/>
        <v>#DIV/0!</v>
      </c>
      <c r="Y59" s="300"/>
      <c r="Z59" s="6">
        <f t="shared" si="2"/>
        <v>0</v>
      </c>
      <c r="AA59" s="1" t="str">
        <f t="shared" si="3"/>
        <v>O.K.</v>
      </c>
      <c r="AC59" s="1" t="e">
        <f t="shared" si="4"/>
        <v>#N/A</v>
      </c>
      <c r="AE59" s="1" t="e">
        <f t="shared" si="5"/>
        <v>#N/A</v>
      </c>
    </row>
    <row r="60" spans="1:31" x14ac:dyDescent="0.25">
      <c r="A60" s="96"/>
      <c r="B60" s="53" t="s">
        <v>447</v>
      </c>
      <c r="C60" s="236"/>
      <c r="D60" s="236"/>
      <c r="E60" s="236"/>
      <c r="F60" s="236"/>
      <c r="G60" s="236"/>
      <c r="H60" s="236"/>
      <c r="I60" s="236"/>
      <c r="J60" s="236"/>
      <c r="K60" s="236"/>
      <c r="L60" s="236"/>
      <c r="M60" s="53"/>
      <c r="N60" s="53"/>
      <c r="O60" s="53"/>
      <c r="P60" s="53"/>
      <c r="Q60" s="53"/>
      <c r="R60" s="53"/>
      <c r="S60" s="53"/>
      <c r="T60" s="53"/>
      <c r="U60" s="97"/>
      <c r="W60" s="13" t="s">
        <v>447</v>
      </c>
      <c r="X60" s="300" t="e">
        <f t="shared" si="1"/>
        <v>#DIV/0!</v>
      </c>
      <c r="Y60" s="300"/>
      <c r="Z60" s="6">
        <f t="shared" si="2"/>
        <v>0</v>
      </c>
      <c r="AA60" s="1" t="str">
        <f t="shared" si="3"/>
        <v>O.K.</v>
      </c>
      <c r="AC60" s="1" t="e">
        <f t="shared" si="4"/>
        <v>#N/A</v>
      </c>
      <c r="AE60" s="1" t="e">
        <f t="shared" si="5"/>
        <v>#N/A</v>
      </c>
    </row>
    <row r="61" spans="1:31" x14ac:dyDescent="0.25">
      <c r="A61" s="96"/>
      <c r="B61" s="53" t="s">
        <v>448</v>
      </c>
      <c r="C61" s="236"/>
      <c r="D61" s="236"/>
      <c r="E61" s="236"/>
      <c r="F61" s="236"/>
      <c r="G61" s="236"/>
      <c r="H61" s="236"/>
      <c r="I61" s="236"/>
      <c r="J61" s="236"/>
      <c r="K61" s="236"/>
      <c r="L61" s="236"/>
      <c r="M61" s="53"/>
      <c r="N61" s="53"/>
      <c r="O61" s="53"/>
      <c r="P61" s="53"/>
      <c r="Q61" s="53"/>
      <c r="R61" s="53"/>
      <c r="S61" s="53"/>
      <c r="T61" s="53"/>
      <c r="U61" s="97"/>
      <c r="W61" s="13" t="s">
        <v>448</v>
      </c>
      <c r="X61" s="300" t="e">
        <f t="shared" si="1"/>
        <v>#DIV/0!</v>
      </c>
      <c r="Y61" s="300"/>
      <c r="Z61" s="6">
        <f t="shared" si="2"/>
        <v>0</v>
      </c>
      <c r="AA61" s="1" t="str">
        <f t="shared" si="3"/>
        <v>O.K.</v>
      </c>
      <c r="AC61" s="1" t="e">
        <f t="shared" si="4"/>
        <v>#N/A</v>
      </c>
      <c r="AE61" s="1" t="e">
        <f t="shared" si="5"/>
        <v>#N/A</v>
      </c>
    </row>
    <row r="62" spans="1:31" x14ac:dyDescent="0.25">
      <c r="A62" s="96"/>
      <c r="B62" s="53" t="s">
        <v>449</v>
      </c>
      <c r="C62" s="236"/>
      <c r="D62" s="236"/>
      <c r="E62" s="236"/>
      <c r="F62" s="236"/>
      <c r="G62" s="236"/>
      <c r="H62" s="236"/>
      <c r="I62" s="236"/>
      <c r="J62" s="236"/>
      <c r="K62" s="236"/>
      <c r="L62" s="236"/>
      <c r="M62" s="53"/>
      <c r="N62" s="53"/>
      <c r="O62" s="53"/>
      <c r="P62" s="53"/>
      <c r="Q62" s="53"/>
      <c r="R62" s="53"/>
      <c r="S62" s="53"/>
      <c r="T62" s="53"/>
      <c r="U62" s="97"/>
      <c r="W62" s="13" t="s">
        <v>449</v>
      </c>
      <c r="X62" s="300" t="e">
        <f t="shared" si="1"/>
        <v>#DIV/0!</v>
      </c>
      <c r="Y62" s="300"/>
      <c r="Z62" s="6">
        <f t="shared" si="2"/>
        <v>0</v>
      </c>
      <c r="AA62" s="1" t="str">
        <f t="shared" si="3"/>
        <v>O.K.</v>
      </c>
      <c r="AC62" s="1" t="e">
        <f t="shared" si="4"/>
        <v>#N/A</v>
      </c>
      <c r="AE62" s="1" t="e">
        <f t="shared" si="5"/>
        <v>#N/A</v>
      </c>
    </row>
    <row r="63" spans="1:31" x14ac:dyDescent="0.25">
      <c r="A63" s="96"/>
      <c r="B63" s="53" t="s">
        <v>450</v>
      </c>
      <c r="C63" s="236"/>
      <c r="D63" s="236"/>
      <c r="E63" s="236"/>
      <c r="F63" s="236"/>
      <c r="G63" s="236"/>
      <c r="H63" s="236"/>
      <c r="I63" s="236"/>
      <c r="J63" s="236"/>
      <c r="K63" s="236"/>
      <c r="L63" s="236"/>
      <c r="M63" s="53"/>
      <c r="N63" s="53"/>
      <c r="O63" s="53"/>
      <c r="P63" s="53"/>
      <c r="Q63" s="53"/>
      <c r="R63" s="53"/>
      <c r="S63" s="53"/>
      <c r="T63" s="53"/>
      <c r="U63" s="97"/>
      <c r="W63" s="13" t="s">
        <v>450</v>
      </c>
      <c r="X63" s="300" t="e">
        <f t="shared" si="1"/>
        <v>#DIV/0!</v>
      </c>
      <c r="Y63" s="300"/>
      <c r="Z63" s="6">
        <f t="shared" si="2"/>
        <v>0</v>
      </c>
      <c r="AA63" s="1" t="str">
        <f t="shared" si="3"/>
        <v>O.K.</v>
      </c>
      <c r="AC63" s="1" t="e">
        <f t="shared" si="4"/>
        <v>#N/A</v>
      </c>
      <c r="AE63" s="1" t="e">
        <f t="shared" si="5"/>
        <v>#N/A</v>
      </c>
    </row>
    <row r="64" spans="1:31" x14ac:dyDescent="0.25">
      <c r="A64" s="96"/>
      <c r="B64" s="53" t="s">
        <v>451</v>
      </c>
      <c r="C64" s="236"/>
      <c r="D64" s="236"/>
      <c r="E64" s="236"/>
      <c r="F64" s="236"/>
      <c r="G64" s="236"/>
      <c r="H64" s="236"/>
      <c r="I64" s="236"/>
      <c r="J64" s="236"/>
      <c r="K64" s="236"/>
      <c r="L64" s="236"/>
      <c r="M64" s="53"/>
      <c r="N64" s="53"/>
      <c r="O64" s="53"/>
      <c r="P64" s="53"/>
      <c r="Q64" s="53"/>
      <c r="R64" s="53"/>
      <c r="S64" s="53"/>
      <c r="T64" s="53"/>
      <c r="U64" s="97"/>
      <c r="W64" s="13" t="s">
        <v>451</v>
      </c>
      <c r="X64" s="300" t="e">
        <f t="shared" si="1"/>
        <v>#DIV/0!</v>
      </c>
      <c r="Y64" s="300"/>
      <c r="Z64" s="6">
        <f t="shared" si="2"/>
        <v>0</v>
      </c>
      <c r="AA64" s="1" t="str">
        <f t="shared" si="3"/>
        <v>O.K.</v>
      </c>
      <c r="AC64" s="1" t="e">
        <f t="shared" si="4"/>
        <v>#N/A</v>
      </c>
      <c r="AE64" s="1" t="e">
        <f t="shared" si="5"/>
        <v>#N/A</v>
      </c>
    </row>
    <row r="65" spans="1:21" x14ac:dyDescent="0.25">
      <c r="A65" s="92"/>
      <c r="B65" s="51"/>
      <c r="C65" s="51"/>
      <c r="D65" s="51"/>
      <c r="E65" s="51"/>
      <c r="F65" s="51"/>
      <c r="G65" s="51"/>
      <c r="H65" s="51"/>
      <c r="I65" s="51"/>
      <c r="J65" s="51"/>
      <c r="K65" s="51"/>
      <c r="L65" s="51"/>
      <c r="M65" s="51"/>
      <c r="N65" s="51"/>
      <c r="O65" s="51"/>
      <c r="P65" s="51"/>
      <c r="Q65" s="51"/>
      <c r="R65" s="51"/>
      <c r="S65" s="51"/>
      <c r="T65" s="51"/>
      <c r="U65" s="93"/>
    </row>
  </sheetData>
  <mergeCells count="300">
    <mergeCell ref="W4:Y5"/>
    <mergeCell ref="C40:D40"/>
    <mergeCell ref="X40:Y40"/>
    <mergeCell ref="E40:F40"/>
    <mergeCell ref="L7:M7"/>
    <mergeCell ref="Q3:U3"/>
    <mergeCell ref="A1:E3"/>
    <mergeCell ref="F1:G2"/>
    <mergeCell ref="H1:N2"/>
    <mergeCell ref="O1:P1"/>
    <mergeCell ref="Q1:U1"/>
    <mergeCell ref="O2:P2"/>
    <mergeCell ref="Q2:U2"/>
    <mergeCell ref="F3:G3"/>
    <mergeCell ref="H3:N3"/>
    <mergeCell ref="O3:P3"/>
    <mergeCell ref="L9:M9"/>
    <mergeCell ref="N9:O9"/>
    <mergeCell ref="P7:Q7"/>
    <mergeCell ref="P8:Q8"/>
    <mergeCell ref="P9:Q9"/>
    <mergeCell ref="K40:L40"/>
    <mergeCell ref="I40:J40"/>
    <mergeCell ref="G40:H40"/>
    <mergeCell ref="I6:J6"/>
    <mergeCell ref="I7:J7"/>
    <mergeCell ref="I8:J8"/>
    <mergeCell ref="I9:J9"/>
    <mergeCell ref="L6:M6"/>
    <mergeCell ref="N6:O6"/>
    <mergeCell ref="P6:Q6"/>
    <mergeCell ref="R6:T6"/>
    <mergeCell ref="B6:B8"/>
    <mergeCell ref="B5:T5"/>
    <mergeCell ref="N7:O7"/>
    <mergeCell ref="L8:M8"/>
    <mergeCell ref="N8:O8"/>
    <mergeCell ref="B36:B39"/>
    <mergeCell ref="X41:Y41"/>
    <mergeCell ref="C36:L36"/>
    <mergeCell ref="M36:T36"/>
    <mergeCell ref="T37:T39"/>
    <mergeCell ref="S37:S38"/>
    <mergeCell ref="K37:L37"/>
    <mergeCell ref="I37:J39"/>
    <mergeCell ref="G37:H39"/>
    <mergeCell ref="E39:F39"/>
    <mergeCell ref="K39:L39"/>
    <mergeCell ref="C37:D37"/>
    <mergeCell ref="E37:F37"/>
    <mergeCell ref="E38:F38"/>
    <mergeCell ref="K38:L38"/>
    <mergeCell ref="L11:M11"/>
    <mergeCell ref="N11:O11"/>
    <mergeCell ref="P11:Q11"/>
    <mergeCell ref="I12:J12"/>
    <mergeCell ref="L12:M12"/>
    <mergeCell ref="X62:Y62"/>
    <mergeCell ref="X63:Y63"/>
    <mergeCell ref="X64:Y64"/>
    <mergeCell ref="I10:J10"/>
    <mergeCell ref="L10:M10"/>
    <mergeCell ref="N10:O10"/>
    <mergeCell ref="P10:Q10"/>
    <mergeCell ref="I11:J11"/>
    <mergeCell ref="X54:Y54"/>
    <mergeCell ref="X55:Y55"/>
    <mergeCell ref="X56:Y56"/>
    <mergeCell ref="X57:Y57"/>
    <mergeCell ref="X58:Y58"/>
    <mergeCell ref="X59:Y59"/>
    <mergeCell ref="X48:Y48"/>
    <mergeCell ref="X49:Y49"/>
    <mergeCell ref="X50:Y50"/>
    <mergeCell ref="X51:Y51"/>
    <mergeCell ref="X52:Y52"/>
    <mergeCell ref="X53:Y53"/>
    <mergeCell ref="X42:Y42"/>
    <mergeCell ref="X43:Y43"/>
    <mergeCell ref="X44:Y44"/>
    <mergeCell ref="X45:Y45"/>
    <mergeCell ref="N12:O12"/>
    <mergeCell ref="P12:Q12"/>
    <mergeCell ref="X60:Y60"/>
    <mergeCell ref="X61:Y61"/>
    <mergeCell ref="X46:Y46"/>
    <mergeCell ref="X47:Y47"/>
    <mergeCell ref="X39:Y39"/>
    <mergeCell ref="B35:T35"/>
    <mergeCell ref="I15:J15"/>
    <mergeCell ref="L15:M15"/>
    <mergeCell ref="N15:O15"/>
    <mergeCell ref="P15:Q15"/>
    <mergeCell ref="I16:J16"/>
    <mergeCell ref="L16:M16"/>
    <mergeCell ref="N16:O16"/>
    <mergeCell ref="P16:Q16"/>
    <mergeCell ref="I13:J13"/>
    <mergeCell ref="L13:M13"/>
    <mergeCell ref="N13:O13"/>
    <mergeCell ref="P13:Q13"/>
    <mergeCell ref="I14:J14"/>
    <mergeCell ref="L14:M14"/>
    <mergeCell ref="N14:O14"/>
    <mergeCell ref="P14:Q14"/>
    <mergeCell ref="I19:J19"/>
    <mergeCell ref="L19:M19"/>
    <mergeCell ref="N19:O19"/>
    <mergeCell ref="P19:Q19"/>
    <mergeCell ref="I20:J20"/>
    <mergeCell ref="L20:M20"/>
    <mergeCell ref="N20:O20"/>
    <mergeCell ref="P20:Q20"/>
    <mergeCell ref="I17:J17"/>
    <mergeCell ref="L17:M17"/>
    <mergeCell ref="N17:O17"/>
    <mergeCell ref="P17:Q17"/>
    <mergeCell ref="I18:J18"/>
    <mergeCell ref="L18:M18"/>
    <mergeCell ref="N18:O18"/>
    <mergeCell ref="P18:Q18"/>
    <mergeCell ref="I23:J23"/>
    <mergeCell ref="L23:M23"/>
    <mergeCell ref="N23:O23"/>
    <mergeCell ref="P23:Q23"/>
    <mergeCell ref="I24:J24"/>
    <mergeCell ref="L24:M24"/>
    <mergeCell ref="N24:O24"/>
    <mergeCell ref="P24:Q24"/>
    <mergeCell ref="I21:J21"/>
    <mergeCell ref="L21:M21"/>
    <mergeCell ref="N21:O21"/>
    <mergeCell ref="P21:Q21"/>
    <mergeCell ref="I22:J22"/>
    <mergeCell ref="L22:M22"/>
    <mergeCell ref="N22:O22"/>
    <mergeCell ref="P22:Q22"/>
    <mergeCell ref="I27:J27"/>
    <mergeCell ref="L27:M27"/>
    <mergeCell ref="N27:O27"/>
    <mergeCell ref="P27:Q27"/>
    <mergeCell ref="I28:J28"/>
    <mergeCell ref="L28:M28"/>
    <mergeCell ref="N28:O28"/>
    <mergeCell ref="P28:Q28"/>
    <mergeCell ref="I25:J25"/>
    <mergeCell ref="L25:M25"/>
    <mergeCell ref="N25:O25"/>
    <mergeCell ref="P25:Q25"/>
    <mergeCell ref="I26:J26"/>
    <mergeCell ref="L26:M26"/>
    <mergeCell ref="N26:O26"/>
    <mergeCell ref="P26:Q26"/>
    <mergeCell ref="I31:J31"/>
    <mergeCell ref="L31:M31"/>
    <mergeCell ref="N31:O31"/>
    <mergeCell ref="P31:Q31"/>
    <mergeCell ref="I32:J32"/>
    <mergeCell ref="L32:M32"/>
    <mergeCell ref="N32:O32"/>
    <mergeCell ref="P32:Q32"/>
    <mergeCell ref="I29:J29"/>
    <mergeCell ref="L29:M29"/>
    <mergeCell ref="N29:O29"/>
    <mergeCell ref="P29:Q29"/>
    <mergeCell ref="I30:J30"/>
    <mergeCell ref="L30:M30"/>
    <mergeCell ref="N30:O30"/>
    <mergeCell ref="P30:Q30"/>
    <mergeCell ref="I33:J33"/>
    <mergeCell ref="L33:M33"/>
    <mergeCell ref="N33:O33"/>
    <mergeCell ref="P33:Q33"/>
    <mergeCell ref="X38:Y38"/>
    <mergeCell ref="C41:D41"/>
    <mergeCell ref="E41:F41"/>
    <mergeCell ref="G41:H41"/>
    <mergeCell ref="I41:J41"/>
    <mergeCell ref="K41:L41"/>
    <mergeCell ref="C38:D39"/>
    <mergeCell ref="R37:R38"/>
    <mergeCell ref="Q37:Q38"/>
    <mergeCell ref="P37:P39"/>
    <mergeCell ref="N37:O39"/>
    <mergeCell ref="M37:M38"/>
    <mergeCell ref="C42:D42"/>
    <mergeCell ref="E42:F42"/>
    <mergeCell ref="G42:H42"/>
    <mergeCell ref="I42:J42"/>
    <mergeCell ref="K42:L42"/>
    <mergeCell ref="C43:D43"/>
    <mergeCell ref="E43:F43"/>
    <mergeCell ref="G43:H43"/>
    <mergeCell ref="I43:J43"/>
    <mergeCell ref="K43:L43"/>
    <mergeCell ref="C44:D44"/>
    <mergeCell ref="E44:F44"/>
    <mergeCell ref="G44:H44"/>
    <mergeCell ref="I44:J44"/>
    <mergeCell ref="K44:L44"/>
    <mergeCell ref="C45:D45"/>
    <mergeCell ref="E45:F45"/>
    <mergeCell ref="G45:H45"/>
    <mergeCell ref="I45:J45"/>
    <mergeCell ref="K45:L45"/>
    <mergeCell ref="C46:D46"/>
    <mergeCell ref="E46:F46"/>
    <mergeCell ref="G46:H46"/>
    <mergeCell ref="I46:J46"/>
    <mergeCell ref="K46:L46"/>
    <mergeCell ref="C47:D47"/>
    <mergeCell ref="E47:F47"/>
    <mergeCell ref="G47:H47"/>
    <mergeCell ref="I47:J47"/>
    <mergeCell ref="K47:L47"/>
    <mergeCell ref="C48:D48"/>
    <mergeCell ref="E48:F48"/>
    <mergeCell ref="G48:H48"/>
    <mergeCell ref="I48:J48"/>
    <mergeCell ref="K48:L48"/>
    <mergeCell ref="C49:D49"/>
    <mergeCell ref="E49:F49"/>
    <mergeCell ref="G49:H49"/>
    <mergeCell ref="I49:J49"/>
    <mergeCell ref="K49:L49"/>
    <mergeCell ref="C50:D50"/>
    <mergeCell ref="E50:F50"/>
    <mergeCell ref="G50:H50"/>
    <mergeCell ref="I50:J50"/>
    <mergeCell ref="K50:L50"/>
    <mergeCell ref="C51:D51"/>
    <mergeCell ref="E51:F51"/>
    <mergeCell ref="G51:H51"/>
    <mergeCell ref="I51:J51"/>
    <mergeCell ref="K51:L51"/>
    <mergeCell ref="C52:D52"/>
    <mergeCell ref="E52:F52"/>
    <mergeCell ref="G52:H52"/>
    <mergeCell ref="I52:J52"/>
    <mergeCell ref="K52:L52"/>
    <mergeCell ref="C53:D53"/>
    <mergeCell ref="E53:F53"/>
    <mergeCell ref="G53:H53"/>
    <mergeCell ref="I53:J53"/>
    <mergeCell ref="K53:L53"/>
    <mergeCell ref="C54:D54"/>
    <mergeCell ref="E54:F54"/>
    <mergeCell ref="G54:H54"/>
    <mergeCell ref="I54:J54"/>
    <mergeCell ref="K54:L54"/>
    <mergeCell ref="C55:D55"/>
    <mergeCell ref="E55:F55"/>
    <mergeCell ref="G55:H55"/>
    <mergeCell ref="I55:J55"/>
    <mergeCell ref="K55:L55"/>
    <mergeCell ref="C56:D56"/>
    <mergeCell ref="E56:F56"/>
    <mergeCell ref="G56:H56"/>
    <mergeCell ref="I56:J56"/>
    <mergeCell ref="K56:L56"/>
    <mergeCell ref="C57:D57"/>
    <mergeCell ref="E57:F57"/>
    <mergeCell ref="G57:H57"/>
    <mergeCell ref="I57:J57"/>
    <mergeCell ref="K57:L57"/>
    <mergeCell ref="C58:D58"/>
    <mergeCell ref="E58:F58"/>
    <mergeCell ref="G58:H58"/>
    <mergeCell ref="I58:J58"/>
    <mergeCell ref="K58:L58"/>
    <mergeCell ref="C59:D59"/>
    <mergeCell ref="E59:F59"/>
    <mergeCell ref="G59:H59"/>
    <mergeCell ref="I59:J59"/>
    <mergeCell ref="K59:L59"/>
    <mergeCell ref="C60:D60"/>
    <mergeCell ref="E60:F60"/>
    <mergeCell ref="G60:H60"/>
    <mergeCell ref="I60:J60"/>
    <mergeCell ref="K60:L60"/>
    <mergeCell ref="C61:D61"/>
    <mergeCell ref="E61:F61"/>
    <mergeCell ref="G61:H61"/>
    <mergeCell ref="I61:J61"/>
    <mergeCell ref="K61:L61"/>
    <mergeCell ref="C64:D64"/>
    <mergeCell ref="E64:F64"/>
    <mergeCell ref="G64:H64"/>
    <mergeCell ref="I64:J64"/>
    <mergeCell ref="K64:L64"/>
    <mergeCell ref="C62:D62"/>
    <mergeCell ref="E62:F62"/>
    <mergeCell ref="G62:H62"/>
    <mergeCell ref="I62:J62"/>
    <mergeCell ref="K62:L62"/>
    <mergeCell ref="C63:D63"/>
    <mergeCell ref="E63:F63"/>
    <mergeCell ref="G63:H63"/>
    <mergeCell ref="I63:J63"/>
    <mergeCell ref="K63:L63"/>
  </mergeCells>
  <phoneticPr fontId="3" type="noConversion"/>
  <dataValidations disablePrompts="1" count="1">
    <dataValidation type="list" allowBlank="1" showInputMessage="1" showErrorMessage="1" sqref="P40:P41 G40:G41" xr:uid="{80320E20-01F1-4CDB-8700-86A9C0C9C4AD}">
      <formula1>$W$16:$W$24</formula1>
    </dataValidation>
  </dataValidations>
  <pageMargins left="0.7" right="0.7" top="0.75" bottom="0.75" header="0.3" footer="0.3"/>
  <pageSetup scale="75"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25</vt:i4>
      </vt:variant>
      <vt:variant>
        <vt:lpstr>Rangos con nombre</vt:lpstr>
      </vt:variant>
      <vt:variant>
        <vt:i4>46</vt:i4>
      </vt:variant>
    </vt:vector>
  </HeadingPairs>
  <TitlesOfParts>
    <vt:vector size="71" baseType="lpstr">
      <vt:lpstr>0. HOJA BÁSICA</vt:lpstr>
      <vt:lpstr>0. PORTADA</vt:lpstr>
      <vt:lpstr>0. CARTA RESPONSABILIDAD</vt:lpstr>
      <vt:lpstr>0. INICIO</vt:lpstr>
      <vt:lpstr>1. AVALÚO DE CARGAS</vt:lpstr>
      <vt:lpstr>2. CONFIGURACIÓN</vt:lpstr>
      <vt:lpstr>3. ESPECTRO</vt:lpstr>
      <vt:lpstr>4. MASA (MODELO)</vt:lpstr>
      <vt:lpstr>5. IRREGULARIDADES</vt:lpstr>
      <vt:lpstr>6. PERIODOS Y MASA EXCITADA</vt:lpstr>
      <vt:lpstr>7. FHE Y AJUSTE DE SISMO</vt:lpstr>
      <vt:lpstr>8. CHEQUEO DE DERIVAS</vt:lpstr>
      <vt:lpstr>9. REPORTE ETABS</vt:lpstr>
      <vt:lpstr>ENE</vt:lpstr>
      <vt:lpstr>10. CIMENTACIÓN</vt:lpstr>
      <vt:lpstr>9. DISEÑO VIGAS</vt:lpstr>
      <vt:lpstr>10. DISEÑO COLUMNAS</vt:lpstr>
      <vt:lpstr>11. CARGA DE VIENTO</vt:lpstr>
      <vt:lpstr>12. CORREAS DE CUBIERTA</vt:lpstr>
      <vt:lpstr>11. ZAPATAS</vt:lpstr>
      <vt:lpstr>11. ZAPATAS (3)</vt:lpstr>
      <vt:lpstr>11. ZAPATAS (2)</vt:lpstr>
      <vt:lpstr>11. ZAPATAS (V2)</vt:lpstr>
      <vt:lpstr>13. REPORTE DE DISEÑO ETABS</vt:lpstr>
      <vt:lpstr>ANÁLISIS DE VIGAS SIMPLES</vt:lpstr>
      <vt:lpstr>'0. CARTA RESPONSABILIDAD'!Área_de_impresión</vt:lpstr>
      <vt:lpstr>'0. HOJA BÁSICA'!Área_de_impresión</vt:lpstr>
      <vt:lpstr>'0. INICIO'!Área_de_impresión</vt:lpstr>
      <vt:lpstr>'0. PORTADA'!Área_de_impresión</vt:lpstr>
      <vt:lpstr>'1. AVALÚO DE CARGAS'!Área_de_impresión</vt:lpstr>
      <vt:lpstr>'10. CIMENTACIÓN'!Área_de_impresión</vt:lpstr>
      <vt:lpstr>'10. DISEÑO COLUMNAS'!Área_de_impresión</vt:lpstr>
      <vt:lpstr>'11. CARGA DE VIENTO'!Área_de_impresión</vt:lpstr>
      <vt:lpstr>'11. ZAPATAS'!Área_de_impresión</vt:lpstr>
      <vt:lpstr>'11. ZAPATAS (2)'!Área_de_impresión</vt:lpstr>
      <vt:lpstr>'11. ZAPATAS (3)'!Área_de_impresión</vt:lpstr>
      <vt:lpstr>'11. ZAPATAS (V2)'!Área_de_impresión</vt:lpstr>
      <vt:lpstr>'12. CORREAS DE CUBIERTA'!Área_de_impresión</vt:lpstr>
      <vt:lpstr>'13. REPORTE DE DISEÑO ETABS'!Área_de_impresión</vt:lpstr>
      <vt:lpstr>'2. CONFIGURACIÓN'!Área_de_impresión</vt:lpstr>
      <vt:lpstr>'3. ESPECTRO'!Área_de_impresión</vt:lpstr>
      <vt:lpstr>'4. MASA (MODELO)'!Área_de_impresión</vt:lpstr>
      <vt:lpstr>'5. IRREGULARIDADES'!Área_de_impresión</vt:lpstr>
      <vt:lpstr>'6. PERIODOS Y MASA EXCITADA'!Área_de_impresión</vt:lpstr>
      <vt:lpstr>'7. FHE Y AJUSTE DE SISMO'!Área_de_impresión</vt:lpstr>
      <vt:lpstr>'8. CHEQUEO DE DERIVAS'!Área_de_impresión</vt:lpstr>
      <vt:lpstr>'9. DISEÑO VIGAS'!Área_de_impresión</vt:lpstr>
      <vt:lpstr>'9. REPORTE ETABS'!Área_de_impresión</vt:lpstr>
      <vt:lpstr>'ANÁLISIS DE VIGAS SIMPLES'!Área_de_impresión</vt:lpstr>
      <vt:lpstr>ENE!Área_de_impresión</vt:lpstr>
      <vt:lpstr>'0. CARTA RESPONSABILIDAD'!Títulos_a_imprimir</vt:lpstr>
      <vt:lpstr>'0. HOJA BÁSICA'!Títulos_a_imprimir</vt:lpstr>
      <vt:lpstr>'0. INICIO'!Títulos_a_imprimir</vt:lpstr>
      <vt:lpstr>'0. PORTADA'!Títulos_a_imprimir</vt:lpstr>
      <vt:lpstr>'1. AVALÚO DE CARGAS'!Títulos_a_imprimir</vt:lpstr>
      <vt:lpstr>'10. CIMENTACIÓN'!Títulos_a_imprimir</vt:lpstr>
      <vt:lpstr>'10. DISEÑO COLUMNAS'!Títulos_a_imprimir</vt:lpstr>
      <vt:lpstr>'11. CARGA DE VIENTO'!Títulos_a_imprimir</vt:lpstr>
      <vt:lpstr>'12. CORREAS DE CUBIERTA'!Títulos_a_imprimir</vt:lpstr>
      <vt:lpstr>'13. REPORTE DE DISEÑO ETABS'!Títulos_a_imprimir</vt:lpstr>
      <vt:lpstr>'2. CONFIGURACIÓN'!Títulos_a_imprimir</vt:lpstr>
      <vt:lpstr>'3. ESPECTRO'!Títulos_a_imprimir</vt:lpstr>
      <vt:lpstr>'4. MASA (MODELO)'!Títulos_a_imprimir</vt:lpstr>
      <vt:lpstr>'5. IRREGULARIDADES'!Títulos_a_imprimir</vt:lpstr>
      <vt:lpstr>'6. PERIODOS Y MASA EXCITADA'!Títulos_a_imprimir</vt:lpstr>
      <vt:lpstr>'7. FHE Y AJUSTE DE SISMO'!Títulos_a_imprimir</vt:lpstr>
      <vt:lpstr>'8. CHEQUEO DE DERIVAS'!Títulos_a_imprimir</vt:lpstr>
      <vt:lpstr>'9. DISEÑO VIGAS'!Títulos_a_imprimir</vt:lpstr>
      <vt:lpstr>'9. REPORTE ETABS'!Títulos_a_imprimir</vt:lpstr>
      <vt:lpstr>'ANÁLISIS DE VIGAS SIMPLES'!Títulos_a_imprimir</vt:lpstr>
      <vt:lpstr>ENE!Títulos_a_imprimir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José Zamora Jiménez</dc:creator>
  <cp:lastModifiedBy>Juan Zamora Jimenez</cp:lastModifiedBy>
  <cp:lastPrinted>2025-05-27T13:32:47Z</cp:lastPrinted>
  <dcterms:created xsi:type="dcterms:W3CDTF">2021-11-10T02:57:52Z</dcterms:created>
  <dcterms:modified xsi:type="dcterms:W3CDTF">2025-11-06T07:52:28Z</dcterms:modified>
</cp:coreProperties>
</file>