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zbut\Desktop\"/>
    </mc:Choice>
  </mc:AlternateContent>
  <xr:revisionPtr revIDLastSave="0" documentId="13_ncr:1_{C7F5B5D0-63DF-40EC-936E-506DFEA91BE7}" xr6:coauthVersionLast="47" xr6:coauthVersionMax="47" xr10:uidLastSave="{00000000-0000-0000-0000-000000000000}"/>
  <workbookProtection workbookAlgorithmName="SHA-512" workbookHashValue="2w++3oMxEc+lX+yPS540Mt/4+GFPvqCu3nnQHqhnKeu8o9Ew8YKzbLZHBDGa+zhYYhdl5X+H99yt40GyrCSpog==" workbookSaltValue="2iEEQFXlCFO2SbtncMsOIg==" workbookSpinCount="100000" lockStructure="1"/>
  <bookViews>
    <workbookView xWindow="-120" yWindow="-120" windowWidth="29040" windowHeight="15990" xr2:uid="{75B77B36-0072-43B4-8D39-CB7BC40AC4BE}"/>
  </bookViews>
  <sheets>
    <sheet name="Calorie Counter 3.0" sheetId="1" r:id="rId1"/>
  </sheets>
  <calcPr calcId="191029"/>
  <customWorkbookViews>
    <customWorkbookView name="Jonathan Butz - Personal View" guid="{812BC4F1-FFE0-4001-BED5-4866BD192F87}" mergeInterval="0" personalView="1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4" i="1"/>
  <c r="K22" i="1"/>
  <c r="K20" i="1"/>
  <c r="K18" i="1"/>
  <c r="K16" i="1"/>
  <c r="K14" i="1"/>
  <c r="K12" i="1"/>
  <c r="K10" i="1"/>
  <c r="K8" i="1"/>
  <c r="K6" i="1"/>
  <c r="K4" i="1"/>
  <c r="K3" i="1"/>
  <c r="K7" i="1"/>
  <c r="K9" i="1"/>
  <c r="K11" i="1"/>
  <c r="K13" i="1"/>
  <c r="K15" i="1"/>
  <c r="K17" i="1"/>
  <c r="K19" i="1"/>
  <c r="K21" i="1"/>
  <c r="K23" i="1"/>
  <c r="K25" i="1"/>
  <c r="K27" i="1"/>
  <c r="K5" i="1"/>
  <c r="O16" i="1"/>
  <c r="N2" i="1"/>
  <c r="R21" i="1"/>
  <c r="M22" i="1"/>
  <c r="R19" i="1"/>
  <c r="R20" i="1"/>
  <c r="R18" i="1"/>
  <c r="I26" i="1"/>
  <c r="J26" i="1" s="1"/>
  <c r="I27" i="1"/>
  <c r="J27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I3" i="1"/>
  <c r="J4" i="1" l="1"/>
  <c r="J3" i="1"/>
  <c r="R22" i="1"/>
  <c r="R23" i="1" s="1"/>
  <c r="L4" i="1" l="1"/>
  <c r="L21" i="1"/>
  <c r="L13" i="1"/>
  <c r="L5" i="1"/>
  <c r="L10" i="1"/>
  <c r="L9" i="1"/>
  <c r="L24" i="1"/>
  <c r="L16" i="1"/>
  <c r="L23" i="1"/>
  <c r="L15" i="1"/>
  <c r="L14" i="1"/>
  <c r="L6" i="1"/>
  <c r="L3" i="1"/>
  <c r="L20" i="1"/>
  <c r="L11" i="1"/>
  <c r="L19" i="1"/>
  <c r="L26" i="1"/>
  <c r="L18" i="1"/>
  <c r="L27" i="1"/>
  <c r="L12" i="1"/>
  <c r="L25" i="1"/>
  <c r="L17" i="1"/>
  <c r="L22" i="1"/>
  <c r="L7" i="1"/>
  <c r="L8" i="1"/>
  <c r="R25" i="1"/>
  <c r="M6" i="1"/>
  <c r="M8" i="1" s="1"/>
  <c r="R24" i="1"/>
  <c r="R26" i="1"/>
  <c r="R27" i="1"/>
</calcChain>
</file>

<file path=xl/sharedStrings.xml><?xml version="1.0" encoding="utf-8"?>
<sst xmlns="http://schemas.openxmlformats.org/spreadsheetml/2006/main" count="68" uniqueCount="59">
  <si>
    <t>Goal</t>
  </si>
  <si>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</si>
  <si>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</si>
  <si>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</si>
  <si>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</si>
  <si>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</si>
  <si>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</si>
  <si>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</si>
  <si>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</si>
  <si>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Tracker</t>
  </si>
  <si>
    <t>Over/Under</t>
  </si>
  <si>
    <t>End Weight</t>
  </si>
  <si>
    <t>BMR Calculator</t>
  </si>
  <si>
    <t>Age</t>
  </si>
  <si>
    <t>Weight</t>
  </si>
  <si>
    <t>Height</t>
  </si>
  <si>
    <t>feet</t>
  </si>
  <si>
    <t>inches</t>
  </si>
  <si>
    <t>pounds</t>
  </si>
  <si>
    <t>years</t>
  </si>
  <si>
    <t>Gender</t>
  </si>
  <si>
    <t>Metric Conversion</t>
  </si>
  <si>
    <t>Sedentary (little or no exercise)</t>
  </si>
  <si>
    <t>Maintain Weight</t>
  </si>
  <si>
    <t>Minimum Recommended Calories Per Day</t>
  </si>
  <si>
    <t>M</t>
  </si>
  <si>
    <r>
      <rPr>
        <b/>
        <sz val="11"/>
        <color theme="1"/>
        <rFont val="Calibri"/>
        <family val="2"/>
        <scheme val="minor"/>
      </rPr>
      <t>1/2 Pound loss per week</t>
    </r>
    <r>
      <rPr>
        <sz val="11"/>
        <color theme="1"/>
        <rFont val="Calibri"/>
        <family val="2"/>
        <scheme val="minor"/>
      </rPr>
      <t>. (250 calorie deficit per day)</t>
    </r>
  </si>
  <si>
    <r>
      <rPr>
        <b/>
        <sz val="11"/>
        <color theme="1"/>
        <rFont val="Calibri"/>
        <family val="2"/>
        <scheme val="minor"/>
      </rPr>
      <t xml:space="preserve">1 Pound loss per week. </t>
    </r>
    <r>
      <rPr>
        <sz val="11"/>
        <color theme="1"/>
        <rFont val="Calibri"/>
        <family val="2"/>
        <scheme val="minor"/>
      </rPr>
      <t>(500 calorie deficit per day)</t>
    </r>
  </si>
  <si>
    <r>
      <rPr>
        <b/>
        <sz val="11"/>
        <color theme="1"/>
        <rFont val="Calibri"/>
        <family val="2"/>
        <scheme val="minor"/>
      </rPr>
      <t xml:space="preserve">2 Pound loss per week. </t>
    </r>
    <r>
      <rPr>
        <sz val="11"/>
        <color theme="1"/>
        <rFont val="Calibri"/>
        <family val="2"/>
        <scheme val="minor"/>
      </rPr>
      <t>(1000 calorie deficit per day, consult doctor before going below minimum recommended CPD)</t>
    </r>
  </si>
  <si>
    <t>Calories</t>
  </si>
  <si>
    <t>Total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</si>
  <si>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</si>
  <si>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</si>
  <si>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</si>
  <si>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</si>
  <si>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</si>
  <si>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</si>
  <si>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</si>
  <si>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</si>
  <si>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</si>
  <si>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</si>
  <si>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</si>
  <si>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#</t>
  </si>
  <si>
    <t>Favorites</t>
  </si>
  <si>
    <t>Name</t>
  </si>
  <si>
    <t>Chipotle Burrito Bowl</t>
  </si>
  <si>
    <t>Meal Calculator</t>
  </si>
  <si>
    <t>Predicted Pounds Lost per Week</t>
  </si>
  <si>
    <t>kg</t>
  </si>
  <si>
    <t>cm</t>
  </si>
  <si>
    <t>calories</t>
  </si>
  <si>
    <t>Start Weight (Pounds)</t>
  </si>
  <si>
    <t>Daily Goal (Calories)</t>
  </si>
  <si>
    <t>Predicted End Weight (Pounds)</t>
  </si>
  <si>
    <t>Egg White Grill</t>
  </si>
  <si>
    <t>Chicken Noodle Soup</t>
  </si>
  <si>
    <t>Chicken &amp; Rice Dinner</t>
  </si>
  <si>
    <t>Predicted Weight Loss</t>
  </si>
  <si>
    <t>Calories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</si>
</sst>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5" fillId="4" borderId="3" xfId="3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 wrapText="1"/>
      <protection hidden="1"/>
    </xf>
    <xf numFmtId="0" fontId="0" fillId="3" borderId="3" xfId="2" applyFont="1" applyBorder="1" applyAlignment="1" applyProtection="1">
      <alignment horizontal="center"/>
      <protection hidden="1"/>
    </xf>
    <xf numFmtId="2" fontId="0" fillId="0" borderId="3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" fontId="0" fillId="0" borderId="3" xfId="0" applyNumberForma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2" fillId="3" borderId="5" xfId="2" applyFont="1" applyBorder="1" applyAlignment="1">
      <alignment horizontal="center"/>
    </xf>
    <xf numFmtId="2" fontId="5" fillId="4" borderId="5" xfId="3" applyNumberFormat="1" applyBorder="1" applyAlignment="1" applyProtection="1">
      <alignment horizontal="center"/>
      <protection locked="0"/>
    </xf>
    <xf numFmtId="2" fontId="0" fillId="0" borderId="5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2" fillId="3" borderId="6" xfId="2" applyFont="1" applyBorder="1" applyAlignment="1">
      <alignment horizontal="center"/>
    </xf>
    <xf numFmtId="0" fontId="2" fillId="3" borderId="4" xfId="2" applyFont="1" applyBorder="1" applyAlignment="1">
      <alignment horizontal="center"/>
    </xf>
    <xf numFmtId="0" fontId="2" fillId="3" borderId="5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4" fillId="2" borderId="5" xfId="1" applyFont="1" applyBorder="1" applyAlignment="1" applyProtection="1">
      <alignment horizontal="center"/>
      <protection locked="0" hidden="1"/>
    </xf>
    <xf numFmtId="0" fontId="4" fillId="2" borderId="3" xfId="1" applyFont="1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/>
    </xf>
    <xf numFmtId="0" fontId="2" fillId="3" borderId="3" xfId="2" applyFont="1" applyBorder="1" applyAlignment="1">
      <alignment horizontal="center"/>
    </xf>
    <xf numFmtId="0" fontId="0" fillId="3" borderId="3" xfId="2" applyFont="1" applyBorder="1" applyAlignment="1">
      <alignment horizontal="center"/>
    </xf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Calories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'Calorie Counter 3.0'!$K$2</c:f>
              <c:strCache>
                <c:ptCount val="1"/>
                <c:pt idx="0">
                  <c:v>Calories Per 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'Calorie Counter 3.0'!$K$3:$K$27</c:f>
              <c:numCache>
                <c:formatCode>0.00</c:formatCode>
                <c:ptCount val="25"/>
                <c:pt idx="0">
                  <c:v>1612.7857142857142</c:v>
                </c:pt>
                <c:pt idx="1">
                  <c:v>1722.3571428571429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1612.7857142857142</c:v>
                </c:pt>
                <c:pt idx="7">
                  <c:v>1722.3571428571429</c:v>
                </c:pt>
                <c:pt idx="8">
                  <c:v>1722.3571428571429</c:v>
                </c:pt>
                <c:pt idx="9">
                  <c:v>1500</c:v>
                </c:pt>
                <c:pt idx="10">
                  <c:v>1612.7857142857142</c:v>
                </c:pt>
                <c:pt idx="11">
                  <c:v>1500</c:v>
                </c:pt>
                <c:pt idx="12">
                  <c:v>1722.3571428571429</c:v>
                </c:pt>
                <c:pt idx="13">
                  <c:v>1500</c:v>
                </c:pt>
                <c:pt idx="14">
                  <c:v>1612.7857142857142</c:v>
                </c:pt>
                <c:pt idx="15">
                  <c:v>1500</c:v>
                </c:pt>
                <c:pt idx="16">
                  <c:v>1500</c:v>
                </c:pt>
                <c:pt idx="17">
                  <c:v>1722.3571428571429</c:v>
                </c:pt>
                <c:pt idx="18">
                  <c:v>1722.3571428571429</c:v>
                </c:pt>
                <c:pt idx="19">
                  <c:v>1612.7857142857142</c:v>
                </c:pt>
                <c:pt idx="20">
                  <c:v>1500</c:v>
                </c:pt>
                <c:pt idx="21">
                  <c:v>1722.3571428571429</c:v>
                </c:pt>
                <c:pt idx="22">
                  <c:v>1722.3571428571429</c:v>
                </c:pt>
                <c:pt idx="23">
                  <c:v>1500</c:v>
                </c:pt>
                <c:pt idx="24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9-4C38-8B87-FABB6CF3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59856"/>
        <c:axId val="1447659440"/>
      </c:scatterChart>
      <c:valAx>
        <c:axId val="14476598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59440"/>
        <c:crosses val="autoZero"/>
        <c:crossBetween val="midCat"/>
      </c:valAx>
      <c:valAx>
        <c:axId val="1447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Weight Loss (In Pounds)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'Calorie Counter 3.0'!$L$2</c:f>
              <c:strCache>
                <c:ptCount val="1"/>
                <c:pt idx="0">
                  <c:v>Predicted Weight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'Calorie Counter 3.0'!$L$3:$L$27</c:f>
              <c:numCache>
                <c:formatCode>0.00</c:formatCode>
                <c:ptCount val="25"/>
                <c:pt idx="0">
                  <c:v>1.6384605714285718</c:v>
                </c:pt>
                <c:pt idx="1">
                  <c:v>1.4193177142857145</c:v>
                </c:pt>
                <c:pt idx="2">
                  <c:v>1.8640320000000004</c:v>
                </c:pt>
                <c:pt idx="3">
                  <c:v>1.8640320000000004</c:v>
                </c:pt>
                <c:pt idx="4">
                  <c:v>1.8640320000000004</c:v>
                </c:pt>
                <c:pt idx="5">
                  <c:v>1.8640320000000004</c:v>
                </c:pt>
                <c:pt idx="6">
                  <c:v>1.6384605714285718</c:v>
                </c:pt>
                <c:pt idx="7">
                  <c:v>1.4193177142857145</c:v>
                </c:pt>
                <c:pt idx="8">
                  <c:v>1.4193177142857145</c:v>
                </c:pt>
                <c:pt idx="9">
                  <c:v>1.8640320000000004</c:v>
                </c:pt>
                <c:pt idx="10">
                  <c:v>1.6384605714285718</c:v>
                </c:pt>
                <c:pt idx="11">
                  <c:v>1.8640320000000004</c:v>
                </c:pt>
                <c:pt idx="12">
                  <c:v>1.4193177142857145</c:v>
                </c:pt>
                <c:pt idx="13">
                  <c:v>1.8640320000000004</c:v>
                </c:pt>
                <c:pt idx="14">
                  <c:v>1.6384605714285718</c:v>
                </c:pt>
                <c:pt idx="15">
                  <c:v>1.8640320000000004</c:v>
                </c:pt>
                <c:pt idx="16">
                  <c:v>1.8640320000000004</c:v>
                </c:pt>
                <c:pt idx="17">
                  <c:v>1.4193177142857145</c:v>
                </c:pt>
                <c:pt idx="18">
                  <c:v>1.4193177142857145</c:v>
                </c:pt>
                <c:pt idx="19">
                  <c:v>1.6384605714285718</c:v>
                </c:pt>
                <c:pt idx="20">
                  <c:v>1.8640320000000004</c:v>
                </c:pt>
                <c:pt idx="21">
                  <c:v>1.4193177142857145</c:v>
                </c:pt>
                <c:pt idx="22">
                  <c:v>1.4193177142857145</c:v>
                </c:pt>
                <c:pt idx="23">
                  <c:v>1.8640320000000004</c:v>
                </c:pt>
                <c:pt idx="24">
                  <c:v>1.8640320000000004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6-4DAA-A653-3E71879F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70000"/>
        <c:axId val="1195370416"/>
      </c:scatterChart>
      <c:valAx>
        <c:axId val="119537000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0416"/>
        <c:crosses val="autoZero"/>
        <c:crossBetween val="midCat"/>
      </c:valAx>
      <c:valAx>
        <c:axId val="11953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52387</xdr:rowOff>
    </xdr:from>
    <xdr:to>
      <xdr:col>8</xdr:col>
      <xdr:colOff>85725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52709-8266-4648-8E29-6F23B58D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27</xdr:row>
      <xdr:rowOff>52387</xdr:rowOff>
    </xdr:from>
    <xdr:to>
      <xdr:col>12</xdr:col>
      <xdr:colOff>19050</xdr:colOff>
      <xdr:row>41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37601-5818-4540-A168-109F0CEE8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E5FB-2323-44CE-BBA4-FA97ADB597C6}">
  <sheetPr codeName="Sheet1"/>
  <dimension ref="A1:S27"/>
  <sheetViews>
    <sheetView tabSelected="1" workbookViewId="0">
      <selection activeCell="L13" sqref="L13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8.28515625" bestFit="1" customWidth="1"/>
    <col min="4" max="4" width="11.42578125" bestFit="1" customWidth="1"/>
    <col min="5" max="5" width="9" bestFit="1" customWidth="1"/>
    <col min="6" max="6" width="7.5703125" bestFit="1" customWidth="1"/>
    <col min="7" max="7" width="8.7109375" bestFit="1" customWidth="1"/>
    <col min="8" max="8" width="7.42578125" bestFit="1" customWidth="1"/>
    <col min="9" max="9" width="8.5703125" bestFit="1" customWidth="1"/>
    <col min="10" max="10" width="11.5703125" bestFit="1" customWidth="1"/>
    <col min="11" max="11" width="15.42578125" bestFit="1" customWidth="1"/>
    <col min="12" max="12" width="35" bestFit="1" customWidth="1"/>
    <col min="13" max="13" width="41.28515625" bestFit="1" customWidth="1"/>
    <col min="14" max="14" width="34.7109375" customWidth="1"/>
    <col min="15" max="15" width="19.28515625" customWidth="1"/>
    <col min="16" max="16" width="20.28515625" bestFit="1" customWidth="1"/>
    <col min="17" max="17" width="8.140625" bestFit="1" customWidth="1"/>
    <col min="18" max="18" width="17.42578125" bestFit="1" customWidth="1"/>
    <col min="19" max="19" width="8.140625" bestFit="1" customWidth="1"/>
  </cols>
  <sheetData>
    <row r="1" spans="1:19" ht="19.5" x14ac:dyDescent="0.3">
      <c r="A1" s="24" t="s">
        <v>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4" t="s">
        <v>52</v>
      </c>
      <c r="N1" s="25" t="s">
        <v>24</v>
      </c>
      <c r="O1" s="25"/>
      <c r="P1" s="24" t="s">
        <v>43</v>
      </c>
      <c r="Q1" s="25"/>
      <c r="R1" s="25"/>
      <c r="S1" s="26"/>
    </row>
    <row r="2" spans="1:19" ht="15" customHeight="1" x14ac:dyDescent="0.2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10</v>
      </c>
      <c r="K2" s="22" t="s">
        <v>58</v>
      </c>
      <c r="L2" s="15" t="s">
        <v>57</v>
      </c>
      <c r="M2" s="7">
        <v>1600</v>
      </c>
      <c r="N2" s="29">
        <f>IF(N21="M", 1500, IF(N21="m", 1500, IF(N21="F", 1200, IF(N21="f", 1200, "Enter M or m or F or f  in Q21 to indicate gender"))))</f>
        <v>1500</v>
      </c>
      <c r="O2" s="29"/>
      <c r="P2" s="1" t="s">
        <v>44</v>
      </c>
      <c r="Q2" s="5" t="s">
        <v>29</v>
      </c>
      <c r="R2" s="1" t="s">
        <v>44</v>
      </c>
      <c r="S2" s="5" t="s">
        <v>29</v>
      </c>
    </row>
    <row r="3" spans="1:19" ht="19.5" x14ac:dyDescent="0.3">
      <c r="A3" s="14">
        <v>44494</v>
      </c>
      <c r="B3" s="6">
        <v>1836.5</v>
      </c>
      <c r="C3" s="6">
        <v>1799</v>
      </c>
      <c r="D3" s="6">
        <v>1777</v>
      </c>
      <c r="E3" s="6">
        <v>1584</v>
      </c>
      <c r="F3" s="6">
        <v>1580</v>
      </c>
      <c r="G3" s="6">
        <v>1501</v>
      </c>
      <c r="H3" s="6">
        <v>1212</v>
      </c>
      <c r="I3" s="12">
        <f>M2*7</f>
        <v>11200</v>
      </c>
      <c r="J3" s="12">
        <f>I3-(C3+B3+D3+E3+F3+G3+H3)</f>
        <v>-89.5</v>
      </c>
      <c r="K3" s="12">
        <f t="shared" ref="K3" si="0">IFERROR(SUMIF(B3:H3,"&lt;&gt;",B3:H3)/(7-COUNTBLANK(B3:H3)), 0)</f>
        <v>1612.7857142857142</v>
      </c>
      <c r="L3" s="12">
        <f>IFERROR(((R23*(7-COUNTBLANK(B3:H3)))-I3+J3)/3500, "Incorrect inputs for gender or calories")</f>
        <v>1.6384605714285718</v>
      </c>
      <c r="M3" s="16" t="s">
        <v>51</v>
      </c>
      <c r="N3" s="35" t="s">
        <v>46</v>
      </c>
      <c r="O3" s="35"/>
      <c r="P3" s="7" t="s">
        <v>45</v>
      </c>
      <c r="Q3" s="8">
        <v>775</v>
      </c>
      <c r="R3" s="7"/>
      <c r="S3" s="8"/>
    </row>
    <row r="4" spans="1:19" x14ac:dyDescent="0.25">
      <c r="A4" s="14">
        <v>44501</v>
      </c>
      <c r="B4" s="6">
        <v>1510</v>
      </c>
      <c r="C4" s="6">
        <v>2268.5</v>
      </c>
      <c r="D4" s="7">
        <v>1454</v>
      </c>
      <c r="E4" s="7">
        <v>1774</v>
      </c>
      <c r="F4" s="7">
        <v>2240</v>
      </c>
      <c r="G4" s="7">
        <v>1356</v>
      </c>
      <c r="H4" s="7">
        <v>1454</v>
      </c>
      <c r="I4" s="12">
        <f>M2*7</f>
        <v>11200</v>
      </c>
      <c r="J4" s="12">
        <f>I4-(B4+C4+D4+E4+F4+G4+H4)</f>
        <v>-856.5</v>
      </c>
      <c r="K4" s="12">
        <f>IFERROR(SUMIF(B4:H4,"&lt;&gt;",B4:H4)/(7-COUNTBLANK(B4:H4)), 0)</f>
        <v>1722.3571428571429</v>
      </c>
      <c r="L4" s="12">
        <f>IFERROR(((R23*(7-COUNTBLANK(B4:H4)))-I4+J4)/3500, "Incorrect inputs for gender or calories")</f>
        <v>1.4193177142857145</v>
      </c>
      <c r="M4" s="17">
        <v>215.8</v>
      </c>
      <c r="N4" s="1" t="s">
        <v>42</v>
      </c>
      <c r="O4" s="5" t="s">
        <v>29</v>
      </c>
      <c r="P4" s="7" t="s">
        <v>54</v>
      </c>
      <c r="Q4" s="8">
        <v>290</v>
      </c>
      <c r="R4" s="7"/>
      <c r="S4" s="8"/>
    </row>
    <row r="5" spans="1:19" ht="19.5" x14ac:dyDescent="0.3">
      <c r="A5" s="14">
        <v>44508</v>
      </c>
      <c r="B5" s="7">
        <v>1500</v>
      </c>
      <c r="C5" s="7">
        <v>1500</v>
      </c>
      <c r="D5" s="7">
        <v>1500</v>
      </c>
      <c r="E5" s="7">
        <v>1500</v>
      </c>
      <c r="F5" s="7">
        <v>1500</v>
      </c>
      <c r="G5" s="7">
        <v>1500</v>
      </c>
      <c r="H5" s="7">
        <v>1500</v>
      </c>
      <c r="I5" s="12">
        <f>M2*7</f>
        <v>11200</v>
      </c>
      <c r="J5" s="12">
        <f t="shared" ref="J5:J27" si="1">I5-(B5+C5+D5+E5+F5+G5+H5)</f>
        <v>700</v>
      </c>
      <c r="K5" s="12">
        <f>IFERROR(SUMIF(B5:H5,"&lt;&gt;",B5:H5)/(7-COUNTBLANK(B5:H5)), 0)</f>
        <v>1500</v>
      </c>
      <c r="L5" s="12">
        <f>IFERROR(((R23*(7-COUNTBLANK(B5:H5)))-I5+J5)/3500, "Incorrect inputs for gender or calories")</f>
        <v>1.8640320000000004</v>
      </c>
      <c r="M5" s="16" t="s">
        <v>47</v>
      </c>
      <c r="N5" s="1" t="s">
        <v>31</v>
      </c>
      <c r="O5" s="8">
        <v>168</v>
      </c>
      <c r="P5" s="7" t="s">
        <v>55</v>
      </c>
      <c r="Q5" s="8">
        <v>420</v>
      </c>
      <c r="R5" s="7"/>
      <c r="S5" s="8"/>
    </row>
    <row r="6" spans="1:19" x14ac:dyDescent="0.25">
      <c r="A6" s="14">
        <v>44515</v>
      </c>
      <c r="B6" s="7">
        <v>1500</v>
      </c>
      <c r="C6" s="7">
        <v>1500</v>
      </c>
      <c r="D6" s="7">
        <v>1500</v>
      </c>
      <c r="E6" s="7">
        <v>1500</v>
      </c>
      <c r="F6" s="7">
        <v>1500</v>
      </c>
      <c r="G6" s="7">
        <v>1500</v>
      </c>
      <c r="H6" s="7">
        <v>1500</v>
      </c>
      <c r="I6" s="12">
        <f>M2*7</f>
        <v>11200</v>
      </c>
      <c r="J6" s="12">
        <f t="shared" si="1"/>
        <v>700</v>
      </c>
      <c r="K6" s="12">
        <f>IFERROR(SUMIF(B6:H6,"&lt;&gt;",B6:H6)/(7-COUNTBLANK(B6:H6)), 0)</f>
        <v>1500</v>
      </c>
      <c r="L6" s="12">
        <f>IFERROR(((R23*(7-COUNTBLANK(B6:H6)))-I6+J6)/3500, "Incorrect inputs for gender or calories")</f>
        <v>1.8640320000000004</v>
      </c>
      <c r="M6" s="18">
        <f>((R23-M2)*7)/3500</f>
        <v>1.6640320000000002</v>
      </c>
      <c r="N6" s="1" t="s">
        <v>32</v>
      </c>
      <c r="O6" s="8">
        <v>30</v>
      </c>
      <c r="P6" s="7" t="s">
        <v>56</v>
      </c>
      <c r="Q6" s="8">
        <v>829</v>
      </c>
      <c r="R6" s="7"/>
      <c r="S6" s="8"/>
    </row>
    <row r="7" spans="1:19" ht="19.5" x14ac:dyDescent="0.3">
      <c r="A7" s="14">
        <v>44522</v>
      </c>
      <c r="B7" s="7">
        <v>1500</v>
      </c>
      <c r="C7" s="7">
        <v>1500</v>
      </c>
      <c r="D7" s="7">
        <v>1500</v>
      </c>
      <c r="E7" s="7">
        <v>1500</v>
      </c>
      <c r="F7" s="7">
        <v>1500</v>
      </c>
      <c r="G7" s="7">
        <v>1500</v>
      </c>
      <c r="H7" s="7">
        <v>1500</v>
      </c>
      <c r="I7" s="12">
        <f>M2*7</f>
        <v>11200</v>
      </c>
      <c r="J7" s="12">
        <f t="shared" si="1"/>
        <v>700</v>
      </c>
      <c r="K7" s="12">
        <f t="shared" ref="K7" si="2">IFERROR(SUMIF(B7:H7,"&lt;&gt;",B7:H7)/(7-COUNTBLANK(B7:H7)), 0)</f>
        <v>1500</v>
      </c>
      <c r="L7" s="12">
        <f>IFERROR(((R23*(7-COUNTBLANK(B7:H7)))-I7+J7)/3500, "Incorrect inputs for gender or calories")</f>
        <v>1.8640320000000004</v>
      </c>
      <c r="M7" s="16" t="s">
        <v>53</v>
      </c>
      <c r="N7" s="1" t="s">
        <v>33</v>
      </c>
      <c r="O7" s="8">
        <v>30</v>
      </c>
      <c r="P7" s="7"/>
      <c r="Q7" s="8"/>
      <c r="R7" s="7"/>
      <c r="S7" s="8"/>
    </row>
    <row r="8" spans="1:19" x14ac:dyDescent="0.25">
      <c r="A8" s="14">
        <v>44529</v>
      </c>
      <c r="B8" s="7">
        <v>1500</v>
      </c>
      <c r="C8" s="7">
        <v>1500</v>
      </c>
      <c r="D8" s="7">
        <v>1500</v>
      </c>
      <c r="E8" s="7">
        <v>1500</v>
      </c>
      <c r="F8" s="7">
        <v>1500</v>
      </c>
      <c r="G8" s="7">
        <v>1500</v>
      </c>
      <c r="H8" s="7">
        <v>1500</v>
      </c>
      <c r="I8" s="12">
        <f>M2*7</f>
        <v>11200</v>
      </c>
      <c r="J8" s="12">
        <f t="shared" si="1"/>
        <v>700</v>
      </c>
      <c r="K8" s="12">
        <f>IFERROR(SUMIF(B8:H8,"&lt;&gt;",B8:H8)/(7-COUNTBLANK(B8:H8)), 0)</f>
        <v>1500</v>
      </c>
      <c r="L8" s="12">
        <f>IFERROR(((R23*(7-COUNTBLANK(B8:H8)))-I8+J8)/3500, "Incorrect inputs for gender or calories")</f>
        <v>1.8640320000000004</v>
      </c>
      <c r="M8" s="19">
        <f>ROUND(N18-(M6*26),1)</f>
        <v>172.5</v>
      </c>
      <c r="N8" s="1" t="s">
        <v>34</v>
      </c>
      <c r="O8" s="8">
        <v>78</v>
      </c>
      <c r="P8" s="7"/>
      <c r="Q8" s="8"/>
      <c r="R8" s="7"/>
      <c r="S8" s="8"/>
    </row>
    <row r="9" spans="1:19" ht="19.5" x14ac:dyDescent="0.3">
      <c r="A9" s="14">
        <v>44536</v>
      </c>
      <c r="B9" s="23">
        <v>1836.5</v>
      </c>
      <c r="C9" s="23">
        <v>1799</v>
      </c>
      <c r="D9" s="23">
        <v>1777</v>
      </c>
      <c r="E9" s="23">
        <v>1584</v>
      </c>
      <c r="F9" s="23">
        <v>1580</v>
      </c>
      <c r="G9" s="23">
        <v>1501</v>
      </c>
      <c r="H9" s="23">
        <v>1212</v>
      </c>
      <c r="I9" s="12">
        <f>M2*7</f>
        <v>11200</v>
      </c>
      <c r="J9" s="12">
        <f t="shared" si="1"/>
        <v>-89.5</v>
      </c>
      <c r="K9" s="12">
        <f t="shared" ref="K9" si="3">IFERROR(SUMIF(B9:H9,"&lt;&gt;",B9:H9)/(7-COUNTBLANK(B9:H9)), 0)</f>
        <v>1612.7857142857142</v>
      </c>
      <c r="L9" s="12">
        <f>IFERROR(((R23*(7-COUNTBLANK(B9:H9)))-I9+J9)/3500, "Incorrect inputs for gender or calories")</f>
        <v>1.6384605714285718</v>
      </c>
      <c r="M9" s="16" t="s">
        <v>11</v>
      </c>
      <c r="N9" s="1" t="s">
        <v>35</v>
      </c>
      <c r="O9" s="8">
        <v>78</v>
      </c>
      <c r="P9" s="7"/>
      <c r="Q9" s="8"/>
      <c r="R9" s="7"/>
      <c r="S9" s="8"/>
    </row>
    <row r="10" spans="1:19" x14ac:dyDescent="0.25">
      <c r="A10" s="14">
        <v>44543</v>
      </c>
      <c r="B10" s="23">
        <v>1510</v>
      </c>
      <c r="C10" s="23">
        <v>2268.5</v>
      </c>
      <c r="D10" s="7">
        <v>1454</v>
      </c>
      <c r="E10" s="7">
        <v>1774</v>
      </c>
      <c r="F10" s="7">
        <v>2240</v>
      </c>
      <c r="G10" s="7">
        <v>1356</v>
      </c>
      <c r="H10" s="7">
        <v>1454</v>
      </c>
      <c r="I10" s="12">
        <f>M2*7</f>
        <v>11200</v>
      </c>
      <c r="J10" s="12">
        <f t="shared" si="1"/>
        <v>-856.5</v>
      </c>
      <c r="K10" s="12">
        <f>IFERROR(SUMIF(B10:H10,"&lt;&gt;",B10:H10)/(7-COUNTBLANK(B10:H10)), 0)</f>
        <v>1722.3571428571429</v>
      </c>
      <c r="L10" s="12">
        <f>IFERROR(((R23*(7-COUNTBLANK(B10:H10)))-I10+J10)/3500, "Incorrect inputs for gender or calories")</f>
        <v>1.4193177142857145</v>
      </c>
      <c r="M10" s="17"/>
      <c r="N10" s="1" t="s">
        <v>36</v>
      </c>
      <c r="O10" s="8">
        <v>0</v>
      </c>
      <c r="P10" s="7"/>
      <c r="Q10" s="8"/>
      <c r="R10" s="7"/>
      <c r="S10" s="8"/>
    </row>
    <row r="11" spans="1:19" x14ac:dyDescent="0.25">
      <c r="A11" s="14">
        <v>44550</v>
      </c>
      <c r="B11" s="23">
        <v>1510</v>
      </c>
      <c r="C11" s="23">
        <v>2268.5</v>
      </c>
      <c r="D11" s="7">
        <v>1454</v>
      </c>
      <c r="E11" s="7">
        <v>1774</v>
      </c>
      <c r="F11" s="7">
        <v>2240</v>
      </c>
      <c r="G11" s="7">
        <v>1356</v>
      </c>
      <c r="H11" s="7">
        <v>1454</v>
      </c>
      <c r="I11" s="12">
        <f>M2*7</f>
        <v>11200</v>
      </c>
      <c r="J11" s="12">
        <f t="shared" si="1"/>
        <v>-856.5</v>
      </c>
      <c r="K11" s="12">
        <f t="shared" ref="K11" si="4">IFERROR(SUMIF(B11:H11,"&lt;&gt;",B11:H11)/(7-COUNTBLANK(B11:H11)), 0)</f>
        <v>1722.3571428571429</v>
      </c>
      <c r="L11" s="12">
        <f>IFERROR(((R23*(7-COUNTBLANK(B11:H11)))-I11+J11)/3500, "Incorrect inputs for gender or calories")</f>
        <v>1.4193177142857145</v>
      </c>
      <c r="N11" s="1" t="s">
        <v>37</v>
      </c>
      <c r="O11" s="8">
        <v>0</v>
      </c>
      <c r="P11" s="7"/>
      <c r="Q11" s="8"/>
      <c r="R11" s="7"/>
      <c r="S11" s="8"/>
    </row>
    <row r="12" spans="1:19" x14ac:dyDescent="0.25">
      <c r="A12" s="14">
        <v>44557</v>
      </c>
      <c r="B12" s="7">
        <v>1500</v>
      </c>
      <c r="C12" s="7">
        <v>1500</v>
      </c>
      <c r="D12" s="7">
        <v>1500</v>
      </c>
      <c r="E12" s="7">
        <v>1500</v>
      </c>
      <c r="F12" s="7">
        <v>1500</v>
      </c>
      <c r="G12" s="7">
        <v>1500</v>
      </c>
      <c r="H12" s="7">
        <v>1500</v>
      </c>
      <c r="I12" s="12">
        <f>M2*7</f>
        <v>11200</v>
      </c>
      <c r="J12" s="12">
        <f t="shared" si="1"/>
        <v>700</v>
      </c>
      <c r="K12" s="12">
        <f>IFERROR(SUMIF(B12:H12,"&lt;&gt;",B12:H12)/(7-COUNTBLANK(B12:H12)), 0)</f>
        <v>1500</v>
      </c>
      <c r="L12" s="12">
        <f>IFERROR(((R23*(7-COUNTBLANK(B12:H12)))-I12+J12)/3500, "Incorrect inputs for gender or calories")</f>
        <v>1.8640320000000004</v>
      </c>
      <c r="N12" s="1" t="s">
        <v>38</v>
      </c>
      <c r="O12" s="8">
        <v>0</v>
      </c>
      <c r="P12" s="7"/>
      <c r="Q12" s="8"/>
      <c r="R12" s="7"/>
      <c r="S12" s="8"/>
    </row>
    <row r="13" spans="1:19" x14ac:dyDescent="0.25">
      <c r="A13" s="14">
        <v>44564</v>
      </c>
      <c r="B13" s="23">
        <v>1836.5</v>
      </c>
      <c r="C13" s="23">
        <v>1799</v>
      </c>
      <c r="D13" s="23">
        <v>1777</v>
      </c>
      <c r="E13" s="23">
        <v>1584</v>
      </c>
      <c r="F13" s="23">
        <v>1580</v>
      </c>
      <c r="G13" s="23">
        <v>1501</v>
      </c>
      <c r="H13" s="23">
        <v>1212</v>
      </c>
      <c r="I13" s="12">
        <f>M2*7</f>
        <v>11200</v>
      </c>
      <c r="J13" s="12">
        <f t="shared" si="1"/>
        <v>-89.5</v>
      </c>
      <c r="K13" s="12">
        <f t="shared" ref="K13" si="5">IFERROR(SUMIF(B13:H13,"&lt;&gt;",B13:H13)/(7-COUNTBLANK(B13:H13)), 0)</f>
        <v>1612.7857142857142</v>
      </c>
      <c r="L13" s="12">
        <f>IFERROR(((R23*(7-COUNTBLANK(B13:H13)))-I13+J13)/3500, "Incorrect inputs for gender or calories")</f>
        <v>1.6384605714285718</v>
      </c>
      <c r="N13" s="1" t="s">
        <v>39</v>
      </c>
      <c r="O13" s="8">
        <v>0</v>
      </c>
      <c r="P13" s="7"/>
      <c r="Q13" s="8"/>
      <c r="R13" s="7"/>
      <c r="S13" s="8"/>
    </row>
    <row r="14" spans="1:19" x14ac:dyDescent="0.25">
      <c r="A14" s="14">
        <v>44571</v>
      </c>
      <c r="B14" s="7">
        <v>1500</v>
      </c>
      <c r="C14" s="7">
        <v>1500</v>
      </c>
      <c r="D14" s="7">
        <v>1500</v>
      </c>
      <c r="E14" s="7">
        <v>1500</v>
      </c>
      <c r="F14" s="7">
        <v>1500</v>
      </c>
      <c r="G14" s="7">
        <v>1500</v>
      </c>
      <c r="H14" s="7">
        <v>1500</v>
      </c>
      <c r="I14" s="12">
        <f>M2*7</f>
        <v>11200</v>
      </c>
      <c r="J14" s="12">
        <f t="shared" si="1"/>
        <v>700</v>
      </c>
      <c r="K14" s="12">
        <f>IFERROR(SUMIF(B14:H14,"&lt;&gt;",B14:H14)/(7-COUNTBLANK(B14:H14)), 0)</f>
        <v>1500</v>
      </c>
      <c r="L14" s="12">
        <f>IFERROR(((R23*(7-COUNTBLANK(B14:H14)))-I14+J14)/3500, "Incorrect inputs for gender or calories")</f>
        <v>1.8640320000000004</v>
      </c>
      <c r="N14" s="1" t="s">
        <v>40</v>
      </c>
      <c r="O14" s="8">
        <v>0</v>
      </c>
      <c r="P14" s="7"/>
      <c r="Q14" s="8"/>
      <c r="R14" s="7"/>
      <c r="S14" s="8"/>
    </row>
    <row r="15" spans="1:19" x14ac:dyDescent="0.25">
      <c r="A15" s="14">
        <v>44578</v>
      </c>
      <c r="B15" s="23">
        <v>1510</v>
      </c>
      <c r="C15" s="23">
        <v>2268.5</v>
      </c>
      <c r="D15" s="7">
        <v>1454</v>
      </c>
      <c r="E15" s="7">
        <v>1774</v>
      </c>
      <c r="F15" s="7">
        <v>2240</v>
      </c>
      <c r="G15" s="7">
        <v>1356</v>
      </c>
      <c r="H15" s="7">
        <v>1454</v>
      </c>
      <c r="I15" s="12">
        <f>M2*7</f>
        <v>11200</v>
      </c>
      <c r="J15" s="12">
        <f t="shared" si="1"/>
        <v>-856.5</v>
      </c>
      <c r="K15" s="12">
        <f t="shared" ref="K15" si="6">IFERROR(SUMIF(B15:H15,"&lt;&gt;",B15:H15)/(7-COUNTBLANK(B15:H15)), 0)</f>
        <v>1722.3571428571429</v>
      </c>
      <c r="L15" s="12">
        <f>IFERROR(((R23*(7-COUNTBLANK(B15:H15)))-I15+J15)/3500, "Incorrect inputs for gender or calories")</f>
        <v>1.4193177142857145</v>
      </c>
      <c r="N15" s="1" t="s">
        <v>41</v>
      </c>
      <c r="O15" s="8">
        <v>0</v>
      </c>
      <c r="P15" s="7"/>
      <c r="Q15" s="8"/>
      <c r="R15" s="7"/>
      <c r="S15" s="8"/>
    </row>
    <row r="16" spans="1:19" x14ac:dyDescent="0.25">
      <c r="A16" s="14">
        <v>44585</v>
      </c>
      <c r="B16" s="7">
        <v>1500</v>
      </c>
      <c r="C16" s="7">
        <v>1500</v>
      </c>
      <c r="D16" s="7">
        <v>1500</v>
      </c>
      <c r="E16" s="7">
        <v>1500</v>
      </c>
      <c r="F16" s="7">
        <v>1500</v>
      </c>
      <c r="G16" s="7">
        <v>1500</v>
      </c>
      <c r="H16" s="7">
        <v>1500</v>
      </c>
      <c r="I16" s="12">
        <f>M2*7</f>
        <v>11200</v>
      </c>
      <c r="J16" s="12">
        <f t="shared" si="1"/>
        <v>700</v>
      </c>
      <c r="K16" s="12">
        <f>IFERROR(SUMIF(B16:H16,"&lt;&gt;",B16:H16)/(7-COUNTBLANK(B16:H16)), 0)</f>
        <v>1500</v>
      </c>
      <c r="L16" s="12">
        <f>IFERROR(((R23*(7-COUNTBLANK(B16:H16)))-I16+J16)/3500, "Incorrect inputs for gender or calories")</f>
        <v>1.8640320000000004</v>
      </c>
      <c r="N16" s="1" t="s">
        <v>30</v>
      </c>
      <c r="O16" s="13">
        <f>O5+O6+O7+O8+O9+O10+O11+O12+O13+O14+O15</f>
        <v>384</v>
      </c>
      <c r="P16" s="7"/>
      <c r="Q16" s="8"/>
      <c r="R16" s="7"/>
      <c r="S16" s="8"/>
    </row>
    <row r="17" spans="1:19" ht="19.5" x14ac:dyDescent="0.3">
      <c r="A17" s="14">
        <v>44592</v>
      </c>
      <c r="B17" s="23">
        <v>1836.5</v>
      </c>
      <c r="C17" s="23">
        <v>1799</v>
      </c>
      <c r="D17" s="23">
        <v>1777</v>
      </c>
      <c r="E17" s="23">
        <v>1584</v>
      </c>
      <c r="F17" s="23">
        <v>1580</v>
      </c>
      <c r="G17" s="23">
        <v>1501</v>
      </c>
      <c r="H17" s="23">
        <v>1212</v>
      </c>
      <c r="I17" s="12">
        <f>M2*7</f>
        <v>11200</v>
      </c>
      <c r="J17" s="12">
        <f t="shared" si="1"/>
        <v>-89.5</v>
      </c>
      <c r="K17" s="12">
        <f t="shared" ref="K17" si="7">IFERROR(SUMIF(B17:H17,"&lt;&gt;",B17:H17)/(7-COUNTBLANK(B17:H17)), 0)</f>
        <v>1612.7857142857142</v>
      </c>
      <c r="L17" s="12">
        <f>IFERROR(((R23*(7-COUNTBLANK(B17:H17)))-I17+J17)/3500, "Incorrect inputs for gender or calories")</f>
        <v>1.6384605714285718</v>
      </c>
      <c r="M17" s="26" t="s">
        <v>12</v>
      </c>
      <c r="N17" s="35"/>
      <c r="O17" s="35"/>
      <c r="P17" s="35"/>
      <c r="Q17" s="35"/>
      <c r="R17" s="36" t="s">
        <v>21</v>
      </c>
      <c r="S17" s="36"/>
    </row>
    <row r="18" spans="1:19" x14ac:dyDescent="0.25">
      <c r="A18" s="14">
        <v>44599</v>
      </c>
      <c r="B18" s="7">
        <v>1500</v>
      </c>
      <c r="C18" s="7">
        <v>1500</v>
      </c>
      <c r="D18" s="7">
        <v>1500</v>
      </c>
      <c r="E18" s="7">
        <v>1500</v>
      </c>
      <c r="F18" s="7">
        <v>1500</v>
      </c>
      <c r="G18" s="7">
        <v>1500</v>
      </c>
      <c r="H18" s="7">
        <v>1500</v>
      </c>
      <c r="I18" s="12">
        <f>M2*7</f>
        <v>11200</v>
      </c>
      <c r="J18" s="12">
        <f t="shared" si="1"/>
        <v>700</v>
      </c>
      <c r="K18" s="12">
        <f>IFERROR(SUMIF(B18:H18,"&lt;&gt;",B18:H18)/(7-COUNTBLANK(B18:H18)), 0)</f>
        <v>1500</v>
      </c>
      <c r="L18" s="12">
        <f>IFERROR(((R23*(7-COUNTBLANK(B18:H18)))-I18+J18)/3500, "Incorrect inputs for gender or calories")</f>
        <v>1.8640320000000004</v>
      </c>
      <c r="M18" s="20" t="s">
        <v>14</v>
      </c>
      <c r="N18" s="6">
        <v>215.8</v>
      </c>
      <c r="O18" s="28" t="s">
        <v>18</v>
      </c>
      <c r="P18" s="28"/>
      <c r="Q18" s="28"/>
      <c r="R18" s="9">
        <f>N18/2.205</f>
        <v>97.868480725623584</v>
      </c>
      <c r="S18" s="5" t="s">
        <v>48</v>
      </c>
    </row>
    <row r="19" spans="1:19" x14ac:dyDescent="0.25">
      <c r="A19" s="14">
        <v>44606</v>
      </c>
      <c r="B19" s="7">
        <v>1500</v>
      </c>
      <c r="C19" s="7">
        <v>1500</v>
      </c>
      <c r="D19" s="7">
        <v>1500</v>
      </c>
      <c r="E19" s="7">
        <v>1500</v>
      </c>
      <c r="F19" s="7">
        <v>1500</v>
      </c>
      <c r="G19" s="7">
        <v>1500</v>
      </c>
      <c r="H19" s="7">
        <v>1500</v>
      </c>
      <c r="I19" s="12">
        <f>M2*7</f>
        <v>11200</v>
      </c>
      <c r="J19" s="12">
        <f t="shared" si="1"/>
        <v>700</v>
      </c>
      <c r="K19" s="12">
        <f t="shared" ref="K19" si="8">IFERROR(SUMIF(B19:H19,"&lt;&gt;",B19:H19)/(7-COUNTBLANK(B19:H19)), 0)</f>
        <v>1500</v>
      </c>
      <c r="L19" s="12">
        <f>IFERROR(((R23*(7-COUNTBLANK(B19:H19)))-I19+J19)/3500, "Incorrect inputs for gender or calories")</f>
        <v>1.8640320000000004</v>
      </c>
      <c r="M19" s="21" t="s">
        <v>15</v>
      </c>
      <c r="N19" s="6">
        <v>6</v>
      </c>
      <c r="O19" s="3" t="s">
        <v>16</v>
      </c>
      <c r="P19" s="6">
        <v>0</v>
      </c>
      <c r="Q19" s="3" t="s">
        <v>17</v>
      </c>
      <c r="R19" s="9">
        <f>(N19*30.48)+(P19*2.54)</f>
        <v>182.88</v>
      </c>
      <c r="S19" s="5" t="s">
        <v>49</v>
      </c>
    </row>
    <row r="20" spans="1:19" x14ac:dyDescent="0.25">
      <c r="A20" s="14">
        <v>44613</v>
      </c>
      <c r="B20" s="23">
        <v>1510</v>
      </c>
      <c r="C20" s="23">
        <v>2268.5</v>
      </c>
      <c r="D20" s="7">
        <v>1454</v>
      </c>
      <c r="E20" s="7">
        <v>1774</v>
      </c>
      <c r="F20" s="7">
        <v>2240</v>
      </c>
      <c r="G20" s="7">
        <v>1356</v>
      </c>
      <c r="H20" s="7">
        <v>1454</v>
      </c>
      <c r="I20" s="12">
        <f>M2*7</f>
        <v>11200</v>
      </c>
      <c r="J20" s="12">
        <f t="shared" si="1"/>
        <v>-856.5</v>
      </c>
      <c r="K20" s="12">
        <f>IFERROR(SUMIF(B20:H20,"&lt;&gt;",B20:H20)/(7-COUNTBLANK(B20:H20)), 0)</f>
        <v>1722.3571428571429</v>
      </c>
      <c r="L20" s="12">
        <f>IFERROR(((R23*(7-COUNTBLANK(B20:H20)))-I20+J20)/3500, "Incorrect inputs for gender or calories")</f>
        <v>1.4193177142857145</v>
      </c>
      <c r="M20" s="21" t="s">
        <v>13</v>
      </c>
      <c r="N20" s="6">
        <v>20</v>
      </c>
      <c r="O20" s="28" t="s">
        <v>19</v>
      </c>
      <c r="P20" s="28"/>
      <c r="Q20" s="28"/>
      <c r="R20" s="9">
        <f>N20</f>
        <v>20</v>
      </c>
      <c r="S20" s="5" t="s">
        <v>19</v>
      </c>
    </row>
    <row r="21" spans="1:19" x14ac:dyDescent="0.25">
      <c r="A21" s="14">
        <v>44620</v>
      </c>
      <c r="B21" s="23">
        <v>1510</v>
      </c>
      <c r="C21" s="23">
        <v>2268.5</v>
      </c>
      <c r="D21" s="7">
        <v>1454</v>
      </c>
      <c r="E21" s="7">
        <v>1774</v>
      </c>
      <c r="F21" s="7">
        <v>2240</v>
      </c>
      <c r="G21" s="7">
        <v>1356</v>
      </c>
      <c r="H21" s="7">
        <v>1454</v>
      </c>
      <c r="I21" s="12">
        <f>M2*7</f>
        <v>11200</v>
      </c>
      <c r="J21" s="12">
        <f t="shared" si="1"/>
        <v>-856.5</v>
      </c>
      <c r="K21" s="12">
        <f t="shared" ref="K21" si="9">IFERROR(SUMIF(B21:H21,"&lt;&gt;",B21:H21)/(7-COUNTBLANK(B21:H21)), 0)</f>
        <v>1722.3571428571429</v>
      </c>
      <c r="L21" s="12">
        <f>IFERROR(((R23*(7-COUNTBLANK(B21:H21)))-I21+J21)/3500, "Incorrect inputs for gender or calories")</f>
        <v>1.4193177142857145</v>
      </c>
      <c r="M21" s="21" t="s">
        <v>20</v>
      </c>
      <c r="N21" s="34" t="s">
        <v>25</v>
      </c>
      <c r="O21" s="34"/>
      <c r="P21" s="34"/>
      <c r="Q21" s="34"/>
      <c r="R21" s="10">
        <f>IF(N21="M", 5, IF(N21="m", 5, IF(N21="F", -151, IF(N21="f", -151, "Enter M or m or F or f to indicate gender"))))</f>
        <v>5</v>
      </c>
      <c r="S21" s="5"/>
    </row>
    <row r="22" spans="1:19" x14ac:dyDescent="0.25">
      <c r="A22" s="14">
        <v>44627</v>
      </c>
      <c r="B22" s="23">
        <v>1836.5</v>
      </c>
      <c r="C22" s="23">
        <v>1799</v>
      </c>
      <c r="D22" s="23">
        <v>1777</v>
      </c>
      <c r="E22" s="23">
        <v>1584</v>
      </c>
      <c r="F22" s="23">
        <v>1580</v>
      </c>
      <c r="G22" s="23">
        <v>1501</v>
      </c>
      <c r="H22" s="23">
        <v>1212</v>
      </c>
      <c r="I22" s="12">
        <f>M2*7</f>
        <v>11200</v>
      </c>
      <c r="J22" s="12">
        <f t="shared" si="1"/>
        <v>-89.5</v>
      </c>
      <c r="K22" s="12">
        <f>IFERROR(SUMIF(B22:H22,"&lt;&gt;",B22:H22)/(7-COUNTBLANK(B22:H22)), 0)</f>
        <v>1612.7857142857142</v>
      </c>
      <c r="L22" s="12">
        <f>IFERROR(((R23*(7-COUNTBLANK(B22:H22)))-I22+J22)/3500, "Incorrect inputs for gender or calories")</f>
        <v>1.6384605714285718</v>
      </c>
      <c r="M22" s="30" t="str">
        <f>IF(ISNUMBER(N18)=FALSE,"Please enter numbers only for your height, weight, and age.",IF(ISNUMBER(N19)=FALSE,"Please enter numbers only for your height, weight, and age.",IF(ISNUMBER(N20)=FALSE,"Please enter numbers only for your height, weight, and age.",IF(ISNUMBER(P19)=FALSE,"Please enter numbers only for your height, weight, and age.", "Your BMR calculated with the The Mifflin-St. Jeor equation is"))))</f>
        <v>Your BMR calculated with the The Mifflin-St. Jeor equation is</v>
      </c>
      <c r="N22" s="31"/>
      <c r="O22" s="31"/>
      <c r="P22" s="31"/>
      <c r="Q22" s="31"/>
      <c r="R22" s="11">
        <f>ROUND((R18*10)+(6.25*R19)-(R20*5)+R21,2)</f>
        <v>2026.68</v>
      </c>
      <c r="S22" s="5" t="s">
        <v>50</v>
      </c>
    </row>
    <row r="23" spans="1:19" x14ac:dyDescent="0.25">
      <c r="A23" s="14">
        <v>44634</v>
      </c>
      <c r="B23" s="7">
        <v>1500</v>
      </c>
      <c r="C23" s="7">
        <v>1500</v>
      </c>
      <c r="D23" s="7">
        <v>1500</v>
      </c>
      <c r="E23" s="7">
        <v>1500</v>
      </c>
      <c r="F23" s="7">
        <v>1500</v>
      </c>
      <c r="G23" s="7">
        <v>1500</v>
      </c>
      <c r="H23" s="7">
        <v>1500</v>
      </c>
      <c r="I23" s="12">
        <f>M2*7</f>
        <v>11200</v>
      </c>
      <c r="J23" s="12">
        <f t="shared" si="1"/>
        <v>700</v>
      </c>
      <c r="K23" s="12">
        <f t="shared" ref="K23" si="10">IFERROR(SUMIF(B23:H23,"&lt;&gt;",B23:H23)/(7-COUNTBLANK(B23:H23)), 0)</f>
        <v>1500</v>
      </c>
      <c r="L23" s="12">
        <f>IFERROR(((R23*(7-COUNTBLANK(B23:H23)))-I23+J23)/3500, "Incorrect inputs for gender or calories")</f>
        <v>1.8640320000000004</v>
      </c>
      <c r="M23" s="32" t="s">
        <v>22</v>
      </c>
      <c r="N23" s="33"/>
      <c r="O23" s="33"/>
      <c r="P23" s="33"/>
      <c r="Q23" s="33"/>
      <c r="R23" s="11">
        <f>IF(M23="Sedentary (little or no exercise)",(R22*1.2),IF(M23="Lightly active (light exercise/sports 1-3 days/week",(R22*1.375),IF(M23="Moderately active (moderate exercise/sports 3-5 days/week)",(R22*1.55),IF(M23="Very active (hard exercise/sports 6-7 days a week)",(R22*1.725),IF(M23="Extra active (very hard exercise &amp; a physical job)",(R22*1.9),"Select an item from the dropdown list")))))</f>
        <v>2432.0160000000001</v>
      </c>
      <c r="S23" s="5" t="s">
        <v>50</v>
      </c>
    </row>
    <row r="24" spans="1:19" x14ac:dyDescent="0.25">
      <c r="A24" s="14">
        <v>44641</v>
      </c>
      <c r="B24" s="23">
        <v>1510</v>
      </c>
      <c r="C24" s="23">
        <v>2268.5</v>
      </c>
      <c r="D24" s="7">
        <v>1454</v>
      </c>
      <c r="E24" s="7">
        <v>1774</v>
      </c>
      <c r="F24" s="7">
        <v>2240</v>
      </c>
      <c r="G24" s="7">
        <v>1356</v>
      </c>
      <c r="H24" s="7">
        <v>1454</v>
      </c>
      <c r="I24" s="12">
        <f>M2*7</f>
        <v>11200</v>
      </c>
      <c r="J24" s="12">
        <f t="shared" si="1"/>
        <v>-856.5</v>
      </c>
      <c r="K24" s="12">
        <f>IFERROR(SUMIF(B24:H24,"&lt;&gt;",B24:H24)/(7-COUNTBLANK(B24:H24)), 0)</f>
        <v>1722.3571428571429</v>
      </c>
      <c r="L24" s="12">
        <f>IFERROR(((R23*(7-COUNTBLANK(B24:H24)))-I24+J24)/3500, "Incorrect inputs for gender or calories")</f>
        <v>1.4193177142857145</v>
      </c>
      <c r="M24" s="27" t="s">
        <v>23</v>
      </c>
      <c r="N24" s="28"/>
      <c r="O24" s="28"/>
      <c r="P24" s="28"/>
      <c r="Q24" s="28"/>
      <c r="R24" s="11">
        <f>R23</f>
        <v>2432.0160000000001</v>
      </c>
      <c r="S24" s="5" t="s">
        <v>50</v>
      </c>
    </row>
    <row r="25" spans="1:19" x14ac:dyDescent="0.25">
      <c r="A25" s="14">
        <v>44648</v>
      </c>
      <c r="B25" s="23">
        <v>1510</v>
      </c>
      <c r="C25" s="23">
        <v>2268.5</v>
      </c>
      <c r="D25" s="7">
        <v>1454</v>
      </c>
      <c r="E25" s="7">
        <v>1774</v>
      </c>
      <c r="F25" s="7">
        <v>2240</v>
      </c>
      <c r="G25" s="7">
        <v>1356</v>
      </c>
      <c r="H25" s="7">
        <v>1454</v>
      </c>
      <c r="I25" s="12">
        <f>M2*7</f>
        <v>11200</v>
      </c>
      <c r="J25" s="12">
        <f t="shared" si="1"/>
        <v>-856.5</v>
      </c>
      <c r="K25" s="12">
        <f t="shared" ref="K25" si="11">IFERROR(SUMIF(B25:H25,"&lt;&gt;",B25:H25)/(7-COUNTBLANK(B25:H25)), 0)</f>
        <v>1722.3571428571429</v>
      </c>
      <c r="L25" s="12">
        <f>IFERROR(((R23*(7-COUNTBLANK(B25:H25)))-I25+J25)/3500, "Incorrect inputs for gender or calories")</f>
        <v>1.4193177142857145</v>
      </c>
      <c r="M25" s="27" t="s">
        <v>26</v>
      </c>
      <c r="N25" s="28"/>
      <c r="O25" s="28"/>
      <c r="P25" s="28"/>
      <c r="Q25" s="28"/>
      <c r="R25" s="11">
        <f>R23-250</f>
        <v>2182.0160000000001</v>
      </c>
      <c r="S25" s="5" t="s">
        <v>50</v>
      </c>
    </row>
    <row r="26" spans="1:19" x14ac:dyDescent="0.25">
      <c r="A26" s="14">
        <v>44655</v>
      </c>
      <c r="B26" s="7">
        <v>1500</v>
      </c>
      <c r="C26" s="7">
        <v>1500</v>
      </c>
      <c r="D26" s="7">
        <v>1500</v>
      </c>
      <c r="E26" s="7">
        <v>1500</v>
      </c>
      <c r="F26" s="7">
        <v>1500</v>
      </c>
      <c r="G26" s="7">
        <v>1500</v>
      </c>
      <c r="H26" s="7">
        <v>1500</v>
      </c>
      <c r="I26" s="12">
        <f>M2*7</f>
        <v>11200</v>
      </c>
      <c r="J26" s="12">
        <f t="shared" si="1"/>
        <v>700</v>
      </c>
      <c r="K26" s="12">
        <f>IFERROR(SUMIF(B26:H26,"&lt;&gt;",B26:H26)/(7-COUNTBLANK(B26:H26)), 0)</f>
        <v>1500</v>
      </c>
      <c r="L26" s="12">
        <f>IFERROR(((R23*(7-COUNTBLANK(B26:H26)))-I26+J26)/3500, "Incorrect inputs for gender or calories")</f>
        <v>1.8640320000000004</v>
      </c>
      <c r="M26" s="27" t="s">
        <v>27</v>
      </c>
      <c r="N26" s="28"/>
      <c r="O26" s="28"/>
      <c r="P26" s="28"/>
      <c r="Q26" s="28"/>
      <c r="R26" s="11">
        <f>R23-500</f>
        <v>1932.0160000000001</v>
      </c>
      <c r="S26" s="5" t="s">
        <v>50</v>
      </c>
    </row>
    <row r="27" spans="1:19" x14ac:dyDescent="0.25">
      <c r="A27" s="14">
        <v>44662</v>
      </c>
      <c r="B27" s="7">
        <v>1500</v>
      </c>
      <c r="C27" s="7">
        <v>1500</v>
      </c>
      <c r="D27" s="7">
        <v>1500</v>
      </c>
      <c r="E27" s="7">
        <v>1500</v>
      </c>
      <c r="F27" s="7">
        <v>1500</v>
      </c>
      <c r="G27" s="7">
        <v>1500</v>
      </c>
      <c r="H27" s="7">
        <v>1500</v>
      </c>
      <c r="I27" s="12">
        <f>M2*7</f>
        <v>11200</v>
      </c>
      <c r="J27" s="12">
        <f t="shared" si="1"/>
        <v>700</v>
      </c>
      <c r="K27" s="12">
        <f t="shared" ref="K27" si="12">IFERROR(SUMIF(B27:H27,"&lt;&gt;",B27:H27)/(7-COUNTBLANK(B27:H27)), 0)</f>
        <v>1500</v>
      </c>
      <c r="L27" s="12">
        <f>IFERROR(((R23*(7-COUNTBLANK(B27:H27)))-I27+J27)/3500, "Incorrect inputs for gender or calories")</f>
        <v>1.8640320000000004</v>
      </c>
      <c r="M27" s="27" t="s">
        <v>28</v>
      </c>
      <c r="N27" s="28"/>
      <c r="O27" s="28"/>
      <c r="P27" s="28"/>
      <c r="Q27" s="28"/>
      <c r="R27" s="11">
        <f>R23-1000</f>
        <v>1432.0160000000001</v>
      </c>
      <c r="S27" s="5" t="s">
        <v>50</v>
      </c>
    </row>
  </sheetData>
  <sheetProtection algorithmName="SHA-512" hashValue="Gcf5obZj5WDerC/STR5wxicIpArvn2CW7AohuPu+aAIPoLJhsUq5mdHpi+q2aLZgF+sGft5ekzjXag1juStj0g==" saltValue="VgT4OR9YFAF4xQX9WwTH5Q==" spinCount="100000" sheet="1" objects="1" scenarios="1"/>
  <customSheetViews>
    <customSheetView guid="{812BC4F1-FFE0-4001-BED5-4866BD192F87}" topLeftCell="B1">
      <selection activeCell="G10" sqref="G10"/>
      <pageMargins left="0.7" right="0.7" top="0.75" bottom="0.75" header="0.3" footer="0.3"/>
      <pageSetup orientation="portrait" horizontalDpi="4294967293" r:id="rId1"/>
    </customSheetView>
  </customSheetViews>
  <mergeCells count="16">
    <mergeCell ref="A1:L1"/>
    <mergeCell ref="M27:Q27"/>
    <mergeCell ref="N1:O1"/>
    <mergeCell ref="N2:O2"/>
    <mergeCell ref="M22:Q22"/>
    <mergeCell ref="M23:Q23"/>
    <mergeCell ref="O20:Q20"/>
    <mergeCell ref="N21:Q21"/>
    <mergeCell ref="M17:Q17"/>
    <mergeCell ref="O18:Q18"/>
    <mergeCell ref="N3:O3"/>
    <mergeCell ref="P1:S1"/>
    <mergeCell ref="M24:Q24"/>
    <mergeCell ref="M25:Q25"/>
    <mergeCell ref="R17:S17"/>
    <mergeCell ref="M26:Q26"/>
  </mergeCells>
  <phoneticPr fontId="7" type="noConversion"/>
  <conditionalFormatting sqref="J3:L27">
    <cfRule type="cellIs" dxfId="24" priority="31" operator="lessThan">
      <formula>0</formula>
    </cfRule>
    <cfRule type="cellIs" dxfId="23" priority="32" operator="greaterThan">
      <formula>0</formula>
    </cfRule>
    <cfRule type="cellIs" dxfId="22" priority="33" operator="equal">
      <formula>0</formula>
    </cfRule>
  </conditionalFormatting>
  <conditionalFormatting sqref="R21">
    <cfRule type="containsText" dxfId="21" priority="30" operator="containsText" text="Enter M or m or F or f to indicate gender">
      <formula>NOT(ISERROR(SEARCH("Enter M or m or F or f to indicate gender",R21)))</formula>
    </cfRule>
  </conditionalFormatting>
  <conditionalFormatting sqref="N18">
    <cfRule type="cellIs" dxfId="20" priority="27" operator="greaterThan">
      <formula>0</formula>
    </cfRule>
  </conditionalFormatting>
  <conditionalFormatting sqref="N18:N20 P19">
    <cfRule type="cellIs" dxfId="19" priority="26" operator="greaterThan">
      <formula>1000</formula>
    </cfRule>
  </conditionalFormatting>
  <conditionalFormatting sqref="N18:N20 P19">
    <cfRule type="cellIs" dxfId="18" priority="25" operator="greaterThan">
      <formula>-1</formula>
    </cfRule>
  </conditionalFormatting>
  <conditionalFormatting sqref="N18:N20 P19">
    <cfRule type="cellIs" dxfId="17" priority="24" operator="lessThan">
      <formula>0</formula>
    </cfRule>
  </conditionalFormatting>
  <conditionalFormatting sqref="M22:Q22">
    <cfRule type="containsText" dxfId="16" priority="23" operator="containsText" text="Please enter numbers only for your height, weight, and age.">
      <formula>NOT(ISERROR(SEARCH("Please enter numbers only for your height, weight, and age.",M22)))</formula>
    </cfRule>
  </conditionalFormatting>
  <conditionalFormatting sqref="N2:O2">
    <cfRule type="containsText" dxfId="15" priority="20" operator="containsText" text="Enter M or m or F or f  in Q21 to indicate gender">
      <formula>NOT(ISERROR(SEARCH("Enter M or m or F or f  in Q21 to indicate gender",N2)))</formula>
    </cfRule>
  </conditionalFormatting>
  <conditionalFormatting sqref="N21:Q21">
    <cfRule type="cellIs" dxfId="14" priority="13" operator="equal">
      <formula>"M"</formula>
    </cfRule>
    <cfRule type="cellIs" dxfId="13" priority="14" operator="equal">
      <formula>"m"</formula>
    </cfRule>
    <cfRule type="cellIs" dxfId="12" priority="15" operator="equal">
      <formula>"F"</formula>
    </cfRule>
    <cfRule type="cellIs" dxfId="11" priority="16" operator="equal">
      <formula>"f"</formula>
    </cfRule>
  </conditionalFormatting>
  <conditionalFormatting sqref="M2">
    <cfRule type="cellIs" dxfId="10" priority="10" operator="lessThan">
      <formula>0</formula>
    </cfRule>
    <cfRule type="cellIs" dxfId="9" priority="11" operator="greaterThan">
      <formula>0</formula>
    </cfRule>
    <cfRule type="cellIs" dxfId="8" priority="12" operator="equal">
      <formula>0</formula>
    </cfRule>
  </conditionalFormatting>
  <conditionalFormatting sqref="B3:H27">
    <cfRule type="cellIs" dxfId="3" priority="5" operator="lessThan">
      <formula>$M$2</formula>
    </cfRule>
    <cfRule type="cellIs" dxfId="2" priority="6" operator="equal">
      <formula>$M$2</formula>
    </cfRule>
    <cfRule type="cellIs" dxfId="1" priority="7" operator="greaterThan">
      <formula>$M$2</formula>
    </cfRule>
    <cfRule type="cellIs" priority="8" operator="greaterThan">
      <formula>$M$2</formula>
    </cfRule>
    <cfRule type="cellIs" dxfId="0" priority="9" operator="greaterThan">
      <formula>"K2"</formula>
    </cfRule>
  </conditionalFormatting>
  <conditionalFormatting sqref="K3:K27">
    <cfRule type="cellIs" dxfId="7" priority="4" operator="lessThan">
      <formula>$M$2</formula>
    </cfRule>
    <cfRule type="cellIs" dxfId="6" priority="3" operator="equal">
      <formula>$M$2</formula>
    </cfRule>
    <cfRule type="cellIs" dxfId="5" priority="2" operator="greaterThan">
      <formula>$M$2</formula>
    </cfRule>
  </conditionalFormatting>
  <conditionalFormatting sqref="L3:L27">
    <cfRule type="containsText" dxfId="4" priority="1" operator="containsText" text="Incorrect inputs for gender or calories">
      <formula>NOT(ISERROR(SEARCH("Incorrect inputs for gender or calories",L3)))</formula>
    </cfRule>
  </conditionalFormatting>
  <dataValidations count="1">
    <dataValidation type="list" allowBlank="1" showInputMessage="1" showErrorMessage="1" sqref="M23:Q23" xr:uid="{0D47786F-81A7-4AD2-9E2E-80A1BA169324}">
      <formula1>"Sedentary (little or no exercise), Lightly active (light exercise/sports 1-3 days/week, Moderately active (moderate exercise/sports 3-5 days/week), Very active (hard exercise/sports 6-7 days a week), Extra active (very hard exercise &amp; a physical job)"</formula1>
    </dataValidation>
  </dataValidations>
  <pageMargins left="0.7" right="0.7" top="0.75" bottom="0.75" header="0.3" footer="0.3"/>
  <pageSetup orientation="portrait" horizontalDpi="4294967293" r:id="rId2"/>
  <ignoredErrors>
    <ignoredError sqref="L3:L27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Calorie Counter 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Z. Butz</dc:creator>
  <cp:lastModifiedBy>Jonathan Z. Butz</cp:lastModifiedBy>
  <dcterms:created xsi:type="dcterms:W3CDTF">2020-08-21T23:12:01Z</dcterms:created>
  <dcterms:modified xsi:type="dcterms:W3CDTF">2021-11-13T05:47:11Z</dcterms:modified>
</cp:coreProperties>
</file>