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.3" sheetId="1" r:id="rId3"/>
    <sheet state="visible" name="V2.4" sheetId="2" r:id="rId4"/>
    <sheet state="visible" name="Mechanical" sheetId="3" r:id="rId5"/>
    <sheet state="visible" name="V2.2" sheetId="4" r:id="rId6"/>
  </sheets>
  <definedNames/>
  <calcPr/>
</workbook>
</file>

<file path=xl/sharedStrings.xml><?xml version="1.0" encoding="utf-8"?>
<sst xmlns="http://schemas.openxmlformats.org/spreadsheetml/2006/main" count="506" uniqueCount="135">
  <si>
    <t>Qty</t>
  </si>
  <si>
    <t>Name</t>
  </si>
  <si>
    <t>Supplier</t>
  </si>
  <si>
    <t>Ordering Info</t>
  </si>
  <si>
    <t>Board</t>
  </si>
  <si>
    <t>Price ea</t>
  </si>
  <si>
    <t>Part No.</t>
  </si>
  <si>
    <t>Package</t>
  </si>
  <si>
    <t>Total Price</t>
  </si>
  <si>
    <t>TOTAL:</t>
  </si>
  <si>
    <t>Status</t>
  </si>
  <si>
    <t>Driver</t>
  </si>
  <si>
    <t>U1-U4</t>
  </si>
  <si>
    <t>2020 X Extrusions 406mm</t>
  </si>
  <si>
    <t>A4988 Breakout Module</t>
  </si>
  <si>
    <t>McMaster Carr</t>
  </si>
  <si>
    <t>N/A</t>
  </si>
  <si>
    <t>Recieved</t>
  </si>
  <si>
    <t>2020 Y Extrusions 150mm</t>
  </si>
  <si>
    <t>SV1-4</t>
  </si>
  <si>
    <t>4x1 Male Header</t>
  </si>
  <si>
    <t>Header</t>
  </si>
  <si>
    <t>Both</t>
  </si>
  <si>
    <t>CN1</t>
  </si>
  <si>
    <t>5.5mm Barrel Jack</t>
  </si>
  <si>
    <t>2020 Z Extrusions 228mm</t>
  </si>
  <si>
    <t>Arriving 3/4/19</t>
  </si>
  <si>
    <t>8x1 Female Header</t>
  </si>
  <si>
    <t>2020 Right Angle Brackets</t>
  </si>
  <si>
    <t>Amazon</t>
  </si>
  <si>
    <t>F1-F4</t>
  </si>
  <si>
    <t>PTC Resetable Fuse 60V 1A</t>
  </si>
  <si>
    <t>SMD 2920</t>
  </si>
  <si>
    <t>C1-C4</t>
  </si>
  <si>
    <t>47uF electrolytic cap</t>
  </si>
  <si>
    <t>THT</t>
  </si>
  <si>
    <t>2020 T Brackets</t>
  </si>
  <si>
    <t>SV5, SV2-9</t>
  </si>
  <si>
    <t>2x4 Male Header</t>
  </si>
  <si>
    <t>M3x12mm Screw</t>
  </si>
  <si>
    <t>Interface</t>
  </si>
  <si>
    <t>U3</t>
  </si>
  <si>
    <t>MIDI Jack</t>
  </si>
  <si>
    <t>5 DIN</t>
  </si>
  <si>
    <t>M5 Screw for V slot</t>
  </si>
  <si>
    <t>U2</t>
  </si>
  <si>
    <t>6N138 Optoisolator IC</t>
  </si>
  <si>
    <t>DIP8</t>
  </si>
  <si>
    <t>DIP8 Socket</t>
  </si>
  <si>
    <t>Already Have</t>
  </si>
  <si>
    <t>D1</t>
  </si>
  <si>
    <t>1N914 Diode</t>
  </si>
  <si>
    <t>DO-35 THT</t>
  </si>
  <si>
    <t>R1, R2</t>
  </si>
  <si>
    <t>220 ohm resistor</t>
  </si>
  <si>
    <t>Already Have in AMP lab</t>
  </si>
  <si>
    <t>R3</t>
  </si>
  <si>
    <t>4.7k resistor</t>
  </si>
  <si>
    <t xml:space="preserve">P1  </t>
  </si>
  <si>
    <t>20x2 Male Header</t>
  </si>
  <si>
    <t xml:space="preserve">C1  </t>
  </si>
  <si>
    <t>120uF electrolytic Cap</t>
  </si>
  <si>
    <t xml:space="preserve">SMD  </t>
  </si>
  <si>
    <t>C2</t>
  </si>
  <si>
    <t>470uF electrolytic Cap</t>
  </si>
  <si>
    <t>SMD</t>
  </si>
  <si>
    <t>D2</t>
  </si>
  <si>
    <t>B540C Schottky Diode</t>
  </si>
  <si>
    <t>SMD SMC</t>
  </si>
  <si>
    <t>L1</t>
  </si>
  <si>
    <t>100uH Toriodal Inductor</t>
  </si>
  <si>
    <t xml:space="preserve">U1 </t>
  </si>
  <si>
    <t>LM2576 5V Buck Regulator</t>
  </si>
  <si>
    <t>TO-263-5</t>
  </si>
  <si>
    <t>40 pin GPIO Ribbon Cable</t>
  </si>
  <si>
    <t>IDC</t>
  </si>
  <si>
    <t>2x4 IDC Connector</t>
  </si>
  <si>
    <t>DE0-nano FPGA</t>
  </si>
  <si>
    <t>Stepper Motor Driver PCB V2.3</t>
  </si>
  <si>
    <t>SeeedStudio, HASL-lead Free, 95x60mm size (leave everything else default!)</t>
  </si>
  <si>
    <t>Ordered</t>
  </si>
  <si>
    <t>M5 T-Nut for V Slot</t>
  </si>
  <si>
    <t>Interface PCB V2.3</t>
  </si>
  <si>
    <t>SeeedStudio, HASL-lead Free, 90x90mm size (leave everything else default!)</t>
  </si>
  <si>
    <t>NEMA 17 Stepper Motor</t>
  </si>
  <si>
    <t>M3 Aluminum Standoffs for PCB</t>
  </si>
  <si>
    <t>Shipped</t>
  </si>
  <si>
    <t>Ribbon Cable for IDC connectors</t>
  </si>
  <si>
    <t>Ribbon Cable</t>
  </si>
  <si>
    <t xml:space="preserve">R1 </t>
  </si>
  <si>
    <t>Ferrite Bead</t>
  </si>
  <si>
    <t>M3x5mm Screw</t>
  </si>
  <si>
    <t>12V 5A Power Supply</t>
  </si>
  <si>
    <t>Acrylic Front/Back Plate, Custom Cut</t>
  </si>
  <si>
    <t>2 in, order rest after test</t>
  </si>
  <si>
    <t>AC Power Strip for PS</t>
  </si>
  <si>
    <t>Loctite Blue 242 for screws</t>
  </si>
  <si>
    <t>Stepper Motor Driver PCB V2.4</t>
  </si>
  <si>
    <t>Interface PCB V2.4</t>
  </si>
  <si>
    <t>Arriving 3/6/19</t>
  </si>
  <si>
    <t>CN6</t>
  </si>
  <si>
    <t>2 Position Screw Terminal</t>
  </si>
  <si>
    <t>4 Position Screw Terminal</t>
  </si>
  <si>
    <t>12V 10A Power Supply</t>
  </si>
  <si>
    <t>J1</t>
  </si>
  <si>
    <t>4 Pin MINI DIN</t>
  </si>
  <si>
    <t>Mechanical</t>
  </si>
  <si>
    <t>M3 x 8 Screws</t>
  </si>
  <si>
    <t>Arriving 3/1/19</t>
  </si>
  <si>
    <t>M3 Standoff 40mm</t>
  </si>
  <si>
    <t>2020 V-Slot (1500mm each)</t>
  </si>
  <si>
    <t>M5 T-Slot Nut</t>
  </si>
  <si>
    <t>M5 x 8mm Pan Head Screw</t>
  </si>
  <si>
    <t>M3 washers</t>
  </si>
  <si>
    <t>Case</t>
  </si>
  <si>
    <t>Travel Case for Stepper Synth</t>
  </si>
  <si>
    <t>Name ***OUTDATED***</t>
  </si>
  <si>
    <t>P1-P4</t>
  </si>
  <si>
    <t>P5, P2-P9</t>
  </si>
  <si>
    <t>1x4 Male Header</t>
  </si>
  <si>
    <t>DIODE SCHOTTKY 45V 3A DO214AC</t>
  </si>
  <si>
    <t>DO214AC SMA</t>
  </si>
  <si>
    <t>U1</t>
  </si>
  <si>
    <t>5V Buck Regulator</t>
  </si>
  <si>
    <t>DO-263-5</t>
  </si>
  <si>
    <t>C1, C3</t>
  </si>
  <si>
    <t>470uF electrolytic cap</t>
  </si>
  <si>
    <t>C2, C4</t>
  </si>
  <si>
    <t>0.1uF cap</t>
  </si>
  <si>
    <t>47uH inductor</t>
  </si>
  <si>
    <t>SMD - 12mm x 12mm</t>
  </si>
  <si>
    <t>2x4 IDC Cable</t>
  </si>
  <si>
    <t>Stepper Motor Driver PCB</t>
  </si>
  <si>
    <t>SeeedStudio, HASL-lead Free</t>
  </si>
  <si>
    <t>Interface 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</si>
</sst>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>
      <b/>
      <sz val="14.0"/>
    </font>
    <font/>
    <font>
      <u/>
      <color rgb="FF0000FF"/>
    </font>
    <font>
      <u/>
      <color rgb="FF0000FF"/>
    </font>
    <font>
      <u/>
      <sz val="10.0"/>
      <color rgb="FF1155CC"/>
      <name val="Arial"/>
    </font>
    <font>
      <u/>
      <color rgb="FF1155CC"/>
      <name val="Arial"/>
    </font>
    <font>
      <u/>
      <color rgb="FF0000FF"/>
    </font>
    <font>
      <sz val="8.0"/>
    </font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0" xfId="0" applyFont="1"/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12.0"/>
    <col customWidth="1" min="3" max="3" width="25.86"/>
    <col customWidth="1" min="4" max="4" width="43.43"/>
    <col customWidth="1" min="5" max="5" width="23.29"/>
    <col customWidth="1" min="6" max="6" width="59.14"/>
    <col customWidth="1" min="7" max="7" width="12.71"/>
  </cols>
  <sheetData>
    <row r="1" ht="33.75" customHeight="1">
      <c r="A1" s="1" t="s">
        <v>0</v>
      </c>
      <c r="B1" s="1" t="s">
        <v>4</v>
      </c>
      <c r="C1" s="1" t="s">
        <v>6</v>
      </c>
      <c r="D1" s="1" t="s">
        <v>1</v>
      </c>
      <c r="E1" s="1" t="s">
        <v>7</v>
      </c>
      <c r="F1" s="1" t="s">
        <v>3</v>
      </c>
      <c r="G1" s="2" t="s">
        <v>5</v>
      </c>
      <c r="H1" s="1" t="s">
        <v>8</v>
      </c>
      <c r="I1" s="1" t="s">
        <v>9</v>
      </c>
      <c r="J1" s="3">
        <f>SUM(H2:H61)</f>
        <v>787.3714</v>
      </c>
      <c r="K1" s="4"/>
      <c r="L1" s="1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32.0</v>
      </c>
      <c r="B2" s="5" t="s">
        <v>11</v>
      </c>
      <c r="C2" s="5" t="s">
        <v>12</v>
      </c>
      <c r="D2" s="5" t="s">
        <v>14</v>
      </c>
      <c r="E2" s="5" t="s">
        <v>16</v>
      </c>
      <c r="F2" s="8" t="str">
        <f>HYPERLINK("http://a.co/d/6b15mfi","Amazon, 7 sets of 5")</f>
        <v>Amazon, 7 sets of 5</v>
      </c>
      <c r="G2" s="7">
        <v>1.776</v>
      </c>
      <c r="H2" s="9">
        <f t="shared" ref="H2:H23" si="1">SUM(G2*A2)</f>
        <v>56.832</v>
      </c>
      <c r="I2" s="6" t="str">
        <f>HYPERLINK("https://www.pololu.com/product/1182","Altenative is Pololu @ $4.49 each")</f>
        <v>Altenative is Pololu @ $4.49 each</v>
      </c>
      <c r="L2" s="5" t="s">
        <v>17</v>
      </c>
    </row>
    <row r="3">
      <c r="A3" s="5">
        <v>9.0</v>
      </c>
      <c r="B3" s="5" t="s">
        <v>22</v>
      </c>
      <c r="C3" s="5" t="s">
        <v>23</v>
      </c>
      <c r="D3" s="5" t="s">
        <v>24</v>
      </c>
      <c r="E3" s="5" t="s">
        <v>16</v>
      </c>
      <c r="F3" s="6" t="str">
        <f>HYPERLINK("https://www.digikey.com/short/p74p9c","CP-102AH-ND (get 10)")</f>
        <v>CP-102AH-ND (get 10)</v>
      </c>
      <c r="G3" s="7">
        <v>0.599</v>
      </c>
      <c r="H3" s="9">
        <f t="shared" si="1"/>
        <v>5.391</v>
      </c>
      <c r="L3" s="5" t="s">
        <v>17</v>
      </c>
    </row>
    <row r="4">
      <c r="A4" s="5">
        <v>32.0</v>
      </c>
      <c r="B4" s="5" t="s">
        <v>11</v>
      </c>
      <c r="C4" s="5" t="s">
        <v>19</v>
      </c>
      <c r="D4" s="5" t="s">
        <v>20</v>
      </c>
      <c r="E4" s="5" t="s">
        <v>21</v>
      </c>
      <c r="F4" s="6" t="str">
        <f>HYPERLINK("https://www.digikey.com/short/j1r95w","732-5317-ND")</f>
        <v>732-5317-ND</v>
      </c>
      <c r="G4" s="7">
        <v>0.1272</v>
      </c>
      <c r="H4" s="9">
        <f t="shared" si="1"/>
        <v>4.0704</v>
      </c>
      <c r="L4" s="5" t="s">
        <v>17</v>
      </c>
    </row>
    <row r="5">
      <c r="A5" s="5">
        <v>64.0</v>
      </c>
      <c r="B5" s="5" t="s">
        <v>11</v>
      </c>
      <c r="C5" s="5" t="s">
        <v>16</v>
      </c>
      <c r="D5" s="5" t="s">
        <v>27</v>
      </c>
      <c r="E5" s="5" t="s">
        <v>21</v>
      </c>
      <c r="F5" s="6" t="str">
        <f>HYPERLINK("https://www.digikey.com/short/j1r9qq","S7006-ND")</f>
        <v>S7006-ND</v>
      </c>
      <c r="G5" s="7">
        <v>0.608</v>
      </c>
      <c r="H5" s="9">
        <f t="shared" si="1"/>
        <v>38.912</v>
      </c>
      <c r="L5" s="5" t="s">
        <v>17</v>
      </c>
    </row>
    <row r="6">
      <c r="A6" s="5">
        <v>32.0</v>
      </c>
      <c r="B6" s="5" t="s">
        <v>11</v>
      </c>
      <c r="C6" s="5" t="s">
        <v>30</v>
      </c>
      <c r="D6" s="5" t="s">
        <v>31</v>
      </c>
      <c r="E6" s="5" t="s">
        <v>32</v>
      </c>
      <c r="F6" s="6" t="str">
        <f>HYPERLINK("https://www.digikey.com/short/pch2dd","507-2070-1-ND")</f>
        <v>507-2070-1-ND</v>
      </c>
      <c r="G6" s="7">
        <v>0.476</v>
      </c>
      <c r="H6" s="9">
        <f t="shared" si="1"/>
        <v>15.232</v>
      </c>
      <c r="L6" s="5" t="s">
        <v>17</v>
      </c>
    </row>
    <row r="7">
      <c r="A7" s="5">
        <v>32.0</v>
      </c>
      <c r="B7" s="5" t="s">
        <v>11</v>
      </c>
      <c r="C7" s="5" t="s">
        <v>33</v>
      </c>
      <c r="D7" s="5" t="s">
        <v>34</v>
      </c>
      <c r="E7" s="5" t="s">
        <v>35</v>
      </c>
      <c r="F7" s="6" t="str">
        <f>HYPERLINK("https://www.digikey.com/short/pchrdr","493-14555-1-ND")</f>
        <v>493-14555-1-ND</v>
      </c>
      <c r="G7" s="7">
        <v>0.378</v>
      </c>
      <c r="H7" s="9">
        <f t="shared" si="1"/>
        <v>12.096</v>
      </c>
      <c r="L7" s="5" t="s">
        <v>17</v>
      </c>
    </row>
    <row r="8">
      <c r="A8" s="5">
        <v>16.0</v>
      </c>
      <c r="B8" s="5" t="s">
        <v>22</v>
      </c>
      <c r="C8" s="5" t="s">
        <v>37</v>
      </c>
      <c r="D8" s="5" t="s">
        <v>38</v>
      </c>
      <c r="E8" s="5" t="s">
        <v>21</v>
      </c>
      <c r="F8" s="6" t="str">
        <f>HYPERLINK("https://www.digikey.com/short/p7mp47","952-3276-ND")</f>
        <v>952-3276-ND</v>
      </c>
      <c r="G8" s="7">
        <v>0.319</v>
      </c>
      <c r="H8" s="9">
        <f t="shared" si="1"/>
        <v>5.104</v>
      </c>
      <c r="L8" s="5" t="s">
        <v>17</v>
      </c>
    </row>
    <row r="9">
      <c r="A9" s="5">
        <v>1.0</v>
      </c>
      <c r="B9" s="5" t="s">
        <v>40</v>
      </c>
      <c r="C9" s="5" t="s">
        <v>41</v>
      </c>
      <c r="D9" s="5" t="s">
        <v>42</v>
      </c>
      <c r="E9" s="5" t="s">
        <v>43</v>
      </c>
      <c r="F9" s="11" t="str">
        <f>HYPERLINK("https://www.digikey.com/short/pch9p7","CP-2350-ND")</f>
        <v>CP-2350-ND</v>
      </c>
      <c r="G9" s="7">
        <v>1.96</v>
      </c>
      <c r="H9" s="9">
        <f t="shared" si="1"/>
        <v>1.96</v>
      </c>
      <c r="L9" s="5" t="s">
        <v>17</v>
      </c>
    </row>
    <row r="10">
      <c r="A10" s="5">
        <v>1.0</v>
      </c>
      <c r="B10" s="5" t="s">
        <v>40</v>
      </c>
      <c r="C10" s="5" t="s">
        <v>45</v>
      </c>
      <c r="D10" s="5" t="s">
        <v>46</v>
      </c>
      <c r="E10" s="5" t="s">
        <v>47</v>
      </c>
      <c r="F10" s="6" t="str">
        <f>HYPERLINK("https://www.digikey.com/short/pch9pf","160-1795-ND")</f>
        <v>160-1795-ND</v>
      </c>
      <c r="G10" s="7">
        <v>0.81</v>
      </c>
      <c r="H10" s="9">
        <f t="shared" si="1"/>
        <v>0.81</v>
      </c>
      <c r="L10" s="5" t="s">
        <v>17</v>
      </c>
    </row>
    <row r="11">
      <c r="A11" s="5">
        <v>1.0</v>
      </c>
      <c r="B11" s="5" t="s">
        <v>40</v>
      </c>
      <c r="C11" s="5" t="s">
        <v>45</v>
      </c>
      <c r="D11" s="5" t="s">
        <v>48</v>
      </c>
      <c r="E11" s="5" t="s">
        <v>47</v>
      </c>
      <c r="F11" s="12" t="str">
        <f>HYPERLINK("https://www.digikey.com/short/pch9mn","AE9986-ND")</f>
        <v>AE9986-ND</v>
      </c>
      <c r="G11" s="7">
        <v>0.18</v>
      </c>
      <c r="H11" s="9">
        <f t="shared" si="1"/>
        <v>0.18</v>
      </c>
      <c r="L11" s="5" t="s">
        <v>17</v>
      </c>
    </row>
    <row r="12">
      <c r="A12" s="5">
        <v>1.0</v>
      </c>
      <c r="B12" s="5" t="s">
        <v>40</v>
      </c>
      <c r="C12" s="5" t="s">
        <v>50</v>
      </c>
      <c r="D12" s="5" t="s">
        <v>51</v>
      </c>
      <c r="E12" s="5" t="s">
        <v>52</v>
      </c>
      <c r="F12" s="6" t="str">
        <f>HYPERLINK("https://www.digikey.com/short/pch9zj","1N914FS-ND")</f>
        <v>1N914FS-ND</v>
      </c>
      <c r="G12" s="7">
        <v>0.1</v>
      </c>
      <c r="H12" s="9">
        <f t="shared" si="1"/>
        <v>0.1</v>
      </c>
      <c r="L12" s="5" t="s">
        <v>17</v>
      </c>
    </row>
    <row r="13">
      <c r="A13" s="5">
        <v>2.0</v>
      </c>
      <c r="B13" s="5" t="s">
        <v>40</v>
      </c>
      <c r="C13" s="5" t="s">
        <v>53</v>
      </c>
      <c r="D13" s="5" t="s">
        <v>54</v>
      </c>
      <c r="E13" s="5" t="s">
        <v>35</v>
      </c>
      <c r="F13" s="10" t="s">
        <v>55</v>
      </c>
      <c r="G13" s="7">
        <v>0.0</v>
      </c>
      <c r="H13" s="9">
        <f t="shared" si="1"/>
        <v>0</v>
      </c>
      <c r="L13" s="5" t="s">
        <v>49</v>
      </c>
    </row>
    <row r="14">
      <c r="A14" s="5">
        <v>1.0</v>
      </c>
      <c r="B14" s="5" t="s">
        <v>40</v>
      </c>
      <c r="C14" s="5" t="s">
        <v>56</v>
      </c>
      <c r="D14" s="5" t="s">
        <v>57</v>
      </c>
      <c r="E14" s="5" t="s">
        <v>35</v>
      </c>
      <c r="F14" s="10" t="s">
        <v>55</v>
      </c>
      <c r="G14" s="7">
        <v>0.0</v>
      </c>
      <c r="H14" s="9">
        <f t="shared" si="1"/>
        <v>0</v>
      </c>
      <c r="L14" s="5" t="s">
        <v>49</v>
      </c>
    </row>
    <row r="15">
      <c r="A15" s="5">
        <v>1.0</v>
      </c>
      <c r="B15" s="5" t="s">
        <v>40</v>
      </c>
      <c r="C15" s="5" t="s">
        <v>58</v>
      </c>
      <c r="D15" s="5" t="s">
        <v>59</v>
      </c>
      <c r="E15" s="5" t="s">
        <v>21</v>
      </c>
      <c r="F15" s="6" t="str">
        <f>HYPERLINK("https://www.digikey.com/short/p7m2t8","732-5310-ND")</f>
        <v>732-5310-ND</v>
      </c>
      <c r="G15" s="7">
        <v>1.89</v>
      </c>
      <c r="H15" s="9">
        <f t="shared" si="1"/>
        <v>1.89</v>
      </c>
      <c r="L15" s="5" t="s">
        <v>17</v>
      </c>
    </row>
    <row r="16">
      <c r="A16" s="5">
        <v>1.0</v>
      </c>
      <c r="B16" s="5" t="s">
        <v>40</v>
      </c>
      <c r="C16" s="5" t="s">
        <v>60</v>
      </c>
      <c r="D16" s="5" t="s">
        <v>61</v>
      </c>
      <c r="E16" s="5" t="s">
        <v>62</v>
      </c>
      <c r="F16" s="6" t="str">
        <f>HYPERLINK("https://www.digikey.com/short/p7mjtn","P16498CT-ND")</f>
        <v>P16498CT-ND</v>
      </c>
      <c r="G16" s="7">
        <v>1.36</v>
      </c>
      <c r="H16" s="9">
        <f t="shared" si="1"/>
        <v>1.36</v>
      </c>
      <c r="L16" s="5" t="s">
        <v>17</v>
      </c>
    </row>
    <row r="17">
      <c r="A17" s="5">
        <v>1.0</v>
      </c>
      <c r="B17" s="5" t="s">
        <v>40</v>
      </c>
      <c r="C17" s="5" t="s">
        <v>63</v>
      </c>
      <c r="D17" s="5" t="s">
        <v>64</v>
      </c>
      <c r="E17" s="5" t="s">
        <v>65</v>
      </c>
      <c r="F17" s="6" t="str">
        <f>HYPERLINK("https://www.digikey.com/short/p7mjtc","493-2252-1-ND")</f>
        <v>493-2252-1-ND</v>
      </c>
      <c r="G17" s="7">
        <v>0.68</v>
      </c>
      <c r="H17" s="9">
        <f t="shared" si="1"/>
        <v>0.68</v>
      </c>
      <c r="L17" s="5" t="s">
        <v>17</v>
      </c>
    </row>
    <row r="18">
      <c r="A18" s="5">
        <v>1.0</v>
      </c>
      <c r="B18" s="5" t="s">
        <v>40</v>
      </c>
      <c r="C18" s="5" t="s">
        <v>66</v>
      </c>
      <c r="D18" s="5" t="s">
        <v>67</v>
      </c>
      <c r="E18" s="5" t="s">
        <v>68</v>
      </c>
      <c r="F18" s="6" t="str">
        <f>HYPERLINK("https://www.digikey.com/short/p7mjcv","B540C-FDICT-ND")</f>
        <v>B540C-FDICT-ND</v>
      </c>
      <c r="G18" s="7">
        <v>0.55</v>
      </c>
      <c r="H18" s="9">
        <f t="shared" si="1"/>
        <v>0.55</v>
      </c>
      <c r="L18" s="5" t="s">
        <v>17</v>
      </c>
    </row>
    <row r="19">
      <c r="A19" s="5">
        <v>1.0</v>
      </c>
      <c r="B19" s="5" t="s">
        <v>40</v>
      </c>
      <c r="C19" s="5" t="s">
        <v>69</v>
      </c>
      <c r="D19" s="5" t="s">
        <v>70</v>
      </c>
      <c r="E19" s="5" t="s">
        <v>65</v>
      </c>
      <c r="F19" s="6" t="str">
        <f>HYPERLINK("https://www.digikey.com/short/p7mjcz","M8767-ND")</f>
        <v>M8767-ND</v>
      </c>
      <c r="G19" s="7">
        <v>2.96</v>
      </c>
      <c r="H19" s="9">
        <f t="shared" si="1"/>
        <v>2.96</v>
      </c>
      <c r="L19" s="5" t="s">
        <v>17</v>
      </c>
    </row>
    <row r="20">
      <c r="A20" s="5">
        <v>1.0</v>
      </c>
      <c r="B20" s="5" t="s">
        <v>40</v>
      </c>
      <c r="C20" s="5" t="s">
        <v>71</v>
      </c>
      <c r="D20" s="5" t="s">
        <v>72</v>
      </c>
      <c r="E20" s="5" t="s">
        <v>73</v>
      </c>
      <c r="F20" s="6" t="str">
        <f>HYPERLINK("https://www.digikey.com/short/p7m81t","LM2576SX-5.0/NOPBCT-ND")</f>
        <v>LM2576SX-5.0/NOPBCT-ND</v>
      </c>
      <c r="G20" s="7">
        <v>2.86</v>
      </c>
      <c r="H20" s="9">
        <f t="shared" si="1"/>
        <v>2.86</v>
      </c>
      <c r="L20" s="5" t="s">
        <v>17</v>
      </c>
    </row>
    <row r="21">
      <c r="A21" s="5">
        <v>1.0</v>
      </c>
      <c r="B21" s="5" t="s">
        <v>40</v>
      </c>
      <c r="C21" s="5" t="s">
        <v>16</v>
      </c>
      <c r="D21" s="5" t="s">
        <v>74</v>
      </c>
      <c r="E21" s="5" t="s">
        <v>75</v>
      </c>
      <c r="F21" s="6" t="str">
        <f>HYPERLINK("https://www.adafruit.com/product/1988","Adafruit")</f>
        <v>Adafruit</v>
      </c>
      <c r="G21" s="7">
        <v>2.95</v>
      </c>
      <c r="H21" s="9">
        <f t="shared" si="1"/>
        <v>2.95</v>
      </c>
      <c r="L21" s="5" t="s">
        <v>17</v>
      </c>
    </row>
    <row r="22">
      <c r="A22" s="5">
        <v>16.0</v>
      </c>
      <c r="B22" s="5" t="s">
        <v>22</v>
      </c>
      <c r="C22" s="5" t="s">
        <v>16</v>
      </c>
      <c r="D22" s="5" t="s">
        <v>76</v>
      </c>
      <c r="E22" s="5" t="s">
        <v>75</v>
      </c>
      <c r="F22" s="13" t="str">
        <f>HYPERLINK("https://www.mouser.com/ProductDetail/3M-Electronic-Solutions-Division/89108-0001?qs=NQMal8mNAAtwwm1w8wD94g%3d%3d#.XDd-C1DVFrs.link","517-89108-0001")</f>
        <v>517-89108-0001</v>
      </c>
      <c r="G22" s="7">
        <v>0.837</v>
      </c>
      <c r="H22" s="9">
        <f t="shared" si="1"/>
        <v>13.392</v>
      </c>
      <c r="L22" s="5" t="s">
        <v>17</v>
      </c>
    </row>
    <row r="23">
      <c r="A23" s="5">
        <v>1.0</v>
      </c>
      <c r="B23" s="5" t="s">
        <v>40</v>
      </c>
      <c r="C23" s="5" t="s">
        <v>16</v>
      </c>
      <c r="D23" s="5" t="s">
        <v>77</v>
      </c>
      <c r="E23" s="5" t="s">
        <v>16</v>
      </c>
      <c r="F23" s="6" t="str">
        <f>HYPERLINK("https://www.adafruit.com/product/451?gclid=Cj0KCQiAxZPgBRCmARIsAOrTHSZrM0Mcw3Dni_uPmEcOd3M86RycFgT_3R4iOGx9r_cGBg3R-jBJDZ4aAvytEALw_wcB","Adafruit, (Already Have!)")</f>
        <v>Adafruit, (Already Have!)</v>
      </c>
      <c r="G23" s="7">
        <v>99.0</v>
      </c>
      <c r="H23" s="9">
        <f t="shared" si="1"/>
        <v>99</v>
      </c>
      <c r="L23" s="5" t="s">
        <v>49</v>
      </c>
    </row>
    <row r="24">
      <c r="A24" s="5">
        <v>10.0</v>
      </c>
      <c r="B24" s="5" t="s">
        <v>11</v>
      </c>
      <c r="C24" s="5" t="s">
        <v>16</v>
      </c>
      <c r="D24" s="5" t="s">
        <v>78</v>
      </c>
      <c r="E24" s="5" t="s">
        <v>16</v>
      </c>
      <c r="F24" s="14" t="s">
        <v>79</v>
      </c>
      <c r="G24" s="7">
        <v>12.9</v>
      </c>
      <c r="H24" s="7">
        <v>12.9</v>
      </c>
      <c r="L24" s="5" t="s">
        <v>80</v>
      </c>
    </row>
    <row r="25">
      <c r="A25" s="5">
        <v>10.0</v>
      </c>
      <c r="B25" s="5" t="s">
        <v>40</v>
      </c>
      <c r="C25" s="5" t="s">
        <v>16</v>
      </c>
      <c r="D25" s="5" t="s">
        <v>82</v>
      </c>
      <c r="E25" s="5" t="s">
        <v>16</v>
      </c>
      <c r="F25" s="14" t="s">
        <v>83</v>
      </c>
      <c r="G25" s="7">
        <v>12.9</v>
      </c>
      <c r="H25" s="7">
        <v>12.9</v>
      </c>
      <c r="L25" s="5" t="s">
        <v>80</v>
      </c>
    </row>
    <row r="26">
      <c r="A26" s="5">
        <v>32.0</v>
      </c>
      <c r="B26" s="5" t="s">
        <v>11</v>
      </c>
      <c r="C26" s="5" t="s">
        <v>16</v>
      </c>
      <c r="D26" s="5" t="s">
        <v>84</v>
      </c>
      <c r="E26" s="5" t="s">
        <v>16</v>
      </c>
      <c r="F26" s="6" t="str">
        <f>HYPERLINK("https://www.omc-stepperonline.com/17hs15-1504s1.html#.XDeEUXQHGLE.link","SteppersOnline, 17HS15-1504S1")</f>
        <v>SteppersOnline, 17HS15-1504S1</v>
      </c>
      <c r="G26" s="7">
        <v>6.43</v>
      </c>
      <c r="H26" s="9">
        <f t="shared" ref="H26:H61" si="2">SUM(G26*A26)</f>
        <v>205.76</v>
      </c>
      <c r="L26" s="5" t="s">
        <v>86</v>
      </c>
    </row>
    <row r="27">
      <c r="A27" s="5">
        <v>0.0</v>
      </c>
      <c r="B27" s="5" t="s">
        <v>22</v>
      </c>
      <c r="C27" s="5" t="s">
        <v>16</v>
      </c>
      <c r="D27" s="5" t="s">
        <v>87</v>
      </c>
      <c r="E27" s="5" t="s">
        <v>88</v>
      </c>
      <c r="F27" s="5" t="s">
        <v>55</v>
      </c>
      <c r="G27" s="7">
        <v>0.0</v>
      </c>
      <c r="H27" s="9">
        <f t="shared" si="2"/>
        <v>0</v>
      </c>
      <c r="L27" s="5" t="s">
        <v>49</v>
      </c>
    </row>
    <row r="28">
      <c r="A28" s="5">
        <v>8.0</v>
      </c>
      <c r="B28" s="5" t="s">
        <v>11</v>
      </c>
      <c r="C28" s="5" t="s">
        <v>89</v>
      </c>
      <c r="D28" s="5" t="s">
        <v>90</v>
      </c>
      <c r="E28" s="5" t="s">
        <v>35</v>
      </c>
      <c r="F28" s="6" t="str">
        <f>HYPERLINK("https://www.digikey.com/short/p7mmtn","240-2512-1-ND")</f>
        <v>240-2512-1-ND</v>
      </c>
      <c r="G28" s="7">
        <v>0.1</v>
      </c>
      <c r="H28" s="9">
        <f t="shared" si="2"/>
        <v>0.8</v>
      </c>
      <c r="L28" s="5" t="s">
        <v>17</v>
      </c>
    </row>
    <row r="29">
      <c r="A29" s="5">
        <v>9.0</v>
      </c>
      <c r="B29" s="5" t="s">
        <v>22</v>
      </c>
      <c r="C29" s="5" t="s">
        <v>16</v>
      </c>
      <c r="D29" s="5" t="s">
        <v>92</v>
      </c>
      <c r="E29" s="5" t="s">
        <v>16</v>
      </c>
      <c r="F29" s="6" t="str">
        <f>HYPERLINK("https://www.digikey.com/short/pch9tn","102-3809-ND")</f>
        <v>102-3809-ND</v>
      </c>
      <c r="G29" s="7">
        <v>28.368</v>
      </c>
      <c r="H29" s="9">
        <f t="shared" si="2"/>
        <v>255.312</v>
      </c>
      <c r="L29" s="5" t="s">
        <v>94</v>
      </c>
    </row>
    <row r="30">
      <c r="A30" s="5">
        <v>1.0</v>
      </c>
      <c r="B30" s="5" t="s">
        <v>22</v>
      </c>
      <c r="C30" s="5" t="s">
        <v>16</v>
      </c>
      <c r="D30" s="5" t="s">
        <v>95</v>
      </c>
      <c r="E30" s="5" t="s">
        <v>16</v>
      </c>
      <c r="F30" s="6" t="str">
        <f>HYPERLINK("https://www.digikey.com/short/p7m0c8","TL1745-ND")</f>
        <v>TL1745-ND</v>
      </c>
      <c r="G30" s="7">
        <v>33.37</v>
      </c>
      <c r="H30" s="9">
        <f t="shared" si="2"/>
        <v>33.37</v>
      </c>
      <c r="L30" s="5" t="s">
        <v>80</v>
      </c>
    </row>
    <row r="31">
      <c r="G31" s="9"/>
      <c r="H31" s="9">
        <f t="shared" si="2"/>
        <v>0</v>
      </c>
    </row>
    <row r="32">
      <c r="G32" s="9"/>
      <c r="H32" s="9">
        <f t="shared" si="2"/>
        <v>0</v>
      </c>
    </row>
    <row r="33">
      <c r="G33" s="9"/>
      <c r="H33" s="9">
        <f t="shared" si="2"/>
        <v>0</v>
      </c>
    </row>
    <row r="34">
      <c r="G34" s="9"/>
      <c r="H34" s="9">
        <f t="shared" si="2"/>
        <v>0</v>
      </c>
    </row>
    <row r="35">
      <c r="G35" s="9"/>
      <c r="H35" s="9">
        <f t="shared" si="2"/>
        <v>0</v>
      </c>
    </row>
    <row r="36">
      <c r="G36" s="9"/>
      <c r="H36" s="9">
        <f t="shared" si="2"/>
        <v>0</v>
      </c>
    </row>
    <row r="37">
      <c r="G37" s="9"/>
      <c r="H37" s="9">
        <f t="shared" si="2"/>
        <v>0</v>
      </c>
    </row>
    <row r="38">
      <c r="G38" s="9"/>
      <c r="H38" s="9">
        <f t="shared" si="2"/>
        <v>0</v>
      </c>
    </row>
    <row r="39">
      <c r="G39" s="9"/>
      <c r="H39" s="9">
        <f t="shared" si="2"/>
        <v>0</v>
      </c>
    </row>
    <row r="40">
      <c r="G40" s="9"/>
      <c r="H40" s="9">
        <f t="shared" si="2"/>
        <v>0</v>
      </c>
    </row>
    <row r="41">
      <c r="G41" s="9"/>
      <c r="H41" s="9">
        <f t="shared" si="2"/>
        <v>0</v>
      </c>
    </row>
    <row r="42">
      <c r="G42" s="9"/>
      <c r="H42" s="9">
        <f t="shared" si="2"/>
        <v>0</v>
      </c>
    </row>
    <row r="43">
      <c r="G43" s="9"/>
      <c r="H43" s="9">
        <f t="shared" si="2"/>
        <v>0</v>
      </c>
    </row>
    <row r="44">
      <c r="G44" s="9"/>
      <c r="H44" s="9">
        <f t="shared" si="2"/>
        <v>0</v>
      </c>
    </row>
    <row r="45">
      <c r="G45" s="9"/>
      <c r="H45" s="9">
        <f t="shared" si="2"/>
        <v>0</v>
      </c>
    </row>
    <row r="46">
      <c r="G46" s="9"/>
      <c r="H46" s="9">
        <f t="shared" si="2"/>
        <v>0</v>
      </c>
    </row>
    <row r="47">
      <c r="G47" s="9"/>
      <c r="H47" s="9">
        <f t="shared" si="2"/>
        <v>0</v>
      </c>
    </row>
    <row r="48">
      <c r="G48" s="9"/>
      <c r="H48" s="9">
        <f t="shared" si="2"/>
        <v>0</v>
      </c>
    </row>
    <row r="49">
      <c r="G49" s="9"/>
      <c r="H49" s="9">
        <f t="shared" si="2"/>
        <v>0</v>
      </c>
    </row>
    <row r="50">
      <c r="G50" s="9"/>
      <c r="H50" s="9">
        <f t="shared" si="2"/>
        <v>0</v>
      </c>
    </row>
    <row r="51">
      <c r="G51" s="9"/>
      <c r="H51" s="9">
        <f t="shared" si="2"/>
        <v>0</v>
      </c>
    </row>
    <row r="52">
      <c r="G52" s="9"/>
      <c r="H52" s="9">
        <f t="shared" si="2"/>
        <v>0</v>
      </c>
    </row>
    <row r="53">
      <c r="G53" s="9"/>
      <c r="H53" s="9">
        <f t="shared" si="2"/>
        <v>0</v>
      </c>
    </row>
    <row r="54">
      <c r="G54" s="9"/>
      <c r="H54" s="9">
        <f t="shared" si="2"/>
        <v>0</v>
      </c>
    </row>
    <row r="55">
      <c r="G55" s="9"/>
      <c r="H55" s="9">
        <f t="shared" si="2"/>
        <v>0</v>
      </c>
    </row>
    <row r="56">
      <c r="G56" s="9"/>
      <c r="H56" s="9">
        <f t="shared" si="2"/>
        <v>0</v>
      </c>
    </row>
    <row r="57">
      <c r="G57" s="9"/>
      <c r="H57" s="9">
        <f t="shared" si="2"/>
        <v>0</v>
      </c>
    </row>
    <row r="58">
      <c r="G58" s="9"/>
      <c r="H58" s="9">
        <f t="shared" si="2"/>
        <v>0</v>
      </c>
    </row>
    <row r="59">
      <c r="G59" s="9"/>
      <c r="H59" s="9">
        <f t="shared" si="2"/>
        <v>0</v>
      </c>
    </row>
    <row r="60">
      <c r="G60" s="9"/>
      <c r="H60" s="9">
        <f t="shared" si="2"/>
        <v>0</v>
      </c>
    </row>
    <row r="61">
      <c r="G61" s="9"/>
      <c r="H61" s="9">
        <f t="shared" si="2"/>
        <v>0</v>
      </c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  <row r="1001">
      <c r="G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12.0"/>
    <col customWidth="1" min="3" max="3" width="25.86"/>
    <col customWidth="1" min="4" max="4" width="43.43"/>
    <col customWidth="1" min="5" max="5" width="23.29"/>
    <col customWidth="1" min="6" max="6" width="59.14"/>
    <col customWidth="1" min="7" max="7" width="12.71"/>
  </cols>
  <sheetData>
    <row r="1" ht="33.75" customHeight="1">
      <c r="A1" s="1" t="s">
        <v>0</v>
      </c>
      <c r="B1" s="1" t="s">
        <v>4</v>
      </c>
      <c r="C1" s="1" t="s">
        <v>6</v>
      </c>
      <c r="D1" s="1" t="s">
        <v>1</v>
      </c>
      <c r="E1" s="1" t="s">
        <v>7</v>
      </c>
      <c r="F1" s="1" t="s">
        <v>3</v>
      </c>
      <c r="G1" s="2" t="s">
        <v>5</v>
      </c>
      <c r="H1" s="1" t="s">
        <v>8</v>
      </c>
      <c r="I1" s="1" t="s">
        <v>9</v>
      </c>
      <c r="J1" s="3">
        <f>SUM(H2:H55)</f>
        <v>809.8284</v>
      </c>
      <c r="K1" s="4"/>
      <c r="L1" s="1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32.0</v>
      </c>
      <c r="B2" s="5" t="s">
        <v>11</v>
      </c>
      <c r="C2" s="5" t="s">
        <v>12</v>
      </c>
      <c r="D2" s="5" t="s">
        <v>14</v>
      </c>
      <c r="E2" s="5" t="s">
        <v>16</v>
      </c>
      <c r="F2" s="8" t="str">
        <f>HYPERLINK("http://a.co/d/6b15mfi","B01FFGAKK8")</f>
        <v>B01FFGAKK8</v>
      </c>
      <c r="G2" s="7">
        <v>1.776</v>
      </c>
      <c r="H2" s="9">
        <f t="shared" ref="H2:H22" si="1">SUM(G2*A2)</f>
        <v>56.832</v>
      </c>
      <c r="I2" s="10"/>
      <c r="L2" s="5" t="s">
        <v>17</v>
      </c>
    </row>
    <row r="3">
      <c r="A3" s="5">
        <v>32.0</v>
      </c>
      <c r="B3" s="5" t="s">
        <v>11</v>
      </c>
      <c r="C3" s="5" t="s">
        <v>19</v>
      </c>
      <c r="D3" s="5" t="s">
        <v>20</v>
      </c>
      <c r="E3" s="5" t="s">
        <v>21</v>
      </c>
      <c r="F3" s="6" t="str">
        <f>HYPERLINK("https://www.digikey.com/short/j1r95w","732-5317-ND")</f>
        <v>732-5317-ND</v>
      </c>
      <c r="G3" s="7">
        <v>0.1272</v>
      </c>
      <c r="H3" s="9">
        <f t="shared" si="1"/>
        <v>4.0704</v>
      </c>
      <c r="L3" s="5" t="s">
        <v>26</v>
      </c>
    </row>
    <row r="4">
      <c r="A4" s="5">
        <v>64.0</v>
      </c>
      <c r="B4" s="5" t="s">
        <v>11</v>
      </c>
      <c r="C4" s="5" t="s">
        <v>16</v>
      </c>
      <c r="D4" s="5" t="s">
        <v>27</v>
      </c>
      <c r="E4" s="5" t="s">
        <v>21</v>
      </c>
      <c r="F4" s="6" t="str">
        <f>HYPERLINK("https://www.digikey.com/short/j1r9qq","S7006-ND")</f>
        <v>S7006-ND</v>
      </c>
      <c r="G4" s="7">
        <v>0.608</v>
      </c>
      <c r="H4" s="9">
        <f t="shared" si="1"/>
        <v>38.912</v>
      </c>
      <c r="L4" s="5" t="s">
        <v>26</v>
      </c>
    </row>
    <row r="5">
      <c r="A5" s="5">
        <v>32.0</v>
      </c>
      <c r="B5" s="5" t="s">
        <v>11</v>
      </c>
      <c r="C5" s="5" t="s">
        <v>30</v>
      </c>
      <c r="D5" s="5" t="s">
        <v>31</v>
      </c>
      <c r="E5" s="5" t="s">
        <v>32</v>
      </c>
      <c r="F5" s="6" t="str">
        <f>HYPERLINK("https://www.digikey.com/short/pch2dd","507-2070-1-ND")</f>
        <v>507-2070-1-ND</v>
      </c>
      <c r="G5" s="7">
        <v>0.476</v>
      </c>
      <c r="H5" s="9">
        <f t="shared" si="1"/>
        <v>15.232</v>
      </c>
      <c r="L5" s="5" t="s">
        <v>26</v>
      </c>
    </row>
    <row r="6">
      <c r="A6" s="5">
        <v>32.0</v>
      </c>
      <c r="B6" s="5" t="s">
        <v>11</v>
      </c>
      <c r="C6" s="5" t="s">
        <v>33</v>
      </c>
      <c r="D6" s="5" t="s">
        <v>34</v>
      </c>
      <c r="E6" s="5" t="s">
        <v>35</v>
      </c>
      <c r="F6" s="6" t="str">
        <f>HYPERLINK("https://www.digikey.com/short/pchrdr","493-14555-1-ND")</f>
        <v>493-14555-1-ND</v>
      </c>
      <c r="G6" s="7">
        <v>0.378</v>
      </c>
      <c r="H6" s="9">
        <f t="shared" si="1"/>
        <v>12.096</v>
      </c>
      <c r="L6" s="5" t="s">
        <v>26</v>
      </c>
    </row>
    <row r="7">
      <c r="A7" s="5">
        <v>16.0</v>
      </c>
      <c r="B7" s="5" t="s">
        <v>22</v>
      </c>
      <c r="C7" s="5" t="s">
        <v>37</v>
      </c>
      <c r="D7" s="5" t="s">
        <v>38</v>
      </c>
      <c r="E7" s="5" t="s">
        <v>21</v>
      </c>
      <c r="F7" s="6" t="str">
        <f>HYPERLINK("https://www.digikey.com/short/p7mp47","952-3276-ND")</f>
        <v>952-3276-ND</v>
      </c>
      <c r="G7" s="7">
        <v>0.319</v>
      </c>
      <c r="H7" s="9">
        <f t="shared" si="1"/>
        <v>5.104</v>
      </c>
      <c r="L7" s="5" t="s">
        <v>26</v>
      </c>
    </row>
    <row r="8">
      <c r="A8" s="5">
        <v>1.0</v>
      </c>
      <c r="B8" s="5" t="s">
        <v>40</v>
      </c>
      <c r="C8" s="5" t="s">
        <v>41</v>
      </c>
      <c r="D8" s="5" t="s">
        <v>42</v>
      </c>
      <c r="E8" s="5" t="s">
        <v>43</v>
      </c>
      <c r="F8" s="11" t="str">
        <f>HYPERLINK("https://www.digikey.com/short/pch9p7","CP-2350-ND")</f>
        <v>CP-2350-ND</v>
      </c>
      <c r="G8" s="7">
        <v>1.96</v>
      </c>
      <c r="H8" s="9">
        <f t="shared" si="1"/>
        <v>1.96</v>
      </c>
      <c r="L8" s="5" t="s">
        <v>26</v>
      </c>
    </row>
    <row r="9">
      <c r="A9" s="5">
        <v>1.0</v>
      </c>
      <c r="B9" s="5" t="s">
        <v>40</v>
      </c>
      <c r="C9" s="5" t="s">
        <v>45</v>
      </c>
      <c r="D9" s="5" t="s">
        <v>46</v>
      </c>
      <c r="E9" s="5" t="s">
        <v>47</v>
      </c>
      <c r="F9" s="6" t="str">
        <f>HYPERLINK("https://www.digikey.com/short/pch9pf","160-1795-ND")</f>
        <v>160-1795-ND</v>
      </c>
      <c r="G9" s="7">
        <v>0.81</v>
      </c>
      <c r="H9" s="9">
        <f t="shared" si="1"/>
        <v>0.81</v>
      </c>
      <c r="L9" s="5" t="s">
        <v>49</v>
      </c>
    </row>
    <row r="10">
      <c r="A10" s="5">
        <v>1.0</v>
      </c>
      <c r="B10" s="5" t="s">
        <v>40</v>
      </c>
      <c r="C10" s="5" t="s">
        <v>45</v>
      </c>
      <c r="D10" s="5" t="s">
        <v>48</v>
      </c>
      <c r="E10" s="5" t="s">
        <v>47</v>
      </c>
      <c r="F10" s="12" t="str">
        <f>HYPERLINK("https://www.digikey.com/short/pch9mn","AE9986-ND")</f>
        <v>AE9986-ND</v>
      </c>
      <c r="G10" s="7">
        <v>0.18</v>
      </c>
      <c r="H10" s="9">
        <f t="shared" si="1"/>
        <v>0.18</v>
      </c>
      <c r="L10" s="5" t="s">
        <v>26</v>
      </c>
    </row>
    <row r="11">
      <c r="A11" s="5">
        <v>1.0</v>
      </c>
      <c r="B11" s="5" t="s">
        <v>40</v>
      </c>
      <c r="C11" s="5" t="s">
        <v>50</v>
      </c>
      <c r="D11" s="5" t="s">
        <v>51</v>
      </c>
      <c r="E11" s="5" t="s">
        <v>52</v>
      </c>
      <c r="F11" s="6" t="str">
        <f>HYPERLINK("https://www.digikey.com/short/pch9zj","1N914FS-ND")</f>
        <v>1N914FS-ND</v>
      </c>
      <c r="G11" s="7">
        <v>0.1</v>
      </c>
      <c r="H11" s="9">
        <f t="shared" si="1"/>
        <v>0.1</v>
      </c>
      <c r="L11" s="5" t="s">
        <v>26</v>
      </c>
    </row>
    <row r="12">
      <c r="A12" s="5">
        <v>2.0</v>
      </c>
      <c r="B12" s="5" t="s">
        <v>40</v>
      </c>
      <c r="C12" s="5" t="s">
        <v>53</v>
      </c>
      <c r="D12" s="5" t="s">
        <v>54</v>
      </c>
      <c r="E12" s="5" t="s">
        <v>35</v>
      </c>
      <c r="F12" s="6" t="str">
        <f>HYPERLINK("https://www.digikey.com/short/ppbfp4","S220QCT-ND")</f>
        <v>S220QCT-ND</v>
      </c>
      <c r="G12" s="7">
        <v>0.1</v>
      </c>
      <c r="H12" s="9">
        <f t="shared" si="1"/>
        <v>0.2</v>
      </c>
      <c r="L12" s="5" t="s">
        <v>49</v>
      </c>
    </row>
    <row r="13">
      <c r="A13" s="5">
        <v>1.0</v>
      </c>
      <c r="B13" s="5" t="s">
        <v>40</v>
      </c>
      <c r="C13" s="5" t="s">
        <v>56</v>
      </c>
      <c r="D13" s="5" t="s">
        <v>57</v>
      </c>
      <c r="E13" s="5" t="s">
        <v>35</v>
      </c>
      <c r="F13" s="6" t="str">
        <f>HYPERLINK("https://www.digikey.com/short/ppbfp0","S4.7KQCT-ND")</f>
        <v>S4.7KQCT-ND</v>
      </c>
      <c r="G13" s="7">
        <v>0.1</v>
      </c>
      <c r="H13" s="9">
        <f t="shared" si="1"/>
        <v>0.1</v>
      </c>
      <c r="L13" s="5" t="s">
        <v>49</v>
      </c>
    </row>
    <row r="14">
      <c r="A14" s="5">
        <v>1.0</v>
      </c>
      <c r="B14" s="5" t="s">
        <v>40</v>
      </c>
      <c r="C14" s="5" t="s">
        <v>58</v>
      </c>
      <c r="D14" s="5" t="s">
        <v>59</v>
      </c>
      <c r="E14" s="5" t="s">
        <v>21</v>
      </c>
      <c r="F14" s="6" t="str">
        <f>HYPERLINK("https://www.digikey.com/short/p7m2t8","732-5310-ND")</f>
        <v>732-5310-ND</v>
      </c>
      <c r="G14" s="7">
        <v>1.89</v>
      </c>
      <c r="H14" s="9">
        <f t="shared" si="1"/>
        <v>1.89</v>
      </c>
      <c r="L14" s="5" t="s">
        <v>26</v>
      </c>
    </row>
    <row r="15">
      <c r="A15" s="5">
        <v>1.0</v>
      </c>
      <c r="B15" s="5" t="s">
        <v>40</v>
      </c>
      <c r="C15" s="5" t="s">
        <v>60</v>
      </c>
      <c r="D15" s="5" t="s">
        <v>61</v>
      </c>
      <c r="E15" s="5" t="s">
        <v>62</v>
      </c>
      <c r="F15" s="6" t="str">
        <f>HYPERLINK("https://www.digikey.com/short/p7mjtn","P16498CT-ND")</f>
        <v>P16498CT-ND</v>
      </c>
      <c r="G15" s="7">
        <v>1.36</v>
      </c>
      <c r="H15" s="9">
        <f t="shared" si="1"/>
        <v>1.36</v>
      </c>
      <c r="L15" s="5" t="s">
        <v>26</v>
      </c>
    </row>
    <row r="16">
      <c r="A16" s="5">
        <v>1.0</v>
      </c>
      <c r="B16" s="5" t="s">
        <v>40</v>
      </c>
      <c r="C16" s="5" t="s">
        <v>63</v>
      </c>
      <c r="D16" s="5" t="s">
        <v>64</v>
      </c>
      <c r="E16" s="5" t="s">
        <v>65</v>
      </c>
      <c r="F16" s="6" t="str">
        <f>HYPERLINK("https://www.digikey.com/short/p7mjtc","493-2252-1-ND")</f>
        <v>493-2252-1-ND</v>
      </c>
      <c r="G16" s="7">
        <v>0.68</v>
      </c>
      <c r="H16" s="9">
        <f t="shared" si="1"/>
        <v>0.68</v>
      </c>
      <c r="L16" s="5" t="s">
        <v>26</v>
      </c>
    </row>
    <row r="17">
      <c r="A17" s="5">
        <v>1.0</v>
      </c>
      <c r="B17" s="5" t="s">
        <v>40</v>
      </c>
      <c r="C17" s="5" t="s">
        <v>66</v>
      </c>
      <c r="D17" s="5" t="s">
        <v>67</v>
      </c>
      <c r="E17" s="5" t="s">
        <v>68</v>
      </c>
      <c r="F17" s="6" t="str">
        <f>HYPERLINK("https://www.digikey.com/short/p7mjcv","B540C-FDICT-ND")</f>
        <v>B540C-FDICT-ND</v>
      </c>
      <c r="G17" s="7">
        <v>0.55</v>
      </c>
      <c r="H17" s="9">
        <f t="shared" si="1"/>
        <v>0.55</v>
      </c>
      <c r="L17" s="5" t="s">
        <v>26</v>
      </c>
    </row>
    <row r="18">
      <c r="A18" s="5">
        <v>1.0</v>
      </c>
      <c r="B18" s="5" t="s">
        <v>40</v>
      </c>
      <c r="C18" s="5" t="s">
        <v>69</v>
      </c>
      <c r="D18" s="5" t="s">
        <v>70</v>
      </c>
      <c r="E18" s="5" t="s">
        <v>65</v>
      </c>
      <c r="F18" s="6" t="str">
        <f>HYPERLINK("https://www.digikey.com/short/p7mjcz","M8767-ND")</f>
        <v>M8767-ND</v>
      </c>
      <c r="G18" s="7">
        <v>2.96</v>
      </c>
      <c r="H18" s="9">
        <f t="shared" si="1"/>
        <v>2.96</v>
      </c>
      <c r="L18" s="5" t="s">
        <v>26</v>
      </c>
    </row>
    <row r="19">
      <c r="A19" s="5">
        <v>1.0</v>
      </c>
      <c r="B19" s="5" t="s">
        <v>40</v>
      </c>
      <c r="C19" s="5" t="s">
        <v>71</v>
      </c>
      <c r="D19" s="5" t="s">
        <v>72</v>
      </c>
      <c r="E19" s="5" t="s">
        <v>73</v>
      </c>
      <c r="F19" s="6" t="str">
        <f>HYPERLINK("https://www.digikey.com/short/p7m81t","LM2576SX-5.0/NOPBCT-ND")</f>
        <v>LM2576SX-5.0/NOPBCT-ND</v>
      </c>
      <c r="G19" s="7">
        <v>2.86</v>
      </c>
      <c r="H19" s="9">
        <f t="shared" si="1"/>
        <v>2.86</v>
      </c>
      <c r="L19" s="5" t="s">
        <v>26</v>
      </c>
    </row>
    <row r="20">
      <c r="A20" s="5">
        <v>1.0</v>
      </c>
      <c r="B20" s="5" t="s">
        <v>40</v>
      </c>
      <c r="C20" s="5" t="s">
        <v>16</v>
      </c>
      <c r="D20" s="5" t="s">
        <v>74</v>
      </c>
      <c r="E20" s="5" t="s">
        <v>75</v>
      </c>
      <c r="F20" s="6" t="str">
        <f>HYPERLINK("https://www.digikey.com/short/pqqj4f","1528-2235-ND")</f>
        <v>1528-2235-ND</v>
      </c>
      <c r="G20" s="7">
        <v>2.95</v>
      </c>
      <c r="H20" s="9">
        <f t="shared" si="1"/>
        <v>2.95</v>
      </c>
      <c r="L20" s="5" t="s">
        <v>26</v>
      </c>
    </row>
    <row r="21">
      <c r="A21" s="5">
        <v>16.0</v>
      </c>
      <c r="B21" s="5" t="s">
        <v>22</v>
      </c>
      <c r="C21" s="5" t="s">
        <v>16</v>
      </c>
      <c r="D21" s="5" t="s">
        <v>76</v>
      </c>
      <c r="E21" s="5" t="s">
        <v>75</v>
      </c>
      <c r="F21" s="6" t="str">
        <f>HYPERLINK("https://www.digikey.com/short/pq3194","609-3568-ND")</f>
        <v>609-3568-ND</v>
      </c>
      <c r="G21" s="7">
        <v>0.837</v>
      </c>
      <c r="H21" s="9">
        <f t="shared" si="1"/>
        <v>13.392</v>
      </c>
      <c r="L21" s="5" t="s">
        <v>26</v>
      </c>
    </row>
    <row r="22">
      <c r="A22" s="5">
        <v>1.0</v>
      </c>
      <c r="B22" s="5" t="s">
        <v>40</v>
      </c>
      <c r="C22" s="5" t="s">
        <v>16</v>
      </c>
      <c r="D22" s="5" t="s">
        <v>77</v>
      </c>
      <c r="E22" s="5" t="s">
        <v>16</v>
      </c>
      <c r="F22" s="6" t="str">
        <f>HYPERLINK("https://www.adafruit.com/product/451?gclid=Cj0KCQiAxZPgBRCmARIsAOrTHSZrM0Mcw3Dni_uPmEcOd3M86RycFgT_3R4iOGx9r_cGBg3R-jBJDZ4aAvytEALw_wcB","Adafruit, (Already Have!)")</f>
        <v>Adafruit, (Already Have!)</v>
      </c>
      <c r="G22" s="7">
        <v>99.0</v>
      </c>
      <c r="H22" s="9">
        <f t="shared" si="1"/>
        <v>99</v>
      </c>
      <c r="L22" s="5" t="s">
        <v>49</v>
      </c>
    </row>
    <row r="23">
      <c r="A23" s="5">
        <v>10.0</v>
      </c>
      <c r="B23" s="5" t="s">
        <v>11</v>
      </c>
      <c r="C23" s="5" t="s">
        <v>16</v>
      </c>
      <c r="D23" s="5" t="s">
        <v>97</v>
      </c>
      <c r="E23" s="5" t="s">
        <v>16</v>
      </c>
      <c r="F23" s="14" t="s">
        <v>79</v>
      </c>
      <c r="G23" s="7">
        <v>12.9</v>
      </c>
      <c r="H23" s="7">
        <v>12.9</v>
      </c>
      <c r="L23" s="5" t="s">
        <v>80</v>
      </c>
    </row>
    <row r="24">
      <c r="A24" s="5">
        <v>10.0</v>
      </c>
      <c r="B24" s="5" t="s">
        <v>40</v>
      </c>
      <c r="C24" s="5" t="s">
        <v>16</v>
      </c>
      <c r="D24" s="5" t="s">
        <v>98</v>
      </c>
      <c r="E24" s="5" t="s">
        <v>16</v>
      </c>
      <c r="F24" s="14" t="s">
        <v>83</v>
      </c>
      <c r="G24" s="7">
        <v>12.9</v>
      </c>
      <c r="H24" s="7">
        <v>12.9</v>
      </c>
      <c r="L24" s="5" t="s">
        <v>80</v>
      </c>
    </row>
    <row r="25">
      <c r="A25" s="5">
        <v>32.0</v>
      </c>
      <c r="B25" s="5" t="s">
        <v>11</v>
      </c>
      <c r="C25" s="5" t="s">
        <v>16</v>
      </c>
      <c r="D25" s="5" t="s">
        <v>84</v>
      </c>
      <c r="E25" s="5" t="s">
        <v>16</v>
      </c>
      <c r="F25" s="6" t="str">
        <f>HYPERLINK("https://www.omc-stepperonline.com/17hs15-1504s1.html#.XDeEUXQHGLE.link","SteppersOnline, 17HS15-1504S1")</f>
        <v>SteppersOnline, 17HS15-1504S1</v>
      </c>
      <c r="G25" s="7">
        <v>6.43</v>
      </c>
      <c r="H25" s="9">
        <f t="shared" ref="H25:H55" si="2">SUM(G25*A25)</f>
        <v>205.76</v>
      </c>
      <c r="L25" s="5" t="s">
        <v>99</v>
      </c>
    </row>
    <row r="26">
      <c r="A26" s="5">
        <v>0.0</v>
      </c>
      <c r="B26" s="5" t="s">
        <v>22</v>
      </c>
      <c r="C26" s="5" t="s">
        <v>16</v>
      </c>
      <c r="D26" s="5" t="s">
        <v>87</v>
      </c>
      <c r="E26" s="5" t="s">
        <v>88</v>
      </c>
      <c r="F26" s="6" t="str">
        <f>HYPERLINK("https://www.digikey.com/short/ppbfmt","3M156838-10-ND")</f>
        <v>3M156838-10-ND</v>
      </c>
      <c r="G26" s="7">
        <v>3.79</v>
      </c>
      <c r="H26" s="9">
        <f t="shared" si="2"/>
        <v>0</v>
      </c>
      <c r="L26" s="5" t="s">
        <v>49</v>
      </c>
    </row>
    <row r="27">
      <c r="A27" s="5">
        <v>8.0</v>
      </c>
      <c r="B27" s="5" t="s">
        <v>11</v>
      </c>
      <c r="C27" s="5" t="s">
        <v>89</v>
      </c>
      <c r="D27" s="5" t="s">
        <v>90</v>
      </c>
      <c r="E27" s="5" t="s">
        <v>35</v>
      </c>
      <c r="F27" s="6" t="str">
        <f>HYPERLINK("https://www.digikey.com/short/p7mmtn","240-2512-1-ND")</f>
        <v>240-2512-1-ND</v>
      </c>
      <c r="G27" s="7">
        <v>0.1</v>
      </c>
      <c r="H27" s="9">
        <f t="shared" si="2"/>
        <v>0.8</v>
      </c>
      <c r="L27" s="5" t="s">
        <v>26</v>
      </c>
    </row>
    <row r="28">
      <c r="A28" s="5">
        <v>8.0</v>
      </c>
      <c r="B28" s="5" t="s">
        <v>11</v>
      </c>
      <c r="C28" s="5" t="s">
        <v>100</v>
      </c>
      <c r="D28" s="5" t="s">
        <v>101</v>
      </c>
      <c r="E28" s="5" t="s">
        <v>35</v>
      </c>
      <c r="F28" s="6" t="str">
        <f>HYPERLINK("https://www.digikey.com/short/pq31n1","ED2561-ND")</f>
        <v>ED2561-ND</v>
      </c>
      <c r="G28" s="7">
        <v>0.69</v>
      </c>
      <c r="H28" s="9">
        <f t="shared" si="2"/>
        <v>5.52</v>
      </c>
      <c r="L28" s="5" t="s">
        <v>26</v>
      </c>
    </row>
    <row r="29">
      <c r="A29" s="5">
        <v>1.0</v>
      </c>
      <c r="B29" s="5" t="s">
        <v>40</v>
      </c>
      <c r="C29" s="5" t="s">
        <v>16</v>
      </c>
      <c r="D29" s="5" t="s">
        <v>102</v>
      </c>
      <c r="E29" s="5" t="s">
        <v>35</v>
      </c>
      <c r="F29" s="6" t="str">
        <f>HYPERLINK("https://www.digikey.com/short/pq3105","ED2563-ND")</f>
        <v>ED2563-ND</v>
      </c>
      <c r="G29" s="7">
        <v>1.05</v>
      </c>
      <c r="H29" s="9">
        <f t="shared" si="2"/>
        <v>1.05</v>
      </c>
      <c r="L29" s="5" t="s">
        <v>26</v>
      </c>
    </row>
    <row r="30">
      <c r="A30" s="5">
        <v>1.0</v>
      </c>
      <c r="B30" s="5" t="s">
        <v>22</v>
      </c>
      <c r="C30" s="5" t="s">
        <v>16</v>
      </c>
      <c r="D30" s="5" t="s">
        <v>103</v>
      </c>
      <c r="E30" s="5" t="s">
        <v>16</v>
      </c>
      <c r="F30" s="6" t="str">
        <f>HYPERLINK("https://www.digikey.com/short/pq31v0","1470-3639-ND")</f>
        <v>1470-3639-ND</v>
      </c>
      <c r="G30" s="7">
        <v>62.0</v>
      </c>
      <c r="H30" s="9">
        <f t="shared" si="2"/>
        <v>62</v>
      </c>
      <c r="L30" s="5" t="s">
        <v>26</v>
      </c>
    </row>
    <row r="31">
      <c r="A31" s="5">
        <v>1.0</v>
      </c>
      <c r="B31" s="5" t="s">
        <v>40</v>
      </c>
      <c r="C31" s="5" t="s">
        <v>104</v>
      </c>
      <c r="D31" s="5" t="s">
        <v>105</v>
      </c>
      <c r="E31" s="5" t="s">
        <v>35</v>
      </c>
      <c r="F31" s="6" t="str">
        <f>HYPERLINK("https://www.digikey.com/short/pqqccj","CP-7240-ND")</f>
        <v>CP-7240-ND</v>
      </c>
      <c r="G31" s="7">
        <v>2.59</v>
      </c>
      <c r="H31" s="9">
        <f t="shared" si="2"/>
        <v>2.59</v>
      </c>
      <c r="L31" s="5" t="s">
        <v>26</v>
      </c>
    </row>
    <row r="32">
      <c r="G32" s="9"/>
      <c r="H32" s="9">
        <f t="shared" si="2"/>
        <v>0</v>
      </c>
    </row>
    <row r="33">
      <c r="A33" s="5">
        <v>2.0</v>
      </c>
      <c r="B33" s="5" t="s">
        <v>106</v>
      </c>
      <c r="C33" s="5" t="s">
        <v>16</v>
      </c>
      <c r="D33" s="5" t="s">
        <v>107</v>
      </c>
      <c r="E33" s="5" t="s">
        <v>106</v>
      </c>
      <c r="F33" s="16" t="str">
        <f>HYPERLINK("https://www.amazon.com/WLine-Stainless-Button-Socket-Including/dp/B07C6DKT3H/ref=sr_1_1?s=hi&amp;ie=UTF8&amp;qid=1550886123&amp;sr=1-1&amp;keywords=m3+x+8","B07C6DKT3H")</f>
        <v>B07C6DKT3H</v>
      </c>
      <c r="G33" s="7">
        <v>6.99</v>
      </c>
      <c r="H33" s="9">
        <f t="shared" si="2"/>
        <v>13.98</v>
      </c>
      <c r="L33" s="5" t="s">
        <v>108</v>
      </c>
    </row>
    <row r="34">
      <c r="A34" s="5">
        <v>2.0</v>
      </c>
      <c r="B34" s="5" t="s">
        <v>106</v>
      </c>
      <c r="C34" s="5" t="s">
        <v>16</v>
      </c>
      <c r="D34" s="5" t="s">
        <v>109</v>
      </c>
      <c r="E34" s="5" t="s">
        <v>106</v>
      </c>
      <c r="F34" s="17" t="str">
        <f>HYPERLINK("https://www.amazon.com/dp/B01LOIKEWU/ref=sspa_dk_detail_7?psc=1&amp;pd_rd_i=B01LOIKEWU","B01LOIKEWU")</f>
        <v>B01LOIKEWU</v>
      </c>
      <c r="G34" s="7">
        <v>10.99</v>
      </c>
      <c r="H34" s="9">
        <f t="shared" si="2"/>
        <v>21.98</v>
      </c>
      <c r="L34" s="5" t="s">
        <v>108</v>
      </c>
    </row>
    <row r="35">
      <c r="A35" s="5">
        <v>4.0</v>
      </c>
      <c r="B35" s="5" t="s">
        <v>106</v>
      </c>
      <c r="C35" s="5" t="s">
        <v>16</v>
      </c>
      <c r="D35" s="5" t="s">
        <v>110</v>
      </c>
      <c r="E35" s="5" t="s">
        <v>106</v>
      </c>
      <c r="F35" s="17" t="str">
        <f>HYPERLINK("https://www.amazon.com/V-Slot-Linear-Rail-1500mm-Length/dp/B00YCOQO5A","B00YCOQO5A")</f>
        <v>B00YCOQO5A</v>
      </c>
      <c r="G35" s="7">
        <v>15.99</v>
      </c>
      <c r="H35" s="9">
        <f t="shared" si="2"/>
        <v>63.96</v>
      </c>
      <c r="L35" s="5" t="s">
        <v>108</v>
      </c>
    </row>
    <row r="36">
      <c r="A36" s="5">
        <v>1.0</v>
      </c>
      <c r="B36" s="5" t="s">
        <v>106</v>
      </c>
      <c r="C36" s="5" t="s">
        <v>16</v>
      </c>
      <c r="D36" s="5" t="s">
        <v>111</v>
      </c>
      <c r="E36" s="5" t="s">
        <v>106</v>
      </c>
      <c r="F36" s="17" t="str">
        <f>HYPERLINK("https://www.amazon.com/IZTOSS-100PCS-Assembly-Aluminum-Profile/dp/B072MDW1YY?keywords=2020+t+nut&amp;qid=1547668937&amp;s=Home+Improvement&amp;sr=1-8&amp;ref=sr_1_8","B072MDW1YY")</f>
        <v>B072MDW1YY</v>
      </c>
      <c r="G36" s="7">
        <v>13.99</v>
      </c>
      <c r="H36" s="9">
        <f t="shared" si="2"/>
        <v>13.99</v>
      </c>
      <c r="L36" s="5" t="s">
        <v>108</v>
      </c>
    </row>
    <row r="37">
      <c r="A37" s="5">
        <v>2.0</v>
      </c>
      <c r="B37" s="5" t="s">
        <v>106</v>
      </c>
      <c r="C37" s="5" t="s">
        <v>16</v>
      </c>
      <c r="D37" s="5" t="s">
        <v>112</v>
      </c>
      <c r="E37" s="5" t="s">
        <v>106</v>
      </c>
      <c r="F37" s="17" t="str">
        <f>HYPERLINK("https://www.amazon.com/iExcell-Socket-Button-Easy-use-Storage/dp/B07DRHN4V4/ref=sr_1_4?s=hi&amp;ie=UTF8&amp;qid=1550868358&amp;sr=1-4&amp;keywords=M5x8","B07DRHN4V4")</f>
        <v>B07DRHN4V4</v>
      </c>
      <c r="G37" s="7">
        <v>9.99</v>
      </c>
      <c r="H37" s="9">
        <f t="shared" si="2"/>
        <v>19.98</v>
      </c>
      <c r="L37" s="5" t="s">
        <v>17</v>
      </c>
    </row>
    <row r="38">
      <c r="A38" s="5">
        <v>1.0</v>
      </c>
      <c r="B38" s="5" t="s">
        <v>106</v>
      </c>
      <c r="C38" s="5" t="s">
        <v>16</v>
      </c>
      <c r="D38" s="5" t="s">
        <v>113</v>
      </c>
      <c r="E38" s="5" t="s">
        <v>106</v>
      </c>
      <c r="F38" s="17" t="str">
        <f>HYPERLINK("https://www.amazon.com/gp/product/B018TG8D6E/ref=ppx_yo_dt_b_asin_title_o04_s00?ie=UTF8&amp;psc=1","B018TG8D6E")</f>
        <v>B018TG8D6E</v>
      </c>
      <c r="G38" s="7">
        <v>5.19</v>
      </c>
      <c r="H38" s="9">
        <f t="shared" si="2"/>
        <v>5.19</v>
      </c>
      <c r="L38" s="5" t="s">
        <v>17</v>
      </c>
    </row>
    <row r="39">
      <c r="G39" s="9"/>
      <c r="H39" s="9">
        <f t="shared" si="2"/>
        <v>0</v>
      </c>
    </row>
    <row r="40">
      <c r="A40" s="5">
        <v>1.0</v>
      </c>
      <c r="B40" s="5" t="s">
        <v>114</v>
      </c>
      <c r="C40" s="5" t="s">
        <v>16</v>
      </c>
      <c r="D40" s="5" t="s">
        <v>115</v>
      </c>
      <c r="E40" s="5" t="s">
        <v>114</v>
      </c>
      <c r="F40" s="17" t="str">
        <f>HYPERLINK("https://www.amazon.com/Seahorse-920F-Protective-Wheeled-Case/dp/B00153U9NE/ref=pd_sbs_421_7?_encoding=UTF8&amp;pd_rd_i=B001A1TRNY&amp;pd_rd_r=8917dbd1-370f-11e9-a62e-358d4c5f0879&amp;pd_rd_w=MwMxd&amp;pd_rd_wg=FhMUr&amp;pf_rd_p=588939de-d3f8-42f1-a3d8-d556eae5797d&amp;pf_rd_r=SR"&amp;"0N2VX17VVZF36X3K2F&amp;refRID=SR0N2VX17VVZF36X3K2F&amp;th=1","B00153U9NE")</f>
        <v>B00153U9NE</v>
      </c>
      <c r="G40" s="7">
        <v>105.99</v>
      </c>
      <c r="H40" s="9">
        <f t="shared" si="2"/>
        <v>105.99</v>
      </c>
      <c r="L40" s="5" t="s">
        <v>108</v>
      </c>
    </row>
    <row r="41">
      <c r="G41" s="9"/>
      <c r="H41" s="9">
        <f t="shared" si="2"/>
        <v>0</v>
      </c>
    </row>
    <row r="42">
      <c r="G42" s="9"/>
      <c r="H42" s="9">
        <f t="shared" si="2"/>
        <v>0</v>
      </c>
    </row>
    <row r="43">
      <c r="G43" s="9"/>
      <c r="H43" s="9">
        <f t="shared" si="2"/>
        <v>0</v>
      </c>
    </row>
    <row r="44">
      <c r="G44" s="9"/>
      <c r="H44" s="9">
        <f t="shared" si="2"/>
        <v>0</v>
      </c>
    </row>
    <row r="45">
      <c r="G45" s="9"/>
      <c r="H45" s="9">
        <f t="shared" si="2"/>
        <v>0</v>
      </c>
    </row>
    <row r="46">
      <c r="G46" s="9"/>
      <c r="H46" s="9">
        <f t="shared" si="2"/>
        <v>0</v>
      </c>
    </row>
    <row r="47">
      <c r="G47" s="9"/>
      <c r="H47" s="9">
        <f t="shared" si="2"/>
        <v>0</v>
      </c>
    </row>
    <row r="48">
      <c r="G48" s="9"/>
      <c r="H48" s="9">
        <f t="shared" si="2"/>
        <v>0</v>
      </c>
    </row>
    <row r="49">
      <c r="G49" s="9"/>
      <c r="H49" s="9">
        <f t="shared" si="2"/>
        <v>0</v>
      </c>
    </row>
    <row r="50">
      <c r="G50" s="9"/>
      <c r="H50" s="9">
        <f t="shared" si="2"/>
        <v>0</v>
      </c>
    </row>
    <row r="51">
      <c r="G51" s="9"/>
      <c r="H51" s="9">
        <f t="shared" si="2"/>
        <v>0</v>
      </c>
    </row>
    <row r="52">
      <c r="G52" s="9"/>
      <c r="H52" s="9">
        <f t="shared" si="2"/>
        <v>0</v>
      </c>
    </row>
    <row r="53">
      <c r="G53" s="9"/>
      <c r="H53" s="9">
        <f t="shared" si="2"/>
        <v>0</v>
      </c>
    </row>
    <row r="54">
      <c r="G54" s="9"/>
      <c r="H54" s="9">
        <f t="shared" si="2"/>
        <v>0</v>
      </c>
    </row>
    <row r="55">
      <c r="G55" s="9"/>
      <c r="H55" s="9">
        <f t="shared" si="2"/>
        <v>0</v>
      </c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43.43"/>
    <col customWidth="1" min="3" max="3" width="23.29"/>
    <col customWidth="1" min="4" max="4" width="59.14"/>
    <col customWidth="1" min="5" max="5" width="12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8</v>
      </c>
      <c r="G1" s="1" t="s">
        <v>9</v>
      </c>
      <c r="H1" s="3">
        <f>SUM(F2:F62)</f>
        <v>220.414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9.0</v>
      </c>
      <c r="B2" s="5" t="s">
        <v>13</v>
      </c>
      <c r="C2" s="5" t="s">
        <v>15</v>
      </c>
      <c r="D2" s="6" t="str">
        <f>HYPERLINK("https://www.mcmaster.com/5537t9","40.6cm length")</f>
        <v>40.6cm length</v>
      </c>
      <c r="E2" s="7">
        <v>6.902</v>
      </c>
      <c r="F2" s="9">
        <f t="shared" ref="F2:F4" si="1">SUM(E2*A2)</f>
        <v>62.118</v>
      </c>
      <c r="G2" s="10"/>
    </row>
    <row r="3">
      <c r="A3" s="5">
        <v>4.0</v>
      </c>
      <c r="B3" s="5" t="s">
        <v>18</v>
      </c>
      <c r="C3" s="5" t="s">
        <v>15</v>
      </c>
      <c r="D3" s="6" t="str">
        <f>HYPERLINK("https://www.mcmaster.com/5537t9","15cm length")</f>
        <v>15cm length</v>
      </c>
      <c r="E3" s="7">
        <v>2.55</v>
      </c>
      <c r="F3" s="9">
        <f t="shared" si="1"/>
        <v>10.2</v>
      </c>
    </row>
    <row r="4">
      <c r="A4" s="5">
        <v>6.0</v>
      </c>
      <c r="B4" s="5" t="s">
        <v>25</v>
      </c>
      <c r="C4" s="5" t="s">
        <v>15</v>
      </c>
      <c r="D4" s="6" t="str">
        <f>HYPERLINK("https://www.mcmaster.com/5537t9","22.8cm length")</f>
        <v>22.8cm length</v>
      </c>
      <c r="E4" s="7">
        <v>3.876</v>
      </c>
      <c r="F4" s="9">
        <f t="shared" si="1"/>
        <v>23.256</v>
      </c>
    </row>
    <row r="5">
      <c r="A5" s="5">
        <v>24.0</v>
      </c>
      <c r="B5" s="5" t="s">
        <v>28</v>
      </c>
      <c r="C5" s="5" t="s">
        <v>29</v>
      </c>
      <c r="D5" s="6" t="str">
        <f>HYPERLINK("https://www.amazon.com/Aluminum-Extrusion-20x20x17mm-GURANTEED-Business/dp/B07631DVNB?crid=1QQX1N6QI4XT1&amp;keywords=2020+corner+bracket&amp;qid=1547668665&amp;s=Home+Improvement&amp;sprefix=2020+%2Ctools%2C174&amp;sr=1-6&amp;ref=sr_1_6","1 pack of 25")</f>
        <v>1 pack of 25</v>
      </c>
      <c r="E5" s="7">
        <v>17.98</v>
      </c>
      <c r="F5" s="7">
        <v>17.98</v>
      </c>
    </row>
    <row r="6">
      <c r="A6" s="5">
        <v>10.0</v>
      </c>
      <c r="B6" s="5" t="s">
        <v>36</v>
      </c>
      <c r="C6" s="5" t="s">
        <v>29</v>
      </c>
      <c r="D6" s="6" t="str">
        <f>HYPERLINK("https://www.amazon.com/Boeray-Standard-Aluminum-Profile-Bracket/dp/B01GZYK84C?keywords=2020%2Bjoint%2Bbracket&amp;qid=1547669269&amp;s=Home%2BImprovement&amp;sr=1-2-spons&amp;ref=sr_1_2_sspa&amp;th=1","1 pack of 10")</f>
        <v>1 pack of 10</v>
      </c>
      <c r="E6" s="7">
        <v>11.99</v>
      </c>
      <c r="F6" s="7">
        <v>11.99</v>
      </c>
    </row>
    <row r="7">
      <c r="A7" s="5">
        <v>200.0</v>
      </c>
      <c r="B7" s="5" t="s">
        <v>39</v>
      </c>
      <c r="C7" s="5" t="s">
        <v>15</v>
      </c>
      <c r="D7" s="6" t="str">
        <f>HYPERLINK("https://www.mcmaster.com/91290a117","2 packs of 100")</f>
        <v>2 packs of 100</v>
      </c>
      <c r="E7" s="7">
        <v>0.0838</v>
      </c>
      <c r="F7" s="9">
        <f>SUM(E7*A7)</f>
        <v>16.76</v>
      </c>
      <c r="G7" s="10"/>
    </row>
    <row r="8">
      <c r="A8" s="5">
        <v>36.0</v>
      </c>
      <c r="B8" s="5" t="s">
        <v>44</v>
      </c>
      <c r="C8" s="5" t="s">
        <v>29</v>
      </c>
      <c r="D8" s="6" t="str">
        <f>HYPERLINK("https://www.amazon.com/iExcell-Internal-Button-Screws-Finish/dp/B073H3GBJM/ref=pd_sim_60_2/131-1978427-4797808?_encoding=UTF8&amp;pd_rd_i=B073H3GBJM&amp;pd_rd_r=1b7dca08-19c9-11e9-9afe-e19854ff74f0&amp;pd_rd_w=x4CZb&amp;pd_rd_wg=FXjmd&amp;pf_rd_p=18bb0b78-4200-49b9-ac91-f141"&amp;"d61a1780&amp;pf_rd_r=D4NH08E1P09MGSH98P5T&amp;psc=1&amp;refRID=D4NH08E1P09MGSH98P5T","1 pack of 100")</f>
        <v>1 pack of 100</v>
      </c>
      <c r="E8" s="7">
        <v>9.99</v>
      </c>
      <c r="F8" s="7">
        <v>9.99</v>
      </c>
    </row>
    <row r="9">
      <c r="A9" s="5">
        <v>36.0</v>
      </c>
      <c r="B9" s="5" t="s">
        <v>81</v>
      </c>
      <c r="C9" s="5" t="s">
        <v>29</v>
      </c>
      <c r="D9" s="11" t="str">
        <f>HYPERLINK("https://www.amazon.com/IZTOSS-100PCS-Assembly-Aluminum-Profile/dp/B072MDW1YY?keywords=2020+t+nut&amp;qid=1547668937&amp;s=Home+Improvement&amp;sr=1-8&amp;ref=sr_1_8","1 pack of 100")</f>
        <v>1 pack of 100</v>
      </c>
      <c r="E9" s="7">
        <v>13.99</v>
      </c>
      <c r="F9" s="7">
        <v>13.99</v>
      </c>
    </row>
    <row r="10">
      <c r="A10" s="5">
        <v>36.0</v>
      </c>
      <c r="B10" s="5" t="s">
        <v>85</v>
      </c>
      <c r="C10" s="5" t="s">
        <v>29</v>
      </c>
      <c r="D10" s="6" t="str">
        <f>HYPERLINK("https://www.amazon.com/dp/B01LOIKEWU/ref=sspa_dk_detail_7?psc=1&amp;pd_rd_i=B01LOIKEWU","1 pack of 90")</f>
        <v>1 pack of 90</v>
      </c>
      <c r="E10" s="7">
        <v>10.99</v>
      </c>
      <c r="F10" s="7">
        <v>10.99</v>
      </c>
    </row>
    <row r="11">
      <c r="A11" s="5">
        <v>64.0</v>
      </c>
      <c r="B11" s="5" t="s">
        <v>91</v>
      </c>
      <c r="C11" s="5" t="s">
        <v>15</v>
      </c>
      <c r="D11" s="12" t="str">
        <f>HYPERLINK("https://www.mcmaster.com/90128a187","1 pack of 100")</f>
        <v>1 pack of 100</v>
      </c>
      <c r="E11" s="7">
        <v>8.41</v>
      </c>
      <c r="F11" s="7">
        <v>8.41</v>
      </c>
    </row>
    <row r="12">
      <c r="A12" s="5">
        <v>2.0</v>
      </c>
      <c r="B12" s="5" t="s">
        <v>93</v>
      </c>
      <c r="C12" s="5" t="s">
        <v>15</v>
      </c>
      <c r="D12" s="12" t="str">
        <f>HYPERLINK("https://www.mcmaster.com/8589k62","12"" x 24"" x 0.25"", Cut by Will")</f>
        <v>12" x 24" x 0.25", Cut by Will</v>
      </c>
      <c r="E12" s="7">
        <v>14.13</v>
      </c>
      <c r="F12" s="9">
        <f t="shared" ref="F12:F62" si="2">SUM(E12*A12)</f>
        <v>28.26</v>
      </c>
    </row>
    <row r="13">
      <c r="A13" s="5">
        <v>1.0</v>
      </c>
      <c r="B13" s="5" t="s">
        <v>96</v>
      </c>
      <c r="C13" s="5" t="s">
        <v>29</v>
      </c>
      <c r="D13" s="6" t="str">
        <f>HYPERLINK("https://www.amazon.com/Loctite-Heavy-Duty-Threadlocker-Single/dp/B000I1RSNS/ref=sr_1_3?ie=UTF8&amp;qid=1548546605&amp;sr=8-3&amp;keywords=loctite+blue","1 pack")</f>
        <v>1 pack</v>
      </c>
      <c r="E13" s="7">
        <v>6.47</v>
      </c>
      <c r="F13" s="9">
        <f t="shared" si="2"/>
        <v>6.47</v>
      </c>
    </row>
    <row r="14">
      <c r="D14" s="10"/>
      <c r="E14" s="7"/>
      <c r="F14" s="9">
        <f t="shared" si="2"/>
        <v>0</v>
      </c>
    </row>
    <row r="15">
      <c r="D15" s="10"/>
      <c r="E15" s="7"/>
      <c r="F15" s="9">
        <f t="shared" si="2"/>
        <v>0</v>
      </c>
    </row>
    <row r="16">
      <c r="D16" s="10"/>
      <c r="E16" s="7"/>
      <c r="F16" s="9">
        <f t="shared" si="2"/>
        <v>0</v>
      </c>
    </row>
    <row r="17">
      <c r="D17" s="10"/>
      <c r="E17" s="7"/>
      <c r="F17" s="9">
        <f t="shared" si="2"/>
        <v>0</v>
      </c>
    </row>
    <row r="18">
      <c r="D18" s="10"/>
      <c r="E18" s="7"/>
      <c r="F18" s="9">
        <f t="shared" si="2"/>
        <v>0</v>
      </c>
    </row>
    <row r="19">
      <c r="D19" s="10"/>
      <c r="E19" s="7"/>
      <c r="F19" s="9">
        <f t="shared" si="2"/>
        <v>0</v>
      </c>
    </row>
    <row r="20">
      <c r="D20" s="10"/>
      <c r="E20" s="7"/>
      <c r="F20" s="9">
        <f t="shared" si="2"/>
        <v>0</v>
      </c>
    </row>
    <row r="21">
      <c r="D21" s="10"/>
      <c r="E21" s="7"/>
      <c r="F21" s="9">
        <f t="shared" si="2"/>
        <v>0</v>
      </c>
    </row>
    <row r="22">
      <c r="D22" s="10"/>
      <c r="E22" s="7"/>
      <c r="F22" s="9">
        <f t="shared" si="2"/>
        <v>0</v>
      </c>
    </row>
    <row r="23">
      <c r="D23" s="15"/>
      <c r="E23" s="7"/>
      <c r="F23" s="9">
        <f t="shared" si="2"/>
        <v>0</v>
      </c>
    </row>
    <row r="24">
      <c r="D24" s="10"/>
      <c r="E24" s="7"/>
      <c r="F24" s="9">
        <f t="shared" si="2"/>
        <v>0</v>
      </c>
    </row>
    <row r="25">
      <c r="D25" s="14"/>
      <c r="E25" s="7"/>
      <c r="F25" s="9">
        <f t="shared" si="2"/>
        <v>0</v>
      </c>
    </row>
    <row r="26">
      <c r="D26" s="14"/>
      <c r="E26" s="7"/>
      <c r="F26" s="9">
        <f t="shared" si="2"/>
        <v>0</v>
      </c>
    </row>
    <row r="27">
      <c r="D27" s="10"/>
      <c r="E27" s="7"/>
      <c r="F27" s="9">
        <f t="shared" si="2"/>
        <v>0</v>
      </c>
    </row>
    <row r="28">
      <c r="E28" s="7"/>
      <c r="F28" s="9">
        <f t="shared" si="2"/>
        <v>0</v>
      </c>
    </row>
    <row r="29">
      <c r="D29" s="10"/>
      <c r="E29" s="7"/>
      <c r="F29" s="9">
        <f t="shared" si="2"/>
        <v>0</v>
      </c>
    </row>
    <row r="30">
      <c r="D30" s="10"/>
      <c r="E30" s="7"/>
      <c r="F30" s="9">
        <f t="shared" si="2"/>
        <v>0</v>
      </c>
    </row>
    <row r="31">
      <c r="D31" s="10"/>
      <c r="E31" s="7"/>
      <c r="F31" s="9">
        <f t="shared" si="2"/>
        <v>0</v>
      </c>
    </row>
    <row r="32">
      <c r="E32" s="9"/>
      <c r="F32" s="9">
        <f t="shared" si="2"/>
        <v>0</v>
      </c>
    </row>
    <row r="33">
      <c r="E33" s="9"/>
      <c r="F33" s="9">
        <f t="shared" si="2"/>
        <v>0</v>
      </c>
    </row>
    <row r="34">
      <c r="E34" s="9"/>
      <c r="F34" s="9">
        <f t="shared" si="2"/>
        <v>0</v>
      </c>
    </row>
    <row r="35">
      <c r="E35" s="9"/>
      <c r="F35" s="9">
        <f t="shared" si="2"/>
        <v>0</v>
      </c>
    </row>
    <row r="36">
      <c r="E36" s="9"/>
      <c r="F36" s="9">
        <f t="shared" si="2"/>
        <v>0</v>
      </c>
    </row>
    <row r="37">
      <c r="E37" s="9"/>
      <c r="F37" s="9">
        <f t="shared" si="2"/>
        <v>0</v>
      </c>
    </row>
    <row r="38">
      <c r="E38" s="9"/>
      <c r="F38" s="9">
        <f t="shared" si="2"/>
        <v>0</v>
      </c>
    </row>
    <row r="39">
      <c r="E39" s="9"/>
      <c r="F39" s="9">
        <f t="shared" si="2"/>
        <v>0</v>
      </c>
    </row>
    <row r="40">
      <c r="E40" s="9"/>
      <c r="F40" s="9">
        <f t="shared" si="2"/>
        <v>0</v>
      </c>
    </row>
    <row r="41">
      <c r="E41" s="9"/>
      <c r="F41" s="9">
        <f t="shared" si="2"/>
        <v>0</v>
      </c>
    </row>
    <row r="42">
      <c r="E42" s="9"/>
      <c r="F42" s="9">
        <f t="shared" si="2"/>
        <v>0</v>
      </c>
    </row>
    <row r="43">
      <c r="E43" s="9"/>
      <c r="F43" s="9">
        <f t="shared" si="2"/>
        <v>0</v>
      </c>
    </row>
    <row r="44">
      <c r="E44" s="9"/>
      <c r="F44" s="9">
        <f t="shared" si="2"/>
        <v>0</v>
      </c>
    </row>
    <row r="45">
      <c r="E45" s="9"/>
      <c r="F45" s="9">
        <f t="shared" si="2"/>
        <v>0</v>
      </c>
    </row>
    <row r="46">
      <c r="E46" s="9"/>
      <c r="F46" s="9">
        <f t="shared" si="2"/>
        <v>0</v>
      </c>
    </row>
    <row r="47">
      <c r="E47" s="9"/>
      <c r="F47" s="9">
        <f t="shared" si="2"/>
        <v>0</v>
      </c>
    </row>
    <row r="48">
      <c r="E48" s="9"/>
      <c r="F48" s="9">
        <f t="shared" si="2"/>
        <v>0</v>
      </c>
    </row>
    <row r="49">
      <c r="E49" s="9"/>
      <c r="F49" s="9">
        <f t="shared" si="2"/>
        <v>0</v>
      </c>
    </row>
    <row r="50">
      <c r="E50" s="9"/>
      <c r="F50" s="9">
        <f t="shared" si="2"/>
        <v>0</v>
      </c>
    </row>
    <row r="51">
      <c r="E51" s="9"/>
      <c r="F51" s="9">
        <f t="shared" si="2"/>
        <v>0</v>
      </c>
    </row>
    <row r="52">
      <c r="E52" s="9"/>
      <c r="F52" s="9">
        <f t="shared" si="2"/>
        <v>0</v>
      </c>
    </row>
    <row r="53">
      <c r="E53" s="9"/>
      <c r="F53" s="9">
        <f t="shared" si="2"/>
        <v>0</v>
      </c>
    </row>
    <row r="54">
      <c r="E54" s="9"/>
      <c r="F54" s="9">
        <f t="shared" si="2"/>
        <v>0</v>
      </c>
    </row>
    <row r="55">
      <c r="E55" s="9"/>
      <c r="F55" s="9">
        <f t="shared" si="2"/>
        <v>0</v>
      </c>
    </row>
    <row r="56">
      <c r="E56" s="9"/>
      <c r="F56" s="9">
        <f t="shared" si="2"/>
        <v>0</v>
      </c>
    </row>
    <row r="57">
      <c r="E57" s="9"/>
      <c r="F57" s="9">
        <f t="shared" si="2"/>
        <v>0</v>
      </c>
    </row>
    <row r="58">
      <c r="E58" s="9"/>
      <c r="F58" s="9">
        <f t="shared" si="2"/>
        <v>0</v>
      </c>
    </row>
    <row r="59">
      <c r="E59" s="9"/>
      <c r="F59" s="9">
        <f t="shared" si="2"/>
        <v>0</v>
      </c>
    </row>
    <row r="60">
      <c r="E60" s="9"/>
      <c r="F60" s="9">
        <f t="shared" si="2"/>
        <v>0</v>
      </c>
    </row>
    <row r="61">
      <c r="E61" s="9"/>
      <c r="F61" s="9">
        <f t="shared" si="2"/>
        <v>0</v>
      </c>
    </row>
    <row r="62">
      <c r="E62" s="9"/>
      <c r="F62" s="9">
        <f t="shared" si="2"/>
        <v>0</v>
      </c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  <row r="1002">
      <c r="E100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12.0"/>
    <col customWidth="1" min="3" max="3" width="25.86"/>
    <col customWidth="1" min="4" max="4" width="43.43"/>
    <col customWidth="1" min="5" max="5" width="23.29"/>
    <col customWidth="1" min="6" max="6" width="56.57"/>
    <col customWidth="1" min="7" max="7" width="12.71"/>
  </cols>
  <sheetData>
    <row r="1" ht="33.75" customHeight="1">
      <c r="A1" s="1" t="s">
        <v>0</v>
      </c>
      <c r="B1" s="1" t="s">
        <v>4</v>
      </c>
      <c r="C1" s="1" t="s">
        <v>6</v>
      </c>
      <c r="D1" s="1" t="s">
        <v>116</v>
      </c>
      <c r="E1" s="1" t="s">
        <v>7</v>
      </c>
      <c r="F1" s="1" t="s">
        <v>3</v>
      </c>
      <c r="G1" s="2" t="s">
        <v>5</v>
      </c>
      <c r="H1" s="1" t="s">
        <v>8</v>
      </c>
      <c r="I1" s="1" t="s">
        <v>9</v>
      </c>
      <c r="J1" s="3">
        <f>SUM(H2:H60)</f>
        <v>883.9258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32.0</v>
      </c>
      <c r="B2" s="5" t="s">
        <v>11</v>
      </c>
      <c r="C2" s="5" t="s">
        <v>12</v>
      </c>
      <c r="D2" s="5" t="s">
        <v>14</v>
      </c>
      <c r="E2" s="5" t="s">
        <v>16</v>
      </c>
      <c r="F2" s="8" t="str">
        <f>HYPERLINK("http://a.co/d/6b15mfi","Amazon, 7 sets of 5")</f>
        <v>Amazon, 7 sets of 5</v>
      </c>
      <c r="G2" s="7">
        <v>1.776</v>
      </c>
      <c r="H2" s="9">
        <f t="shared" ref="H2:H25" si="1">SUM(G2*A2)</f>
        <v>56.832</v>
      </c>
    </row>
    <row r="3">
      <c r="A3" s="5">
        <v>9.0</v>
      </c>
      <c r="B3" s="5" t="s">
        <v>22</v>
      </c>
      <c r="C3" s="5" t="s">
        <v>104</v>
      </c>
      <c r="D3" s="5" t="s">
        <v>24</v>
      </c>
      <c r="E3" s="5" t="s">
        <v>16</v>
      </c>
      <c r="F3" s="6" t="str">
        <f>HYPERLINK("https://www.digikey.com/short/pchhpr","CP-002A-ND (get 10)")</f>
        <v>CP-002A-ND (get 10)</v>
      </c>
      <c r="G3" s="7">
        <v>0.599</v>
      </c>
      <c r="H3" s="9">
        <f t="shared" si="1"/>
        <v>5.391</v>
      </c>
    </row>
    <row r="4">
      <c r="A4" s="5">
        <v>32.0</v>
      </c>
      <c r="B4" s="5" t="s">
        <v>11</v>
      </c>
      <c r="C4" s="5" t="s">
        <v>117</v>
      </c>
      <c r="D4" s="5" t="s">
        <v>20</v>
      </c>
      <c r="E4" s="5" t="s">
        <v>21</v>
      </c>
      <c r="F4" s="6" t="str">
        <f>HYPERLINK("https://www.digikey.com/short/j1r95w","732-5317-ND")</f>
        <v>732-5317-ND</v>
      </c>
      <c r="G4" s="7">
        <v>0.1272</v>
      </c>
      <c r="H4" s="9">
        <f t="shared" si="1"/>
        <v>4.0704</v>
      </c>
    </row>
    <row r="5">
      <c r="A5" s="5">
        <v>32.0</v>
      </c>
      <c r="B5" s="5" t="s">
        <v>11</v>
      </c>
      <c r="C5" s="5" t="s">
        <v>30</v>
      </c>
      <c r="D5" s="5" t="s">
        <v>31</v>
      </c>
      <c r="E5" s="5" t="s">
        <v>32</v>
      </c>
      <c r="F5" s="6" t="str">
        <f>HYPERLINK("https://www.digikey.com/short/pch2dd","507-2070-1-ND")</f>
        <v>507-2070-1-ND</v>
      </c>
      <c r="G5" s="7">
        <v>0.476</v>
      </c>
      <c r="H5" s="9">
        <f t="shared" si="1"/>
        <v>15.232</v>
      </c>
    </row>
    <row r="6">
      <c r="A6" s="5">
        <v>64.0</v>
      </c>
      <c r="B6" s="5" t="s">
        <v>11</v>
      </c>
      <c r="C6" s="5" t="s">
        <v>16</v>
      </c>
      <c r="D6" s="5" t="s">
        <v>27</v>
      </c>
      <c r="E6" s="5" t="s">
        <v>21</v>
      </c>
      <c r="F6" s="6" t="str">
        <f>HYPERLINK("https://www.digikey.com/short/j1r9qq","S7006-ND")</f>
        <v>S7006-ND</v>
      </c>
      <c r="G6" s="7">
        <v>0.608</v>
      </c>
      <c r="H6" s="9">
        <f t="shared" si="1"/>
        <v>38.912</v>
      </c>
    </row>
    <row r="7">
      <c r="A7" s="5">
        <v>32.0</v>
      </c>
      <c r="B7" s="5" t="s">
        <v>22</v>
      </c>
      <c r="C7" s="5" t="s">
        <v>118</v>
      </c>
      <c r="D7" s="5" t="s">
        <v>119</v>
      </c>
      <c r="E7" s="5" t="s">
        <v>21</v>
      </c>
      <c r="F7" s="6" t="str">
        <f>HYPERLINK("https://www.digikey.com/short/pch9c0","732-5317-ND")</f>
        <v>732-5317-ND</v>
      </c>
      <c r="G7" s="7">
        <v>0.1272</v>
      </c>
      <c r="H7" s="9">
        <f t="shared" si="1"/>
        <v>4.0704</v>
      </c>
    </row>
    <row r="8">
      <c r="A8" s="5">
        <v>9.0</v>
      </c>
      <c r="B8" s="5" t="s">
        <v>22</v>
      </c>
      <c r="C8" s="5" t="s">
        <v>16</v>
      </c>
      <c r="D8" s="5" t="s">
        <v>92</v>
      </c>
      <c r="E8" s="5" t="s">
        <v>16</v>
      </c>
      <c r="F8" s="6" t="str">
        <f>HYPERLINK("https://www.digikey.com/short/pch9tn","102-3809-ND")</f>
        <v>102-3809-ND</v>
      </c>
      <c r="G8" s="7">
        <v>28.368</v>
      </c>
      <c r="H8" s="9">
        <f t="shared" si="1"/>
        <v>255.312</v>
      </c>
    </row>
    <row r="9">
      <c r="A9" s="5">
        <v>32.0</v>
      </c>
      <c r="B9" s="5" t="s">
        <v>11</v>
      </c>
      <c r="C9" s="5" t="s">
        <v>33</v>
      </c>
      <c r="D9" s="5" t="s">
        <v>34</v>
      </c>
      <c r="E9" s="5" t="s">
        <v>35</v>
      </c>
      <c r="F9" s="6" t="str">
        <f>HYPERLINK("https://www.digikey.com/short/pchrdr","493-14555-1-ND")</f>
        <v>493-14555-1-ND</v>
      </c>
      <c r="G9" s="7">
        <v>0.378</v>
      </c>
      <c r="H9" s="9">
        <f t="shared" si="1"/>
        <v>12.096</v>
      </c>
    </row>
    <row r="10">
      <c r="A10" s="5">
        <v>1.0</v>
      </c>
      <c r="B10" s="5" t="s">
        <v>40</v>
      </c>
      <c r="C10" s="5" t="s">
        <v>41</v>
      </c>
      <c r="D10" s="5" t="s">
        <v>42</v>
      </c>
      <c r="E10" s="5" t="s">
        <v>43</v>
      </c>
      <c r="F10" s="11" t="str">
        <f>HYPERLINK("https://www.digikey.com/short/pch9p7","CP-2350-ND")</f>
        <v>CP-2350-ND</v>
      </c>
      <c r="G10" s="7">
        <v>1.96</v>
      </c>
      <c r="H10" s="9">
        <f t="shared" si="1"/>
        <v>1.96</v>
      </c>
    </row>
    <row r="11">
      <c r="A11" s="5">
        <v>1.0</v>
      </c>
      <c r="B11" s="5" t="s">
        <v>40</v>
      </c>
      <c r="C11" s="5" t="s">
        <v>45</v>
      </c>
      <c r="D11" s="5" t="s">
        <v>46</v>
      </c>
      <c r="E11" s="5" t="s">
        <v>47</v>
      </c>
      <c r="F11" s="6" t="str">
        <f>HYPERLINK("https://www.digikey.com/short/pch9pf","160-1795-ND")</f>
        <v>160-1795-ND</v>
      </c>
      <c r="G11" s="7">
        <v>0.81</v>
      </c>
      <c r="H11" s="9">
        <f t="shared" si="1"/>
        <v>0.81</v>
      </c>
    </row>
    <row r="12">
      <c r="A12" s="5">
        <v>1.0</v>
      </c>
      <c r="B12" s="5" t="s">
        <v>40</v>
      </c>
      <c r="C12" s="5" t="s">
        <v>45</v>
      </c>
      <c r="D12" s="5" t="s">
        <v>48</v>
      </c>
      <c r="E12" s="5" t="s">
        <v>47</v>
      </c>
      <c r="F12" s="12" t="str">
        <f>HYPERLINK("https://www.digikey.com/short/pch9mn","AE9986-ND")</f>
        <v>AE9986-ND</v>
      </c>
      <c r="G12" s="7">
        <v>0.18</v>
      </c>
      <c r="H12" s="9">
        <f t="shared" si="1"/>
        <v>0.18</v>
      </c>
    </row>
    <row r="13">
      <c r="A13" s="5">
        <v>1.0</v>
      </c>
      <c r="B13" s="5" t="s">
        <v>40</v>
      </c>
      <c r="C13" s="5" t="s">
        <v>66</v>
      </c>
      <c r="D13" s="5" t="s">
        <v>51</v>
      </c>
      <c r="E13" s="5" t="s">
        <v>52</v>
      </c>
      <c r="F13" s="6" t="str">
        <f>HYPERLINK("https://www.digikey.com/short/pch9zj","1N914FS-ND")</f>
        <v>1N914FS-ND</v>
      </c>
      <c r="G13" s="7">
        <v>0.1</v>
      </c>
      <c r="H13" s="9">
        <f t="shared" si="1"/>
        <v>0.1</v>
      </c>
    </row>
    <row r="14">
      <c r="A14" s="5">
        <v>1.0</v>
      </c>
      <c r="B14" s="5" t="s">
        <v>40</v>
      </c>
      <c r="C14" s="5" t="s">
        <v>50</v>
      </c>
      <c r="D14" s="5" t="s">
        <v>120</v>
      </c>
      <c r="E14" s="5" t="s">
        <v>121</v>
      </c>
      <c r="F14" s="6" t="str">
        <f>HYPERLINK("https://www.digikey.com/short/pch9hp","TSSA3U45R3GCT-ND")</f>
        <v>TSSA3U45R3GCT-ND</v>
      </c>
      <c r="G14" s="7">
        <v>0.43</v>
      </c>
      <c r="H14" s="9">
        <f t="shared" si="1"/>
        <v>0.43</v>
      </c>
    </row>
    <row r="15">
      <c r="A15" s="5">
        <v>1.0</v>
      </c>
      <c r="B15" s="5" t="s">
        <v>40</v>
      </c>
      <c r="C15" s="5" t="s">
        <v>122</v>
      </c>
      <c r="D15" s="5" t="s">
        <v>123</v>
      </c>
      <c r="E15" s="5" t="s">
        <v>124</v>
      </c>
      <c r="F15" s="6" t="str">
        <f>HYPERLINK("https://www.digikey.com/short/pch995","TS2596CM550RNGCT-ND")</f>
        <v>TS2596CM550RNGCT-ND</v>
      </c>
      <c r="G15" s="7">
        <v>1.86</v>
      </c>
      <c r="H15" s="9">
        <f t="shared" si="1"/>
        <v>1.86</v>
      </c>
    </row>
    <row r="16">
      <c r="A16" s="5">
        <v>2.0</v>
      </c>
      <c r="B16" s="5" t="s">
        <v>40</v>
      </c>
      <c r="C16" s="5" t="s">
        <v>125</v>
      </c>
      <c r="D16" s="5" t="s">
        <v>126</v>
      </c>
      <c r="E16" s="5" t="s">
        <v>35</v>
      </c>
      <c r="F16" s="6" t="str">
        <f>HYPERLINK("https://www.digikey.com/short/pchbcw","493-1553-ND")</f>
        <v>493-1553-ND</v>
      </c>
      <c r="G16" s="7">
        <v>0.64</v>
      </c>
      <c r="H16" s="9">
        <f t="shared" si="1"/>
        <v>1.28</v>
      </c>
    </row>
    <row r="17">
      <c r="A17" s="5">
        <v>2.0</v>
      </c>
      <c r="B17" s="5" t="s">
        <v>40</v>
      </c>
      <c r="C17" s="5" t="s">
        <v>127</v>
      </c>
      <c r="D17" s="5" t="s">
        <v>128</v>
      </c>
      <c r="E17" s="5" t="s">
        <v>35</v>
      </c>
      <c r="F17" s="5" t="s">
        <v>55</v>
      </c>
      <c r="G17" s="7">
        <v>0.0</v>
      </c>
      <c r="H17" s="9">
        <f t="shared" si="1"/>
        <v>0</v>
      </c>
    </row>
    <row r="18">
      <c r="A18" s="5">
        <v>2.0</v>
      </c>
      <c r="B18" s="5" t="s">
        <v>40</v>
      </c>
      <c r="C18" s="5" t="s">
        <v>53</v>
      </c>
      <c r="D18" s="5" t="s">
        <v>54</v>
      </c>
      <c r="E18" s="5" t="s">
        <v>35</v>
      </c>
      <c r="F18" s="10" t="s">
        <v>55</v>
      </c>
      <c r="G18" s="7">
        <v>0.0</v>
      </c>
      <c r="H18" s="9">
        <f t="shared" si="1"/>
        <v>0</v>
      </c>
    </row>
    <row r="19">
      <c r="A19" s="5">
        <v>1.0</v>
      </c>
      <c r="B19" s="5" t="s">
        <v>40</v>
      </c>
      <c r="C19" s="5" t="s">
        <v>56</v>
      </c>
      <c r="D19" s="5" t="s">
        <v>57</v>
      </c>
      <c r="E19" s="5" t="s">
        <v>35</v>
      </c>
      <c r="F19" s="10" t="s">
        <v>55</v>
      </c>
      <c r="G19" s="7">
        <v>0.0</v>
      </c>
      <c r="H19" s="9">
        <f t="shared" si="1"/>
        <v>0</v>
      </c>
    </row>
    <row r="20">
      <c r="A20" s="5">
        <v>1.0</v>
      </c>
      <c r="B20" s="5" t="s">
        <v>40</v>
      </c>
      <c r="C20" s="5" t="s">
        <v>69</v>
      </c>
      <c r="D20" s="5" t="s">
        <v>129</v>
      </c>
      <c r="E20" s="5" t="s">
        <v>130</v>
      </c>
      <c r="F20" s="6" t="str">
        <f>HYPERLINK("https://www.digikey.com/short/pch9v7","732-1246-1-ND")</f>
        <v>732-1246-1-ND</v>
      </c>
      <c r="G20" s="7">
        <v>2.41</v>
      </c>
      <c r="H20" s="9">
        <f t="shared" si="1"/>
        <v>2.41</v>
      </c>
    </row>
    <row r="21">
      <c r="A21" s="5">
        <v>1.0</v>
      </c>
      <c r="B21" s="5" t="s">
        <v>40</v>
      </c>
      <c r="C21" s="5" t="s">
        <v>58</v>
      </c>
      <c r="D21" s="5" t="s">
        <v>59</v>
      </c>
      <c r="E21" s="5" t="s">
        <v>21</v>
      </c>
      <c r="F21" s="17" t="str">
        <f>HYPERLINK("https://www.mouser.com/ProductDetail/Amphenol-FCI/95157-140LF?qs=sGAEpiMZZMs%252bGHln7q6pm24n0txessAM4ZyJUeCm63E%3d","649-95157-140LF")</f>
        <v>649-95157-140LF</v>
      </c>
      <c r="G21" s="7">
        <v>1.5</v>
      </c>
      <c r="H21" s="9">
        <f t="shared" si="1"/>
        <v>1.5</v>
      </c>
    </row>
    <row r="22">
      <c r="A22" s="5">
        <v>32.0</v>
      </c>
      <c r="B22" s="5" t="s">
        <v>11</v>
      </c>
      <c r="C22" s="5" t="s">
        <v>16</v>
      </c>
      <c r="D22" s="5" t="s">
        <v>84</v>
      </c>
      <c r="E22" s="5" t="s">
        <v>16</v>
      </c>
      <c r="F22" s="6" t="str">
        <f>HYPERLINK("http://a.co/d/593moEM","Amazon, 8 sets of 4")</f>
        <v>Amazon, 8 sets of 4</v>
      </c>
      <c r="G22" s="7">
        <v>9.0</v>
      </c>
      <c r="H22" s="9">
        <f t="shared" si="1"/>
        <v>288</v>
      </c>
    </row>
    <row r="23">
      <c r="A23" s="5">
        <v>1.0</v>
      </c>
      <c r="B23" s="5" t="s">
        <v>40</v>
      </c>
      <c r="C23" s="5" t="s">
        <v>16</v>
      </c>
      <c r="D23" s="5" t="s">
        <v>77</v>
      </c>
      <c r="E23" s="5" t="s">
        <v>16</v>
      </c>
      <c r="F23" s="6" t="str">
        <f>HYPERLINK("https://www.adafruit.com/product/451?gclid=Cj0KCQiAxZPgBRCmARIsAOrTHSZrM0Mcw3Dni_uPmEcOd3M86RycFgT_3R4iOGx9r_cGBg3R-jBJDZ4aAvytEALw_wcB","Adafruit, (Already Have!)")</f>
        <v>Adafruit, (Already Have!)</v>
      </c>
      <c r="G23" s="7">
        <v>99.0</v>
      </c>
      <c r="H23" s="9">
        <f t="shared" si="1"/>
        <v>99</v>
      </c>
    </row>
    <row r="24">
      <c r="A24" s="5">
        <v>1.0</v>
      </c>
      <c r="B24" s="5" t="s">
        <v>40</v>
      </c>
      <c r="C24" s="5" t="s">
        <v>16</v>
      </c>
      <c r="D24" s="5" t="s">
        <v>74</v>
      </c>
      <c r="E24" s="5" t="s">
        <v>75</v>
      </c>
      <c r="F24" s="6" t="str">
        <f>HYPERLINK("https://www.adafruit.com/product/1988","Adafruit")</f>
        <v>Adafruit</v>
      </c>
      <c r="G24" s="7">
        <v>2.95</v>
      </c>
      <c r="H24" s="9">
        <f t="shared" si="1"/>
        <v>2.95</v>
      </c>
    </row>
    <row r="25">
      <c r="A25" s="5">
        <v>8.0</v>
      </c>
      <c r="B25" s="5" t="s">
        <v>22</v>
      </c>
      <c r="C25" s="5" t="s">
        <v>16</v>
      </c>
      <c r="D25" s="5" t="s">
        <v>131</v>
      </c>
      <c r="E25" s="5" t="s">
        <v>75</v>
      </c>
      <c r="F25" s="6" t="str">
        <f>HYPERLINK("https://www.ebay.com/i/182064050210?chn=ps","eBay")</f>
        <v>eBay</v>
      </c>
      <c r="G25" s="7">
        <v>4.99</v>
      </c>
      <c r="H25" s="9">
        <f t="shared" si="1"/>
        <v>39.92</v>
      </c>
    </row>
    <row r="26">
      <c r="A26" s="5">
        <v>10.0</v>
      </c>
      <c r="B26" s="5" t="s">
        <v>11</v>
      </c>
      <c r="C26" s="5" t="s">
        <v>16</v>
      </c>
      <c r="D26" s="5" t="s">
        <v>132</v>
      </c>
      <c r="E26" s="5" t="s">
        <v>16</v>
      </c>
      <c r="F26" s="5" t="s">
        <v>133</v>
      </c>
      <c r="G26" s="7">
        <v>12.9</v>
      </c>
      <c r="H26" s="7">
        <v>12.9</v>
      </c>
    </row>
    <row r="27">
      <c r="A27" s="5">
        <v>10.0</v>
      </c>
      <c r="B27" s="5" t="s">
        <v>40</v>
      </c>
      <c r="C27" s="5" t="s">
        <v>16</v>
      </c>
      <c r="D27" s="5" t="s">
        <v>134</v>
      </c>
      <c r="E27" s="5" t="s">
        <v>16</v>
      </c>
      <c r="F27" s="5" t="s">
        <v>133</v>
      </c>
      <c r="G27" s="7">
        <v>38.71</v>
      </c>
      <c r="H27" s="7">
        <v>38.71</v>
      </c>
    </row>
    <row r="28">
      <c r="H28" s="9">
        <f>SUM(V2.3!G27*V2.3!A27)</f>
        <v>0</v>
      </c>
    </row>
    <row r="29">
      <c r="G29" s="9"/>
      <c r="H29" s="9">
        <f t="shared" ref="H29:H60" si="2">SUM(G29*A29)</f>
        <v>0</v>
      </c>
    </row>
    <row r="30">
      <c r="G30" s="9"/>
      <c r="H30" s="9">
        <f t="shared" si="2"/>
        <v>0</v>
      </c>
    </row>
    <row r="31">
      <c r="G31" s="9"/>
      <c r="H31" s="9">
        <f t="shared" si="2"/>
        <v>0</v>
      </c>
    </row>
    <row r="32">
      <c r="G32" s="9"/>
      <c r="H32" s="9">
        <f t="shared" si="2"/>
        <v>0</v>
      </c>
    </row>
    <row r="33">
      <c r="G33" s="9"/>
      <c r="H33" s="9">
        <f t="shared" si="2"/>
        <v>0</v>
      </c>
    </row>
    <row r="34">
      <c r="G34" s="9"/>
      <c r="H34" s="9">
        <f t="shared" si="2"/>
        <v>0</v>
      </c>
    </row>
    <row r="35">
      <c r="G35" s="9"/>
      <c r="H35" s="9">
        <f t="shared" si="2"/>
        <v>0</v>
      </c>
    </row>
    <row r="36">
      <c r="G36" s="9"/>
      <c r="H36" s="9">
        <f t="shared" si="2"/>
        <v>0</v>
      </c>
    </row>
    <row r="37">
      <c r="G37" s="9"/>
      <c r="H37" s="9">
        <f t="shared" si="2"/>
        <v>0</v>
      </c>
    </row>
    <row r="38">
      <c r="G38" s="9"/>
      <c r="H38" s="9">
        <f t="shared" si="2"/>
        <v>0</v>
      </c>
    </row>
    <row r="39">
      <c r="G39" s="9"/>
      <c r="H39" s="9">
        <f t="shared" si="2"/>
        <v>0</v>
      </c>
    </row>
    <row r="40">
      <c r="G40" s="9"/>
      <c r="H40" s="9">
        <f t="shared" si="2"/>
        <v>0</v>
      </c>
    </row>
    <row r="41">
      <c r="G41" s="9"/>
      <c r="H41" s="9">
        <f t="shared" si="2"/>
        <v>0</v>
      </c>
    </row>
    <row r="42">
      <c r="G42" s="9"/>
      <c r="H42" s="9">
        <f t="shared" si="2"/>
        <v>0</v>
      </c>
    </row>
    <row r="43">
      <c r="G43" s="9"/>
      <c r="H43" s="9">
        <f t="shared" si="2"/>
        <v>0</v>
      </c>
    </row>
    <row r="44">
      <c r="G44" s="9"/>
      <c r="H44" s="9">
        <f t="shared" si="2"/>
        <v>0</v>
      </c>
    </row>
    <row r="45">
      <c r="G45" s="9"/>
      <c r="H45" s="9">
        <f t="shared" si="2"/>
        <v>0</v>
      </c>
    </row>
    <row r="46">
      <c r="G46" s="9"/>
      <c r="H46" s="9">
        <f t="shared" si="2"/>
        <v>0</v>
      </c>
    </row>
    <row r="47">
      <c r="G47" s="9"/>
      <c r="H47" s="9">
        <f t="shared" si="2"/>
        <v>0</v>
      </c>
    </row>
    <row r="48">
      <c r="G48" s="9"/>
      <c r="H48" s="9">
        <f t="shared" si="2"/>
        <v>0</v>
      </c>
    </row>
    <row r="49">
      <c r="G49" s="9"/>
      <c r="H49" s="9">
        <f t="shared" si="2"/>
        <v>0</v>
      </c>
    </row>
    <row r="50">
      <c r="G50" s="9"/>
      <c r="H50" s="9">
        <f t="shared" si="2"/>
        <v>0</v>
      </c>
    </row>
    <row r="51">
      <c r="G51" s="9"/>
      <c r="H51" s="9">
        <f t="shared" si="2"/>
        <v>0</v>
      </c>
    </row>
    <row r="52">
      <c r="G52" s="9"/>
      <c r="H52" s="9">
        <f t="shared" si="2"/>
        <v>0</v>
      </c>
    </row>
    <row r="53">
      <c r="G53" s="9"/>
      <c r="H53" s="9">
        <f t="shared" si="2"/>
        <v>0</v>
      </c>
    </row>
    <row r="54">
      <c r="G54" s="9"/>
      <c r="H54" s="9">
        <f t="shared" si="2"/>
        <v>0</v>
      </c>
    </row>
    <row r="55">
      <c r="G55" s="9"/>
      <c r="H55" s="9">
        <f t="shared" si="2"/>
        <v>0</v>
      </c>
    </row>
    <row r="56">
      <c r="G56" s="9"/>
      <c r="H56" s="9">
        <f t="shared" si="2"/>
        <v>0</v>
      </c>
    </row>
    <row r="57">
      <c r="G57" s="9"/>
      <c r="H57" s="9">
        <f t="shared" si="2"/>
        <v>0</v>
      </c>
    </row>
    <row r="58">
      <c r="G58" s="9"/>
      <c r="H58" s="9">
        <f t="shared" si="2"/>
        <v>0</v>
      </c>
    </row>
    <row r="59">
      <c r="G59" s="9"/>
      <c r="H59" s="9">
        <f t="shared" si="2"/>
        <v>0</v>
      </c>
    </row>
    <row r="60">
      <c r="G60" s="9"/>
      <c r="H60" s="9">
        <f t="shared" si="2"/>
        <v>0</v>
      </c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drawing r:id="rId1"/>
</worksheet>
</file>