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811"/>
  <workbookPr dateCompatibility="0" defaultThemeVersion="166925"/>
  <mc:AlternateContent xmlns:mc="http://schemas.openxmlformats.org/markup-compatibility/2006">
    <mc:Choice Requires="x15">
      <x15ac:absPath xmlns:x15ac="http://schemas.microsoft.com/office/spreadsheetml/2010/11/ac" url="/Volumes/MT_RESEARCH/2D_Petrology/mineral_conductivity/mineralconductivities/"/>
    </mc:Choice>
  </mc:AlternateContent>
  <xr:revisionPtr revIDLastSave="0" documentId="8_{72DC6182-16F2-4044-BA36-1B1D2A40D352}" xr6:coauthVersionLast="47" xr6:coauthVersionMax="47" xr10:uidLastSave="{00000000-0000-0000-0000-000000000000}"/>
  <bookViews>
    <workbookView xWindow="-2940" yWindow="500" windowWidth="34660" windowHeight="14000" xr2:uid="{EF1EAB3C-7106-8347-9382-DA47A6680CFD}"/>
  </bookViews>
  <sheets>
    <sheet name="publication_database" sheetId="1" r:id="rId1"/>
  </sheets>
  <calcPr calcId="191029"/>
  <extLs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purl.oclc.org/ooxml/spreadsheetml/main">
  <c r="AO2" i="1" l="1"/>
  <c r="AN2" i="1"/>
  <c r="AT90" i="1"/>
  <c r="AT89" i="1"/>
  <c r="AT88" i="1"/>
  <c r="AK88" i="1"/>
  <c r="AU90" i="1"/>
  <c r="AU89" i="1"/>
  <c r="AU88" i="1"/>
  <c r="AL90" i="1"/>
  <c r="AL89" i="1"/>
  <c r="AL88" i="1"/>
  <c r="AK90" i="1"/>
  <c r="AK89" i="1"/>
  <c r="AK85" i="1"/>
  <c r="AE87" i="1"/>
  <c r="AE86" i="1"/>
  <c r="AN86" i="1"/>
  <c r="AO86" i="1"/>
  <c r="AN87" i="1"/>
  <c r="AO87" i="1"/>
  <c r="AK84" i="1"/>
  <c r="AK83" i="1"/>
  <c r="AL84" i="1"/>
  <c r="AL85" i="1"/>
  <c r="AL83" i="1"/>
  <c r="BO69" i="1"/>
  <c r="AW77" i="1"/>
  <c r="AU77" i="1"/>
  <c r="AQ78" i="1"/>
  <c r="AX78" i="1"/>
  <c r="AX77" i="1"/>
  <c r="AX79" i="1"/>
  <c r="AW79" i="1"/>
  <c r="AW78" i="1"/>
  <c r="AT79" i="1"/>
  <c r="AN79" i="1"/>
  <c r="AH79" i="1"/>
  <c r="AT78" i="1"/>
  <c r="AN78" i="1"/>
  <c r="AI78" i="1"/>
  <c r="AH78" i="1"/>
  <c r="AT77" i="1"/>
  <c r="AN77" i="1"/>
  <c r="AH77" i="1"/>
  <c r="AX76" i="1"/>
  <c r="AX75" i="1"/>
  <c r="AX74" i="1"/>
  <c r="AW76" i="1"/>
  <c r="AW74" i="1"/>
  <c r="AW75" i="1"/>
  <c r="AQ75" i="1"/>
  <c r="AN75" i="1"/>
  <c r="AI75" i="1"/>
  <c r="AT76" i="1"/>
  <c r="AT75" i="1"/>
  <c r="AT74" i="1"/>
  <c r="AN76" i="1"/>
  <c r="AN74" i="1"/>
  <c r="AH76" i="1"/>
  <c r="AH75" i="1"/>
  <c r="AH74" i="1"/>
  <c r="BL69" i="1"/>
  <c r="AH66" i="1"/>
  <c r="AH67" i="1"/>
  <c r="AH68" i="1"/>
  <c r="T16" i="1"/>
  <c r="AH96" i="1"/>
  <c r="AH95" i="1"/>
  <c r="AH94" i="1"/>
  <c r="T102" i="1"/>
  <c r="T101" i="1"/>
  <c r="S102" i="1"/>
  <c r="S101" i="1"/>
  <c r="T19" i="1"/>
  <c r="S19" i="1"/>
  <c r="AE19" i="1"/>
  <c r="AE31" i="1"/>
  <c r="T35" i="1"/>
  <c r="S35" i="1"/>
  <c r="AQ69" i="1" l="1"/>
  <c r="R61" i="1"/>
  <c r="Q61" i="1"/>
  <c r="AF41" i="1" l="1"/>
  <c r="U26" i="1"/>
  <c r="U27" i="1"/>
  <c r="U28" i="1"/>
  <c r="U25" i="1"/>
  <c r="U23" i="1"/>
  <c r="U24" i="1"/>
  <c r="U22" i="1"/>
  <c r="U21" i="1"/>
  <c r="AF18" i="1"/>
  <c r="AE18" i="1"/>
  <c r="Z2" i="1"/>
  <c r="U2" i="1"/>
</calcChain>
</file>

<file path=xl/sharedStrings.xml><?xml version="1.0" encoding="utf-8"?>
<sst xmlns="http://purl.oclc.org/ooxml/spreadsheetml/main" count="2095" uniqueCount="547">
  <si>
    <t>Title</t>
  </si>
  <si>
    <t>Author</t>
  </si>
  <si>
    <t>Year</t>
  </si>
  <si>
    <t>DOI</t>
  </si>
  <si>
    <t>The electrical conductivity of upper-mantle rocks: water content in the upper mantle</t>
  </si>
  <si>
    <t>Duojun Wang, Heping Li, Li Yi, Baoping Shi</t>
  </si>
  <si>
    <t>Effect of temperature, pressure and chemical composition on the electrical conductivity of granulite and geophysical implications</t>
  </si>
  <si>
    <t>10.2465/jmps.181107b</t>
  </si>
  <si>
    <t>Wenquin Sun, Dai Lidon, Li Heping, Hu Haiying, Liu Changcai</t>
  </si>
  <si>
    <t>10.1007/s00269-007-0207-1</t>
  </si>
  <si>
    <t>Description</t>
  </si>
  <si>
    <t>Equation Form</t>
  </si>
  <si>
    <t>Eq ID</t>
  </si>
  <si>
    <t>10.1029/1999GL008378</t>
  </si>
  <si>
    <t>orthopyroxene</t>
  </si>
  <si>
    <t>arrhenious_simple</t>
  </si>
  <si>
    <t>Water Min</t>
  </si>
  <si>
    <t>Water Max</t>
  </si>
  <si>
    <t>Water Average</t>
  </si>
  <si>
    <t>Iron Min</t>
  </si>
  <si>
    <t>Iron Max</t>
  </si>
  <si>
    <t>Iron Average</t>
  </si>
  <si>
    <t>Crystal Direction</t>
  </si>
  <si>
    <t>a</t>
  </si>
  <si>
    <t>d</t>
  </si>
  <si>
    <t>e</t>
  </si>
  <si>
    <t>a (Cw)^b exp( -c/kt) exp(X_fe * d/kt)</t>
  </si>
  <si>
    <t>Water units</t>
  </si>
  <si>
    <t>isotropic</t>
  </si>
  <si>
    <t>fO2 buffers used</t>
  </si>
  <si>
    <t>pyroxenite, lherzolite, dunite</t>
  </si>
  <si>
    <t>clinopyroxene</t>
  </si>
  <si>
    <t>illmenite+garnet</t>
  </si>
  <si>
    <t>pervoskite</t>
  </si>
  <si>
    <t>Yousheng Xu and Thomas J. Shankland</t>
  </si>
  <si>
    <t>xu_1999_ill+gt</t>
  </si>
  <si>
    <t>xu_1999_pv</t>
  </si>
  <si>
    <t xml:space="preserve">Electrical conductivity of diopside: Evidence for oxygen vacancies </t>
  </si>
  <si>
    <t>J.Stephen Huebner and Donald E. Voight</t>
  </si>
  <si>
    <t>diopside</t>
  </si>
  <si>
    <t>Sample Type</t>
  </si>
  <si>
    <t>Phase Type</t>
  </si>
  <si>
    <t>natural single crystal</t>
  </si>
  <si>
    <t>garnet</t>
  </si>
  <si>
    <t>arrhenious_log_fO2</t>
  </si>
  <si>
    <t xml:space="preserve">0003-004x/88/ 1112-1235$02.00 </t>
  </si>
  <si>
    <t>Co-Co2 mixture</t>
  </si>
  <si>
    <t>Baohua Zhang, Takashi Yoshino</t>
  </si>
  <si>
    <t>10.1007/s00410-016-1315-z</t>
  </si>
  <si>
    <t>synthetic</t>
  </si>
  <si>
    <t>natural whole rock</t>
  </si>
  <si>
    <t>synthetic powders</t>
  </si>
  <si>
    <t>a exp( -(b + c * P)/kT) + d*Xfe * exp( -(e + f* Xfe^1/3 + P( h + I Xfe)/kT)</t>
  </si>
  <si>
    <t>zhang_2016_opx</t>
  </si>
  <si>
    <t>NNO</t>
  </si>
  <si>
    <t>ppm</t>
  </si>
  <si>
    <t>f</t>
  </si>
  <si>
    <t>h</t>
  </si>
  <si>
    <t>Electrical conductivity of orthopyroxene: Implications for the water content of the asthenosphere</t>
  </si>
  <si>
    <t>10.2183/pjab.85.466</t>
  </si>
  <si>
    <t>Dai Lidong, Karato Shun-ichiro</t>
  </si>
  <si>
    <t>Mo-MoO2</t>
  </si>
  <si>
    <t>single crystals</t>
  </si>
  <si>
    <t>water calibration</t>
  </si>
  <si>
    <t>paterson</t>
  </si>
  <si>
    <t>olivine</t>
  </si>
  <si>
    <t>polycrystalline  aggregates</t>
  </si>
  <si>
    <t>wtpct</t>
  </si>
  <si>
    <t>a exp( -b /kT)+c Cw^d exp( -e /kT)</t>
  </si>
  <si>
    <t>a exp(-b /kT)</t>
  </si>
  <si>
    <t>Electrical conductivity of orthopyroxene and plagioclase in the lower crust</t>
  </si>
  <si>
    <t>Xiaozhi Yang, Hans Keppler, Catherine McCammon, Huaiwei Ni</t>
  </si>
  <si>
    <t>10.1007/s00410-011-0657-9</t>
  </si>
  <si>
    <t>plagioclaise</t>
  </si>
  <si>
    <t>Bell 1995</t>
  </si>
  <si>
    <t>lower crustal ortho</t>
  </si>
  <si>
    <t>Fe3+-rich augite and high electrical conductivity in the deep lithosphere</t>
  </si>
  <si>
    <t>Xiaozhi Yang and Catherine McCammon</t>
  </si>
  <si>
    <t>10.1130/G32725.1</t>
  </si>
  <si>
    <t>augite</t>
  </si>
  <si>
    <t>single crystal and polycrystal</t>
  </si>
  <si>
    <t>water_exponent_arrhenious</t>
  </si>
  <si>
    <t>a Cw^b exp( -c /kT)</t>
  </si>
  <si>
    <t>polycrystalline</t>
  </si>
  <si>
    <t>Electrical conductivity of enstatite as a function of water content: Implications for the electrical structure in the upper mantle</t>
  </si>
  <si>
    <t>Baohua Zhang, Takashi Yoshino, Xiaoping Wu, Takuya Matsuzaki, Shuangming Shan, Tomoo Katsura</t>
  </si>
  <si>
    <t>10.1016/j.epsl.2012.09.020</t>
  </si>
  <si>
    <t>enstatite</t>
  </si>
  <si>
    <t>a exp( -b /kT)+c Cw exp( -(d + e C_w^(1/3) /kT)</t>
  </si>
  <si>
    <t>Granulite +14.79%  biotite</t>
  </si>
  <si>
    <t>Granulite + 8.75% biotite</t>
  </si>
  <si>
    <t>Granulite + 5.49% biotite</t>
  </si>
  <si>
    <t>unit formula</t>
  </si>
  <si>
    <t>The electrical conductivity of granite: The role of hydrous accessory minerals and the structure water in major minerals</t>
  </si>
  <si>
    <t>Kui Han, Xinzhuan Guo,  Xuben Wang,  Junfeng Zhang, Sinan Ozaydin, Dewei Li, Simon Martin Clark</t>
  </si>
  <si>
    <t>10.1016/j.tecto.2023.229857</t>
  </si>
  <si>
    <t>Granite QGND</t>
  </si>
  <si>
    <t xml:space="preserve">Granite HGND </t>
  </si>
  <si>
    <t>Powdered natural  rock</t>
  </si>
  <si>
    <t>Electrical Conductivity of Omphacite as a Function of Water Content and Implications for High Conductivity Anomalies in the Dabie-Sulu UHPM Belts and Tibet</t>
  </si>
  <si>
    <t>Baohua Zhang, Chengcheng Zhao, Jianhua Ge, Takashi Yoshino</t>
  </si>
  <si>
    <t>10.1029/2019JB018826</t>
  </si>
  <si>
    <t>glasses</t>
  </si>
  <si>
    <t>synthetic glass</t>
  </si>
  <si>
    <t>Iron units</t>
  </si>
  <si>
    <t>wt \%</t>
  </si>
  <si>
    <t>10.1007/s00410-019-1593-3</t>
  </si>
  <si>
    <t xml:space="preserve">oopmhacite </t>
  </si>
  <si>
    <t>Liu Hanyong, Zhu Qiao, Yang Xiaozhi</t>
  </si>
  <si>
    <t>Electrical conductivity of OH-bearing omphacite and garnet in eclogite: the quantitative dependence on water content</t>
  </si>
  <si>
    <t>Liu_19_oomph</t>
  </si>
  <si>
    <t xml:space="preserve">Mo–MoO2 </t>
  </si>
  <si>
    <t>Effect of temperature, pressure and iron content on the electrical conductivity of orthopyroxene</t>
  </si>
  <si>
    <t>Lidong Dai, Shun-ichiro Karato</t>
  </si>
  <si>
    <t>Electrical conductivity of pyrope-rich garnet at high temperature and high pressure</t>
  </si>
  <si>
    <t>10.1016/j.pepi.2009.04.002</t>
  </si>
  <si>
    <t>a Cw^b exp( -h +P*V/kT)</t>
  </si>
  <si>
    <t>water_exponent_arrhenious_pressure</t>
  </si>
  <si>
    <t>preexp_log</t>
  </si>
  <si>
    <t>preexp</t>
  </si>
  <si>
    <t>exponent</t>
  </si>
  <si>
    <t>enthalpy</t>
  </si>
  <si>
    <t>const</t>
  </si>
  <si>
    <t>b_uncertainty</t>
  </si>
  <si>
    <t>c_uncertainty</t>
  </si>
  <si>
    <t>d_uncertainty</t>
  </si>
  <si>
    <t>e_uncertainty</t>
  </si>
  <si>
    <t>f_uncertainty</t>
  </si>
  <si>
    <t>h_uncertainty</t>
  </si>
  <si>
    <t>volume</t>
  </si>
  <si>
    <t>A0(1 - B*P) exp( -h +P*V/kT)</t>
  </si>
  <si>
    <t>log10(a + b*log10 fO2 + c/T)</t>
  </si>
  <si>
    <t>arrhenious_preexp_parameterized</t>
  </si>
  <si>
    <t>The effect of chemical composition and oxygen fugacity on the electrical conductivity of dry and hydrous garnet at high temperatures and pressures</t>
  </si>
  <si>
    <t>Lidong Dai, Heping Li, Haiying Hu, Shuangming Shan, Jianjun Jiang, Keshi Hui</t>
  </si>
  <si>
    <t>10.1007/s00410-011-0693-5</t>
  </si>
  <si>
    <t>garnet_hydrous</t>
  </si>
  <si>
    <t>several</t>
  </si>
  <si>
    <t>sintered and single crystal</t>
  </si>
  <si>
    <t>Electrical conductivity of Alm82Py15Grs3 almandine-rich garnet determined by impedance spectroscopy at high temperatures and high pressures</t>
  </si>
  <si>
    <t>Lidong Dai, Heping Li, Haiying Hu, Jianjun Jiang, Keshi Hui,, Shuangming Shan</t>
  </si>
  <si>
    <t>10.1016/j.tecto.2013.07.004</t>
  </si>
  <si>
    <t>single crystal</t>
  </si>
  <si>
    <t>arrhenious_pressure</t>
  </si>
  <si>
    <t>a exp( - (H + PV)/kt)</t>
  </si>
  <si>
    <t>Electrical conductivity of majorite garnet and its implications for electrical structure in the mantle transition zone</t>
  </si>
  <si>
    <t>10.1016/j.pepi.2008.04.009</t>
  </si>
  <si>
    <t xml:space="preserve">Takashi Yoshino, Masayuki Nishi,Takuya Matsuzaki,, Daisuke Yamazaki , Tomoo Katsura </t>
  </si>
  <si>
    <t>synthesized</t>
  </si>
  <si>
    <t>Electrical conductivity of the plagioclase–NaCl–water system and its implication for the high conductivity anomalies in the mid-lower crust of Tibet Plateau</t>
  </si>
  <si>
    <t>Ping Li, Xinzhuan Guo1, Sibo Chen, Chao Wang, Junlong Yang,  Xingfan Zhou,</t>
  </si>
  <si>
    <t>10.1007/s00410-018-1442-9</t>
  </si>
  <si>
    <t>brine</t>
  </si>
  <si>
    <t>plag-water-NaCl_ 1% salinity</t>
  </si>
  <si>
    <t>plag-water-NaCl_25% salinity</t>
  </si>
  <si>
    <t>plag-water-NaCl_10%  salinity</t>
  </si>
  <si>
    <t>albite-water-Nacl_3% salinity</t>
  </si>
  <si>
    <t>albite-water-Nacl_10% salinity</t>
  </si>
  <si>
    <t>single_value</t>
  </si>
  <si>
    <t>Johnson and Rossman</t>
  </si>
  <si>
    <t>Unusually high electrical conductivity of phlogopite: the possible role of fluorine and geophysical implications</t>
  </si>
  <si>
    <t>Yan Li, Xiaozhi Yang, Jin‑Hai Yu1, Yuan‑Feng Cai</t>
  </si>
  <si>
    <t>10.1007/s00410-016-1252-x</t>
  </si>
  <si>
    <t>phlogopite</t>
  </si>
  <si>
    <t>Libowitzky and Rossman</t>
  </si>
  <si>
    <t>Re-evaluation of electrical conductivity of anhydrous and hydrous wadsleyite</t>
  </si>
  <si>
    <t>Takashi Yoshino, Tomoo Katsura,</t>
  </si>
  <si>
    <t>10.1016/j.epsl.2012.05.023</t>
  </si>
  <si>
    <t>wadsleyite</t>
  </si>
  <si>
    <t>polycrystal aggregates and synthetic aggregates</t>
  </si>
  <si>
    <t>Supercritical fluid in the mantle transition zone deduced from H–D interdiffusion of wadsleyite</t>
  </si>
  <si>
    <t>Wei Sun, Takashi Yoshino, Naoya Sakamoto, Hisayoshi Yurimoto,</t>
  </si>
  <si>
    <t>10.1016/j.epsl.2017.12.032 0012-821X</t>
  </si>
  <si>
    <t>synthesized aggregates</t>
  </si>
  <si>
    <t>Paterson</t>
  </si>
  <si>
    <t>a exp(b/kT) fo2^c</t>
  </si>
  <si>
    <t>Time-dependent changes of the electrical conductivity of basaltic melts with redox state</t>
  </si>
  <si>
    <t>A. Pommier, Gaillard, M. Pichavant</t>
  </si>
  <si>
    <t>10.1016/j.gca.2009.12.005</t>
  </si>
  <si>
    <t>basaltic melt</t>
  </si>
  <si>
    <t>melt</t>
  </si>
  <si>
    <t>natural whole rock sample</t>
  </si>
  <si>
    <t>arrhenious_fugacity</t>
  </si>
  <si>
    <t>Steven Constable, Thomas J. Shankland, Al Duba</t>
  </si>
  <si>
    <t>10.1029/91JB02453</t>
  </si>
  <si>
    <t>a exp(-b /kT) + b exp(-c /kT)</t>
  </si>
  <si>
    <t>arrhenious_simple+arrhenious_simple</t>
  </si>
  <si>
    <t xml:space="preserve">Yousheng Xu,  Shankland, A.G. Duba </t>
  </si>
  <si>
    <t xml:space="preserve">Pressure effect on electrical conductivity of mantle olivine </t>
  </si>
  <si>
    <t>polycrystal average</t>
  </si>
  <si>
    <t>Anisotropy of electrical conductivity in dry olivine</t>
  </si>
  <si>
    <t>Wyatt L. Du Frane, Jeffery J. Roberts, Daniel A. Toffelmier,and James A. Tyburczy</t>
  </si>
  <si>
    <t>10.1029/2005GL023879</t>
  </si>
  <si>
    <t>single crystal olivine</t>
  </si>
  <si>
    <t>arrhenious_fugacity+arrhenious_simple</t>
  </si>
  <si>
    <t>CO2:CO</t>
  </si>
  <si>
    <t>afO2^b exp(c/kT) + d exp(e/kT)</t>
  </si>
  <si>
    <t>SEO3: A new model of olivine electrical conductivity</t>
  </si>
  <si>
    <t>Steven Constable</t>
  </si>
  <si>
    <t>10.1111/j.1365-246X.2006.03041.x</t>
  </si>
  <si>
    <t>reanalysis</t>
  </si>
  <si>
    <t>g</t>
  </si>
  <si>
    <t>g_uncertainty</t>
  </si>
  <si>
    <t>h_description</t>
  </si>
  <si>
    <t>c_description</t>
  </si>
  <si>
    <t>d_description</t>
  </si>
  <si>
    <t>e_description</t>
  </si>
  <si>
    <t>f_description</t>
  </si>
  <si>
    <t>g_description</t>
  </si>
  <si>
    <t>i</t>
  </si>
  <si>
    <t>i_uncertainty</t>
  </si>
  <si>
    <t>i_description</t>
  </si>
  <si>
    <t>j</t>
  </si>
  <si>
    <t>j_uncertainty</t>
  </si>
  <si>
    <t>j_description</t>
  </si>
  <si>
    <t>k</t>
  </si>
  <si>
    <t>k_uncertainty</t>
  </si>
  <si>
    <t>k_description</t>
  </si>
  <si>
    <t>L</t>
  </si>
  <si>
    <t>L_uncertainty</t>
  </si>
  <si>
    <t>L_description</t>
  </si>
  <si>
    <t>m</t>
  </si>
  <si>
    <t>m_uncertainty</t>
  </si>
  <si>
    <t>m_description</t>
  </si>
  <si>
    <t>n</t>
  </si>
  <si>
    <t>n_uncertainty</t>
  </si>
  <si>
    <t>n_description</t>
  </si>
  <si>
    <t>O</t>
  </si>
  <si>
    <t>O_description</t>
  </si>
  <si>
    <t>p</t>
  </si>
  <si>
    <t>p_uncertainty</t>
  </si>
  <si>
    <t>p_description</t>
  </si>
  <si>
    <t>The effect of water on the electrical conductivity of olivine</t>
  </si>
  <si>
    <t xml:space="preserve">10.1038/nature05256 </t>
  </si>
  <si>
    <t>synthetic sinter</t>
  </si>
  <si>
    <t xml:space="preserve">Ni–NiO </t>
  </si>
  <si>
    <t>wang_06_ol</t>
  </si>
  <si>
    <t>arrhenious_simple+water_exponent_arrhenious</t>
  </si>
  <si>
    <t>a exp(-b /kT)+c Cw^d exp( -e /kT)</t>
  </si>
  <si>
    <t>synthetic aggregate</t>
  </si>
  <si>
    <t xml:space="preserve">The effect of water on the electrical conductivity of olivine aggregates and its implications for the electrical structure of the upper mantle </t>
  </si>
  <si>
    <t xml:space="preserve">Takashi Yoshino, Takuya Matsuzaki, Anton Shatskiy, Tomoo Katsura </t>
  </si>
  <si>
    <t xml:space="preserve">10.1016/j.epsl.2009.09.032 </t>
  </si>
  <si>
    <t>Effect of temperature, pressure and iron content on the electrical conductivity of olivine and its high-pressure polymorphs</t>
  </si>
  <si>
    <t>Takashi Yoshino, Akira Shimojuku, Shuanming Shan, Xinzhuan Guo, Daisuke Yamazaki, Eiji Ito, Yuji Higo, Ken-ichi Funakoshi</t>
  </si>
  <si>
    <t>10.1029/2011JB008774</t>
  </si>
  <si>
    <t>a X_fe exp( -(b - c* Xfe^1/3 + P( d - e Xfe)/kT)</t>
  </si>
  <si>
    <t>Toward a unified hydrous olivine electrical conductivity law</t>
  </si>
  <si>
    <t>Emmanuel Gardés, Fabrice Gaillard, Pascal Tarits</t>
  </si>
  <si>
    <t>10.1002/2014GC005496</t>
  </si>
  <si>
    <t>withers</t>
  </si>
  <si>
    <t>Pressure dependence of electrical conductivity in forsterite</t>
  </si>
  <si>
    <t>Takashi Yoshino, Baohua Zhang, Brandon Rhymer, Chengcheng Zhao, Hongzhan Fei</t>
  </si>
  <si>
    <t>10.1002/2016JB013555</t>
  </si>
  <si>
    <t>forsterite</t>
  </si>
  <si>
    <t>a exp( - (b + Pc)/kt)</t>
  </si>
  <si>
    <t>10.1038/s41598-017-05113-6</t>
  </si>
  <si>
    <t>Hydrogen self-diffusion in single crystal olivine and electrical conductivity of the Earth’s mantle</t>
  </si>
  <si>
    <t>Davide Novella, Benjamin Jacobsen, Peter K. Weber, James A. Tyburczy, Frederick J. Ryerson, &amp; Wyatt L. Du Frane</t>
  </si>
  <si>
    <t>H-D Interdiffusion in Single-Crystal Olivine: Implications for Electrical Conductivity in the Upper Mantle</t>
  </si>
  <si>
    <t>Wei Sun, Takashi Yoshino, Minami Kuroda, Naoya Sakamoto, Hisayoshi Yurimoto</t>
  </si>
  <si>
    <t>10.1029/2019JB017576</t>
  </si>
  <si>
    <t>a Cw^(1+b) exp( c/kT)/kT</t>
  </si>
  <si>
    <t xml:space="preserve">C_h exp( a - b/(ln(10)RT))/kT </t>
  </si>
  <si>
    <t>a exp( - (b + Pc)/kt) + e exp( - (f + Pg)/kt)</t>
  </si>
  <si>
    <t>arrhenious_pressure+arrhenious_pressure</t>
  </si>
  <si>
    <t>nerst_einstien_3</t>
  </si>
  <si>
    <t>The Effect of Water on Ionic Conductivity in Olivine</t>
  </si>
  <si>
    <t>Hongzhan Fei , Dmitry Druzhbin, and Tomoo Katsura</t>
  </si>
  <si>
    <t>10.1029/2019JB019313</t>
  </si>
  <si>
    <t>a Cw^b exp(-(c + Pd)/kT)/T + e exp( - (f + Pg)/kt)</t>
  </si>
  <si>
    <t>[001]</t>
  </si>
  <si>
    <t>[100]</t>
  </si>
  <si>
    <t>[010]</t>
  </si>
  <si>
    <t>[110]</t>
  </si>
  <si>
    <t>full fit</t>
  </si>
  <si>
    <t>Complete or Partial Fit</t>
  </si>
  <si>
    <t>Composite or single</t>
  </si>
  <si>
    <t>single</t>
  </si>
  <si>
    <t>composite</t>
  </si>
  <si>
    <t>ionic</t>
  </si>
  <si>
    <t>proton</t>
  </si>
  <si>
    <t>bell</t>
  </si>
  <si>
    <t>Duojun Wang, Mainak Mookherjee, Yousheng Xu, Shun-ichiro Karato</t>
  </si>
  <si>
    <t>Kovács</t>
  </si>
  <si>
    <t>a_uncertainty</t>
  </si>
  <si>
    <t>arrhenious_logfO2_2</t>
  </si>
  <si>
    <t>water_exponent_arrhenious_pressure_invT + arrhenious_pressure</t>
  </si>
  <si>
    <t>arrhenious_simple+arrhenious_simple+water_preexp_enthalpy_arrhenious</t>
  </si>
  <si>
    <t>arrhenious_simple+water_preexp_enthalpy_arrhenious</t>
  </si>
  <si>
    <t>arrhenious_pressure+iron_preexp_enthalpy_arrhenious</t>
  </si>
  <si>
    <t>iron_preexp_enthalpy_arrhenious</t>
  </si>
  <si>
    <t>iron_water_arrhenious1</t>
  </si>
  <si>
    <t>iron_water_arrhenious2</t>
  </si>
  <si>
    <t>Entry ID</t>
  </si>
  <si>
    <t>Publication ID</t>
  </si>
  <si>
    <t>wang2008</t>
  </si>
  <si>
    <t>xu1999</t>
  </si>
  <si>
    <t>HuebnerVoight1988</t>
  </si>
  <si>
    <t>ZhangYoshino2016</t>
  </si>
  <si>
    <t>YangMcCammon2012</t>
  </si>
  <si>
    <t>Zhang2012</t>
  </si>
  <si>
    <t>Sun2019a</t>
  </si>
  <si>
    <t>Han2023</t>
  </si>
  <si>
    <t>Zhang2019</t>
  </si>
  <si>
    <t>DaiKarato2009b</t>
  </si>
  <si>
    <t>Li2018</t>
  </si>
  <si>
    <t>Li2016</t>
  </si>
  <si>
    <t>Sun2018</t>
  </si>
  <si>
    <t>Pommier2010</t>
  </si>
  <si>
    <t>Constable1992</t>
  </si>
  <si>
    <t>xu2000</t>
  </si>
  <si>
    <t>DuFrane2005</t>
  </si>
  <si>
    <t>Constable2006</t>
  </si>
  <si>
    <t>Wang2006</t>
  </si>
  <si>
    <t>Yoshino2009</t>
  </si>
  <si>
    <t>Yoshino2012b</t>
  </si>
  <si>
    <t>Yoshino2012a</t>
  </si>
  <si>
    <t>Gardes2014</t>
  </si>
  <si>
    <t>Novella2017</t>
  </si>
  <si>
    <t>Sun2019b</t>
  </si>
  <si>
    <t>Fei2020</t>
  </si>
  <si>
    <t>DaiKarato2009a</t>
  </si>
  <si>
    <t>Orientation-related electrical conductivity of hydrous olivine, clinopyroxene and plagioclase and implications for the structure of the lower continental crust and uppermost mantle</t>
  </si>
  <si>
    <t>Xiaozhi Yang</t>
  </si>
  <si>
    <t>10.1016/j.epsl.2011.11.011</t>
  </si>
  <si>
    <t>Effect of water on the electrical conductivity of lower crustal clinopyroxene</t>
  </si>
  <si>
    <t>Xiaozhi Yang, Hans Keppler, Catherine McCammon, Huaiwei Ni, Qunke Xia,2 and Qicheng Fan3</t>
  </si>
  <si>
    <t>10.1029/2010JB008010</t>
  </si>
  <si>
    <t>bell 2003</t>
  </si>
  <si>
    <t>bell 1995</t>
  </si>
  <si>
    <t>Johnson and Rossman (2003)</t>
  </si>
  <si>
    <t>dry</t>
  </si>
  <si>
    <t>wet</t>
  </si>
  <si>
    <t>partial</t>
  </si>
  <si>
    <t>bell 1995 and paterson</t>
  </si>
  <si>
    <t>3.56</t>
  </si>
  <si>
    <t>yang_12b_cpx[100]</t>
  </si>
  <si>
    <t>yang_12b_cpx[010]</t>
  </si>
  <si>
    <t>yang_12b_cpx[001]</t>
  </si>
  <si>
    <t>yang_12b_plag[100]</t>
  </si>
  <si>
    <t>yang_12b_plag[010]</t>
  </si>
  <si>
    <t>yang_12b_plag[001]</t>
  </si>
  <si>
    <t>Liu2019</t>
  </si>
  <si>
    <t>a_description</t>
  </si>
  <si>
    <t>b_description</t>
  </si>
  <si>
    <t>O_uncertainty</t>
  </si>
  <si>
    <t>b</t>
  </si>
  <si>
    <t>c</t>
  </si>
  <si>
    <t>nerst_einstein_2</t>
  </si>
  <si>
    <t>10**(a - b/kT + c log(fo2))</t>
  </si>
  <si>
    <t>Granite QGNP wet</t>
  </si>
  <si>
    <t xml:space="preserve"> pyr-ol majorite</t>
  </si>
  <si>
    <t>morb majorite</t>
  </si>
  <si>
    <t>wet plagioclaise</t>
  </si>
  <si>
    <t>wtpct10x</t>
  </si>
  <si>
    <t>data table specifies simga0 as 340, but the graph requires a sigma of 240 to match the data</t>
  </si>
  <si>
    <t>Fitting Comments</t>
  </si>
  <si>
    <t>data table specifies simga0 as 2762, but the graph requires a sigma of log10(sigma0)=3.3 to match the data</t>
  </si>
  <si>
    <t>mixed high-low mechanisms. Preexp adjusted to match graph</t>
  </si>
  <si>
    <t>preexp increased upwards to match graph. Publication lists 1254</t>
  </si>
  <si>
    <t xml:space="preserve">Eqn only works if offset temp by +120, increments by 60, T goes up to 1473, and fO2 is multiplied by 0.7. </t>
  </si>
  <si>
    <t>Eqn only works if offset temp + 110, ends at 1375, incremebts by 60, and fO2 is multiplied by 0.8</t>
  </si>
  <si>
    <t>Plot says its for 8 Gpa but equation works only when P=5</t>
  </si>
  <si>
    <t>Fitted curves don't match data trends. Linear fits are probably not from fitted equations</t>
  </si>
  <si>
    <t>Electrical conductivity of orthopyroxene and its high pressure phases</t>
  </si>
  <si>
    <t>Dai_gt_2012</t>
  </si>
  <si>
    <t>Dai_gt_2013</t>
  </si>
  <si>
    <t>Electrical conductivity of hydrous basaltic melts: implications for partial melting in the upper mantle</t>
  </si>
  <si>
    <t>Huaiwei Ni,  Hans Keppler, Harald Behrens</t>
  </si>
  <si>
    <t>10.1007/s00410-011-0617-4</t>
  </si>
  <si>
    <t>hydrous basaltic melt</t>
  </si>
  <si>
    <t>synthetic oxide glass</t>
  </si>
  <si>
    <t>a exp( - (b - c Cw^d)/k(T-e))</t>
  </si>
  <si>
    <t>vft_wet</t>
  </si>
  <si>
    <t>NiH2011</t>
  </si>
  <si>
    <t>Karl Fischer Titration</t>
  </si>
  <si>
    <t>mathed parameterization to fit the VFT in exponential form</t>
  </si>
  <si>
    <t>The electrical conductivity during incipient melting in the oceanic low-velocity zone</t>
  </si>
  <si>
    <t>David Sifré, Emmanuel Gardés, Malcolm Massuyeau, Leila Hashim, Saswata Hier-Majumder, Fabrice Gaillard</t>
  </si>
  <si>
    <t>10.1038/nature13245</t>
  </si>
  <si>
    <t>hydrous and CO2 melt</t>
  </si>
  <si>
    <t>sifre_14_carb_h_basalt</t>
  </si>
  <si>
    <t>Sif2014</t>
  </si>
  <si>
    <t>mixture</t>
  </si>
  <si>
    <t>C-Co2</t>
  </si>
  <si>
    <t>Flash 2000 Thermo-Fischer</t>
  </si>
  <si>
    <t>exp [{a exp(bCw) +c}h + i] exp(  -{a exp(bCw) +c}/kT)+exp [{d exp(eCw) +f}j + k] exp(  -d exp(eCw) +f}/kT)</t>
  </si>
  <si>
    <t>linked_arrhenious_wet+linked_arrhenious_co2</t>
  </si>
  <si>
    <t>only works when the small polaron conduction enthalpy is set to 1.5 and the water exponent in proton conduction is one</t>
  </si>
  <si>
    <t>a exp(-b /kT)+c exp(-d /kT)+eCw exp( -(f + g C_w^(h) /kT)</t>
  </si>
  <si>
    <t>a exp( -b /kT)+c Cw exp( -(d + e C_w^(h) /kT)</t>
  </si>
  <si>
    <t>a exp(-b /kT)+c exp( -d /kT)+eCw exp( -(f + g C_w^(h) /kT)</t>
  </si>
  <si>
    <t>nerst_einstein1+arrhenious_simple</t>
  </si>
  <si>
    <t>Dry mantle transition zone inferred from the conductivity of wadsleyite and ringwoodite</t>
  </si>
  <si>
    <t>Takashi Yoshino, Geeth Manthilake, Takuya Matsuzaki,  Tomoo Katsura</t>
  </si>
  <si>
    <t>doi:10.1038/nature06427</t>
  </si>
  <si>
    <t>Yoshino2008a</t>
  </si>
  <si>
    <t>Yoshino2008b</t>
  </si>
  <si>
    <t>Mo–MoO2</t>
  </si>
  <si>
    <t>1.49</t>
  </si>
  <si>
    <t>0.1</t>
  </si>
  <si>
    <t>a exp(b/kT) Ch /kT</t>
  </si>
  <si>
    <t>actual preexp had to be adjusted downwards slightly to match conductivity figures. Preexp also contains adjustment factors not given in publication. Enthalpy also converted to EV and adjusted to match diffusion graph</t>
  </si>
  <si>
    <t>Yang2011a</t>
  </si>
  <si>
    <t>Yang2011b</t>
  </si>
  <si>
    <t>Yang2012</t>
  </si>
  <si>
    <t>granite</t>
  </si>
  <si>
    <t>granulite</t>
  </si>
  <si>
    <t>oomphacite</t>
  </si>
  <si>
    <t>a (X_fe+b)^c Cw^d exp( (-e- f(X_fe+b)- gCw^(h))/kT)</t>
  </si>
  <si>
    <t>Unrealistic preexp values. Values matched when using them in a non log way. Water values correspond to mass  loss attributed to water between ~700 and 900k</t>
  </si>
  <si>
    <t>Unrealistic preexp values. Values matched when using them in a non log way and when removing -0.5 log10 units from this row.Water values correspond to mass  loss attributed to water between ~700 and 900k</t>
  </si>
  <si>
    <t xml:space="preserve">had to add a miniscule amount of iron (1e-4) to make equation stable in 'iron free' realms. Eqn also doesn't match publication exactly. </t>
  </si>
  <si>
    <t>original exponent is 0.94. Better correspondence is had with 0.97</t>
  </si>
  <si>
    <t>preexp increased upwards to match graph.</t>
  </si>
  <si>
    <t>Experimental Study on the Electrical Conductivity of Orthopyroxene at High Temperature and High Pressure under Different Oxygen Fugacities</t>
  </si>
  <si>
    <t>Dai Lidong, Li Heping, Liu Congqiang,Shan Shuangming, Cui Tongdi, and Su Genli</t>
  </si>
  <si>
    <t>10.1111/j.1755-6724.2005.tb00935.x</t>
  </si>
  <si>
    <t>a exp( -b +Pc /kT)</t>
  </si>
  <si>
    <t>Dai2005</t>
  </si>
  <si>
    <t xml:space="preserve"> </t>
  </si>
  <si>
    <t xml:space="preserve">used an activation volume of 3.9 instead of 0.03 to fit figure. Reduced activation energy to 1.68 as well. </t>
  </si>
  <si>
    <t>had to adjust preexp log upwards by 0.2 for first mechanism. Second mechanism had to be adjusted downward 0.4 log units in the preexp. The second enthalpy also needed adjustment</t>
  </si>
  <si>
    <t>seo3_term+seo3_term</t>
  </si>
  <si>
    <t>e0*[a∗exp(b/kT) + c∗exp(d/kT)fO2∧e]∗f∗exp(g/kT)+e0*[h∗exp(i/kT) + j∗exp(k/kT)fO2∧l]∗m∗exp(n/kT)</t>
  </si>
  <si>
    <t>exp</t>
  </si>
  <si>
    <t>adjusted preexp A1 downward by 0.1 and A2 down by .75 log units</t>
  </si>
  <si>
    <t>Yoshino2016</t>
  </si>
  <si>
    <t xml:space="preserve">a C_h q^2 (b exp(-h/kT))/kT </t>
  </si>
  <si>
    <t>may be inaccurate at high (&gt;200 ppm) water contents.</t>
  </si>
  <si>
    <t xml:space="preserve">withers </t>
  </si>
  <si>
    <t>sigma2 reduced by 0.02 to conform to low temp trends. May be inaccurate at high water contents (&gt;100 ppm)</t>
  </si>
  <si>
    <t>sigma1 increased by 0.02 and sigma2 increased by 0.07</t>
  </si>
  <si>
    <t>Pressure Average</t>
  </si>
  <si>
    <t>Pressure Min</t>
  </si>
  <si>
    <t>Pressure Max</t>
  </si>
  <si>
    <t>Temp Min</t>
  </si>
  <si>
    <t>Temp Max</t>
  </si>
  <si>
    <t>Electrical conductivity of hydrous natural basalts at high temperatures and pressures</t>
  </si>
  <si>
    <t>https://doi.org/10.1016/j.jappgeo.2014.12.007</t>
  </si>
  <si>
    <t>Ni–NiO</t>
  </si>
  <si>
    <t>natural basalts</t>
  </si>
  <si>
    <t>SIMS</t>
  </si>
  <si>
    <t>a Cw^b exp( -(c + d C_w^(e) + Pf)/kT)+g Cw^h exp( -(i + j C_w^(k) + PL)/kT)</t>
  </si>
  <si>
    <t>water_preexp_enthalpy_pressure+water_preexp_enthalpy_pressure</t>
  </si>
  <si>
    <t>Dai2015</t>
  </si>
  <si>
    <t>water_exp</t>
  </si>
  <si>
    <t>original equation doesn't include a volume term. Adjusting the alpha to 0.3, and fiddling with the preexponentail constants gets something pretty close to the publication graph that includes pressure.</t>
  </si>
  <si>
    <t>yang_11b_nat_cpx</t>
  </si>
  <si>
    <t>yang_11b_wet_cpx</t>
  </si>
  <si>
    <t>yang_11b_dry_cpx</t>
  </si>
  <si>
    <t>yang_12b_ol[100]</t>
  </si>
  <si>
    <t>yang_12b_ol[010]</t>
  </si>
  <si>
    <t>yang_12b_ol[001]</t>
  </si>
  <si>
    <t>SEO3_ol</t>
  </si>
  <si>
    <t>dF_05_ol[100]</t>
  </si>
  <si>
    <t>dF_05_ol[010]</t>
  </si>
  <si>
    <t>dF_05_ol[001]</t>
  </si>
  <si>
    <t>xu_2000_poly_ol</t>
  </si>
  <si>
    <t>xu_2000_ol[001]</t>
  </si>
  <si>
    <t>xu_2000_ol[010]</t>
  </si>
  <si>
    <t>xu_2000_ol[100]</t>
  </si>
  <si>
    <t>SEO2_ol</t>
  </si>
  <si>
    <t>sun_18_wads[001]</t>
  </si>
  <si>
    <t>sun_18_wads[010]</t>
  </si>
  <si>
    <t>sun_18_wads[100]</t>
  </si>
  <si>
    <t>yL_16_phlogopite[010]</t>
  </si>
  <si>
    <t>yL_16_phlogopite[110]</t>
  </si>
  <si>
    <t>yL_16_phlogopite[001]</t>
  </si>
  <si>
    <t>yk_12_wads</t>
  </si>
  <si>
    <t>dai_13_alm_dry_gt</t>
  </si>
  <si>
    <t>dai_12_wet_gt</t>
  </si>
  <si>
    <t>dai_09_wet_gt</t>
  </si>
  <si>
    <t>dai_09_dry_gt</t>
  </si>
  <si>
    <t>dai_12_dry_gt</t>
  </si>
  <si>
    <t>Liu_19_gt</t>
  </si>
  <si>
    <t>zhang_19_oomph</t>
  </si>
  <si>
    <t>ys_08_lowT_mj_gt</t>
  </si>
  <si>
    <t>ys_08_highT_mj_gt</t>
  </si>
  <si>
    <t>ys_08_mixedT_mj_gt</t>
  </si>
  <si>
    <t>ys_08_morb_mj_gt</t>
  </si>
  <si>
    <t>Li_18_1%plg_brine</t>
  </si>
  <si>
    <t>Li_18_25%plg_brine</t>
  </si>
  <si>
    <t>Li_18_10%plg_brine</t>
  </si>
  <si>
    <t>Li_18_3%alb_brine</t>
  </si>
  <si>
    <t>Li_18_10%alb_brine</t>
  </si>
  <si>
    <t>Li_18_dry_plag</t>
  </si>
  <si>
    <t>Li_18_wet_plag</t>
  </si>
  <si>
    <t>han_23_HD_granite</t>
  </si>
  <si>
    <t>han_23_QD_low_granite</t>
  </si>
  <si>
    <t>han_23_QD_high_granite</t>
  </si>
  <si>
    <t>han_23_QP_low_granite</t>
  </si>
  <si>
    <t>han_23_QP_high_granite</t>
  </si>
  <si>
    <t>zh_2012_ortho</t>
  </si>
  <si>
    <t>sun_19_ds15_2_granulite</t>
  </si>
  <si>
    <t>sun_19_ds16_2_granulite</t>
  </si>
  <si>
    <t>sun_19_ds16_1_low_granulite</t>
  </si>
  <si>
    <t>sun_19_ds16_1_high_granulite</t>
  </si>
  <si>
    <t>sun_19_ds17_2_low_granulite</t>
  </si>
  <si>
    <t>sun_19_ds17_2_high_granulite</t>
  </si>
  <si>
    <t>sun_19_ds17_3_low_granulite</t>
  </si>
  <si>
    <t>sun_19_ds17_3_high_granulite</t>
  </si>
  <si>
    <t>xu_1999_opx</t>
  </si>
  <si>
    <t>xu_1999_cpx</t>
  </si>
  <si>
    <t>huebner88_dk7_cpx[100]</t>
  </si>
  <si>
    <t>huebner88_dk7_cpx[010]</t>
  </si>
  <si>
    <t>huebner88_dk7_cpx[001]</t>
  </si>
  <si>
    <t>huebner88_mal_cpx[100]</t>
  </si>
  <si>
    <t>huebner88_mal_cpx[010]</t>
  </si>
  <si>
    <t>d_2005_opx</t>
  </si>
  <si>
    <t>dk_2009_opx</t>
  </si>
  <si>
    <t>dk_2009_ol</t>
  </si>
  <si>
    <t>yang_11a_opx</t>
  </si>
  <si>
    <t>yang_11a_plag</t>
  </si>
  <si>
    <t>ymcc_12_wet_cpx</t>
  </si>
  <si>
    <t>ty_09_ol</t>
  </si>
  <si>
    <t>ty_12_ol</t>
  </si>
  <si>
    <t>gar_14_bell_ol[100]</t>
  </si>
  <si>
    <t>gar_14_bell_ol[010]</t>
  </si>
  <si>
    <t>gar_14_bell_ol[001]</t>
  </si>
  <si>
    <t>gar_14_withers_ol[100]</t>
  </si>
  <si>
    <t>gar_14_withers_ol[010]</t>
  </si>
  <si>
    <t>gar_14_withers_ol[001]</t>
  </si>
  <si>
    <t>y_16_ol[100]</t>
  </si>
  <si>
    <t>y_16_ol[010]</t>
  </si>
  <si>
    <t>y_16_ol[001]</t>
  </si>
  <si>
    <t>nv_17_ol[100]</t>
  </si>
  <si>
    <t>nv_17_ol[010]</t>
  </si>
  <si>
    <t>nv_17_ol[001]</t>
  </si>
  <si>
    <t>sun_19ol[100]</t>
  </si>
  <si>
    <t>sun_19ol[001]</t>
  </si>
  <si>
    <t>fei_20_ol[100]</t>
  </si>
  <si>
    <t>fei_20_ol[010]</t>
  </si>
  <si>
    <t>fei_20_ol[001]</t>
  </si>
  <si>
    <t>dai_15_basalt</t>
  </si>
  <si>
    <t>y_08_wads</t>
  </si>
  <si>
    <r>
      <t>Lidong Dai</t>
    </r>
    <r>
      <rPr>
        <sz val="16"/>
        <color rgb="FF2E2E2E"/>
        <rFont val="Arial"/>
        <family val="2"/>
      </rPr>
      <t>, </t>
    </r>
    <r>
      <rPr>
        <sz val="12"/>
        <color theme="1"/>
        <rFont val="Calibri"/>
        <family val="2"/>
        <scheme val="minor"/>
      </rPr>
      <t>Jianjun Jiang</t>
    </r>
    <r>
      <rPr>
        <sz val="16"/>
        <color rgb="FF2E2E2E"/>
        <rFont val="Arial"/>
        <family val="2"/>
      </rPr>
      <t>, </t>
    </r>
    <r>
      <rPr>
        <sz val="12"/>
        <color theme="1"/>
        <rFont val="Calibri"/>
        <family val="2"/>
        <scheme val="minor"/>
      </rPr>
      <t>Heping Li</t>
    </r>
    <r>
      <rPr>
        <sz val="16"/>
        <color rgb="FF2E2E2E"/>
        <rFont val="Arial"/>
        <family val="2"/>
      </rPr>
      <t>, </t>
    </r>
    <r>
      <rPr>
        <sz val="12"/>
        <color theme="1"/>
        <rFont val="Calibri"/>
        <family val="2"/>
        <scheme val="minor"/>
      </rPr>
      <t>Haiying Hu</t>
    </r>
    <r>
      <rPr>
        <sz val="16"/>
        <color rgb="FF2E2E2E"/>
        <rFont val="Arial"/>
        <family val="2"/>
      </rPr>
      <t>, </t>
    </r>
    <r>
      <rPr>
        <sz val="12"/>
        <color theme="1"/>
        <rFont val="Calibri"/>
        <family val="2"/>
        <scheme val="minor"/>
      </rPr>
      <t>Keshi Hui</t>
    </r>
  </si>
  <si>
    <t>nih_11_basalt_hydrous</t>
  </si>
  <si>
    <t>pom_10b_basalt</t>
  </si>
  <si>
    <t>ymcc_12_dry_cpx</t>
  </si>
  <si>
    <t xml:space="preserve">The Electrical Conductivity of an Isotropic Olivine Mantle </t>
  </si>
  <si>
    <t>olivine dry</t>
  </si>
  <si>
    <t>ty_09_dry_ol</t>
  </si>
  <si>
    <t>a exp(-b /kT)+c exp(-d /kT)</t>
  </si>
  <si>
    <t>peridotite</t>
  </si>
  <si>
    <t>wang_08_per</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</si>
</sst>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E+00"/>
  </numFmts>
  <fonts count="7" x14ac:knownFonts="1">
    <font>
      <sz val="12"/>
      <color theme="1"/>
      <name val="Calibri"/>
      <family val="2"/>
      <scheme val="minor"/>
    </font>
    <font>
      <u/>
      <sz val="12"/>
      <color theme="10"/>
      <name val="Calibri"/>
      <family val="2"/>
      <scheme val="minor"/>
    </font>
    <font>
      <sz val="12"/>
      <color rgb="FF2E2E2E"/>
      <name val="Georgia"/>
      <family val="1"/>
    </font>
    <font>
      <sz val="12"/>
      <color rgb="FF222222"/>
      <name val="Calibri"/>
      <family val="2"/>
      <scheme val="minor"/>
    </font>
    <font>
      <sz val="12"/>
      <color rgb="FF006100"/>
      <name val="Calibri"/>
      <family val="2"/>
      <scheme val="minor"/>
    </font>
    <font>
      <sz val="16"/>
      <color rgb="FF2E2E2E"/>
      <name val="Arial"/>
      <family val="2"/>
    </font>
    <font>
      <sz val="16"/>
      <color rgb="FF2E2E2E"/>
      <name val="Georgia"/>
      <family val="1"/>
    </font>
  </fonts>
  <fills count="3">
    <fill>
      <patternFill patternType="none"/>
    </fill>
    <fill>
      <patternFill patternType="gray125"/>
    </fill>
    <fill>
      <patternFill patternType="solid">
        <fgColor rgb="FFC6EFCE"/>
      </patternFill>
    </fill>
  </fills>
  <borders count="1">
    <border>
      <start/>
      <end/>
      <top/>
      <bottom/>
      <diagonal/>
    </border>
  </borders>
  <cellStyleXfs count="3">
    <xf numFmtId="0" fontId="0" fillId="0" borderId="0"/>
    <xf numFmtId="0" fontId="1" fillId="0" borderId="0" applyNumberFormat="0" applyFill="0" applyBorder="0" applyAlignment="0" applyProtection="0"/>
    <xf numFmtId="0" fontId="4" fillId="2" borderId="0" applyNumberFormat="0" applyBorder="0" applyAlignment="0" applyProtection="0"/>
  </cellStyleXfs>
  <cellXfs count="22">
    <xf numFmtId="0" fontId="0" fillId="0" borderId="0" xfId="0"/>
    <xf numFmtId="0" fontId="0" fillId="0" borderId="0" xfId="0" applyAlignment="1">
      <alignment wrapText="1"/>
    </xf>
    <xf numFmtId="49" fontId="0" fillId="0" borderId="0" xfId="0" applyNumberFormat="1" applyAlignment="1">
      <alignment wrapText="1"/>
    </xf>
    <xf numFmtId="2" fontId="0" fillId="0" borderId="0" xfId="0" applyNumberFormat="1" applyAlignment="1">
      <alignment wrapText="1"/>
    </xf>
    <xf numFmtId="49" fontId="0" fillId="0" borderId="0" xfId="1" applyNumberFormat="1" applyFont="1" applyAlignment="1">
      <alignment wrapText="1"/>
    </xf>
    <xf numFmtId="0" fontId="0" fillId="0" borderId="0" xfId="1" applyFont="1" applyAlignment="1">
      <alignment wrapText="1"/>
    </xf>
    <xf numFmtId="49" fontId="0" fillId="0" borderId="0" xfId="1" applyNumberFormat="1" applyFont="1"/>
    <xf numFmtId="49" fontId="0" fillId="0" borderId="0" xfId="0" applyNumberFormat="1"/>
    <xf numFmtId="0" fontId="2" fillId="0" borderId="0" xfId="0" applyFont="1" applyAlignment="1">
      <alignment wrapText="1"/>
    </xf>
    <xf numFmtId="0" fontId="0" fillId="0" borderId="0" xfId="0" applyAlignment="1">
      <alignment vertical="center"/>
    </xf>
    <xf numFmtId="0" fontId="3" fillId="0" borderId="0" xfId="0" applyFont="1" applyAlignment="1">
      <alignment wrapText="1"/>
    </xf>
    <xf numFmtId="2" fontId="0" fillId="0" borderId="0" xfId="0" applyNumberFormat="1"/>
    <xf numFmtId="11" fontId="0" fillId="0" borderId="0" xfId="0" applyNumberFormat="1"/>
    <xf numFmtId="164" fontId="0" fillId="0" borderId="0" xfId="0" applyNumberFormat="1" applyAlignment="1">
      <alignment wrapText="1"/>
    </xf>
    <xf numFmtId="164" fontId="0" fillId="0" borderId="0" xfId="0" applyNumberFormat="1" applyAlignment="1">
      <alignment horizontal="right" wrapText="1"/>
    </xf>
    <xf numFmtId="164" fontId="0" fillId="0" borderId="0" xfId="0" applyNumberFormat="1"/>
    <xf numFmtId="164" fontId="0" fillId="0" borderId="0" xfId="0" applyNumberFormat="1" applyAlignment="1">
      <alignment horizontal="right"/>
    </xf>
    <xf numFmtId="0" fontId="4" fillId="2" borderId="0" xfId="2"/>
    <xf numFmtId="11" fontId="0" fillId="0" borderId="0" xfId="0" applyNumberFormat="1" applyAlignment="1">
      <alignment wrapText="1"/>
    </xf>
    <xf numFmtId="0" fontId="2" fillId="0" borderId="0" xfId="0" applyFont="1"/>
    <xf numFmtId="0" fontId="6" fillId="0" borderId="0" xfId="0" applyFont="1"/>
    <xf numFmtId="2" fontId="4" fillId="2" borderId="0" xfId="2" applyNumberFormat="1"/>
  </cellXfs>
  <cellStyles count="3">
    <cellStyle name="Good" xfId="2" builtinId="26"/>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5" Type="http://purl.oclc.org/ooxml/officeDocument/relationships/calcChain" Target="calcChain.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purl.oclc.org/ooxml/officeDocument/relationships/hyperlink" Target="https://doi.org/10.1002/2014GC005496" TargetMode="External"/><Relationship Id="rId13" Type="http://purl.oclc.org/ooxml/officeDocument/relationships/hyperlink" Target="https://doi.org/10.1029/2019JB017576" TargetMode="External"/><Relationship Id="rId3" Type="http://purl.oclc.org/ooxml/officeDocument/relationships/hyperlink" Target="https://doi.org/10.1029/1999GL008378" TargetMode="External"/><Relationship Id="rId7" Type="http://purl.oclc.org/ooxml/officeDocument/relationships/hyperlink" Target="https://doi.org/10.1002/2014GC005496" TargetMode="External"/><Relationship Id="rId12" Type="http://purl.oclc.org/ooxml/officeDocument/relationships/hyperlink" Target="https://doi.org/10.1002/2016JB013555" TargetMode="External"/><Relationship Id="rId17" Type="http://purl.oclc.org/ooxml/officeDocument/relationships/hyperlink" Target="https://doi.org/10.1029/2019JB017576" TargetMode="External"/><Relationship Id="rId2" Type="http://purl.oclc.org/ooxml/officeDocument/relationships/hyperlink" Target="https://doi.org/10.1029/1999GL008378" TargetMode="External"/><Relationship Id="rId16" Type="http://purl.oclc.org/ooxml/officeDocument/relationships/hyperlink" Target="https://doi.org/10.1002/2014GC005496" TargetMode="External"/><Relationship Id="rId1" Type="http://purl.oclc.org/ooxml/officeDocument/relationships/hyperlink" Target="https://doi.org/10.1029/91JB02453" TargetMode="External"/><Relationship Id="rId6" Type="http://purl.oclc.org/ooxml/officeDocument/relationships/hyperlink" Target="https://doi.org/10.1029/2011JB008774" TargetMode="External"/><Relationship Id="rId11" Type="http://purl.oclc.org/ooxml/officeDocument/relationships/hyperlink" Target="https://doi.org/10.1002/2016JB013555" TargetMode="External"/><Relationship Id="rId5" Type="http://purl.oclc.org/ooxml/officeDocument/relationships/hyperlink" Target="https://doi.org/10.1029/1999GL008378" TargetMode="External"/><Relationship Id="rId15" Type="http://purl.oclc.org/ooxml/officeDocument/relationships/hyperlink" Target="https://doi.org/10.1002/2014GC005496" TargetMode="External"/><Relationship Id="rId10" Type="http://purl.oclc.org/ooxml/officeDocument/relationships/hyperlink" Target="https://doi.org/10.1002/2016JB013555" TargetMode="External"/><Relationship Id="rId4" Type="http://purl.oclc.org/ooxml/officeDocument/relationships/hyperlink" Target="https://doi.org/10.1029/1999GL008378" TargetMode="External"/><Relationship Id="rId9" Type="http://purl.oclc.org/ooxml/officeDocument/relationships/hyperlink" Target="https://doi.org/10.1002/2014GC005496" TargetMode="External"/><Relationship Id="rId14" Type="http://purl.oclc.org/ooxml/officeDocument/relationships/hyperlink" Target="https://doi.org/10.1002/2014GC005496" TargetMode="Externa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51978F-7647-614D-922C-AF7479B592B3}">
  <dimension ref="A1:BZ106"/>
  <sheetViews>
    <sheetView tabSelected="1" topLeftCell="H101" workbookViewId="0">
      <selection activeCell="N2" sqref="N2:S106"/>
    </sheetView>
  </sheetViews>
  <sheetFormatPr baseColWidth="10" defaultRowHeight="45" customHeight="1" x14ac:dyDescent="0.2"/>
  <cols>
    <col min="1" max="1" width="20.83203125" style="1" customWidth="1"/>
    <col min="2" max="2" width="32.83203125" style="1" customWidth="1"/>
    <col min="3" max="3" width="11" style="1" bestFit="1" customWidth="1"/>
    <col min="4" max="4" width="13.5" style="2" customWidth="1"/>
    <col min="5" max="5" width="22.83203125" style="1" customWidth="1"/>
    <col min="6" max="6" width="24" style="1" customWidth="1"/>
    <col min="7" max="7" width="14" style="1" customWidth="1"/>
    <col min="8" max="8" width="48.83203125" style="1" customWidth="1"/>
    <col min="9" max="9" width="36" style="1" customWidth="1"/>
    <col min="10" max="10" width="21.1640625" style="1" customWidth="1"/>
    <col min="11" max="11" width="44.83203125" style="1" customWidth="1"/>
    <col min="12" max="13" width="18.1640625" style="1" customWidth="1"/>
    <col min="14" max="14" width="15" style="1" customWidth="1"/>
    <col min="15" max="15" width="13.83203125" style="1" customWidth="1"/>
    <col min="16" max="16" width="12.5" style="1" customWidth="1"/>
    <col min="17" max="21" width="11" style="1" bestFit="1" customWidth="1"/>
    <col min="22" max="22" width="23.33203125" style="1" customWidth="1"/>
    <col min="23" max="23" width="10.83203125" style="1"/>
    <col min="24" max="25" width="11" style="1" bestFit="1" customWidth="1"/>
    <col min="26" max="26" width="34.6640625" style="1" bestFit="1" customWidth="1"/>
    <col min="27" max="27" width="11.1640625" style="1" bestFit="1" customWidth="1"/>
    <col min="28" max="28" width="12.5" style="1" bestFit="1" customWidth="1"/>
    <col min="29" max="29" width="10.1640625" style="2" bestFit="1" customWidth="1"/>
    <col min="30" max="30" width="26.6640625" style="2" customWidth="1"/>
    <col min="31" max="31" width="31.5" style="13" bestFit="1" customWidth="1"/>
    <col min="32" max="32" width="11" style="13" bestFit="1" customWidth="1"/>
    <col min="33" max="33" width="18" style="13" customWidth="1"/>
    <col min="34" max="34" width="12" style="18" bestFit="1" customWidth="1"/>
    <col min="35" max="35" width="10.5" style="13" bestFit="1" customWidth="1"/>
    <col min="36" max="36" width="19.5" style="13" customWidth="1"/>
    <col min="37" max="37" width="14.1640625" style="13" customWidth="1"/>
    <col min="38" max="38" width="11.33203125" style="13" bestFit="1" customWidth="1"/>
    <col min="39" max="39" width="10.83203125" style="13"/>
    <col min="40" max="41" width="11.33203125" style="13" bestFit="1" customWidth="1"/>
    <col min="42" max="42" width="10.83203125" style="13"/>
    <col min="43" max="43" width="15.6640625" style="13" customWidth="1"/>
    <col min="44" max="44" width="11.33203125" style="13" bestFit="1" customWidth="1"/>
    <col min="45" max="45" width="10.83203125" style="13"/>
    <col min="46" max="47" width="11.33203125" style="13" bestFit="1" customWidth="1"/>
    <col min="48" max="48" width="10.83203125" style="13"/>
    <col min="49" max="50" width="11.33203125" style="13" bestFit="1" customWidth="1"/>
    <col min="51" max="51" width="10.83203125" style="13"/>
    <col min="52" max="52" width="14.5" style="13" customWidth="1"/>
    <col min="53" max="53" width="11.33203125" style="13" bestFit="1" customWidth="1"/>
    <col min="54" max="54" width="10.83203125" style="13"/>
    <col min="55" max="55" width="11.33203125" style="14" bestFit="1" customWidth="1"/>
    <col min="56" max="57" width="10.83203125" style="13"/>
    <col min="58" max="58" width="16.5" style="13" customWidth="1"/>
    <col min="59" max="60" width="10.83203125" style="13"/>
    <col min="61" max="61" width="11.33203125" style="13" bestFit="1" customWidth="1"/>
    <col min="62" max="63" width="10.83203125" style="13"/>
    <col min="64" max="64" width="12" style="13" bestFit="1" customWidth="1"/>
    <col min="65" max="66" width="10.83203125" style="13"/>
    <col min="67" max="67" width="12.1640625" style="13" bestFit="1" customWidth="1"/>
    <col min="68" max="69" width="10.83203125" style="13"/>
    <col min="70" max="70" width="11.1640625" style="13" bestFit="1" customWidth="1"/>
    <col min="71" max="72" width="10.83203125" style="13"/>
    <col min="73" max="74" width="10.83203125" style="3"/>
    <col min="75" max="75" width="10.83203125" style="1"/>
    <col min="76" max="76" width="11" style="3" bestFit="1" customWidth="1"/>
    <col min="77" max="77" width="10.83203125" style="3"/>
    <col min="78" max="16384" width="10.83203125" style="1"/>
  </cols>
  <sheetData>
    <row r="1" spans="1:78" ht="45" customHeight="1" x14ac:dyDescent="0.2">
      <c r="A1" s="1" t="s">
        <v>0</v>
      </c>
      <c r="B1" s="1" t="s">
        <v>1</v>
      </c>
      <c r="C1" s="1" t="s">
        <v>2</v>
      </c>
      <c r="D1" s="2" t="s">
        <v>3</v>
      </c>
      <c r="E1" s="1" t="s">
        <v>41</v>
      </c>
      <c r="F1" s="1" t="s">
        <v>10</v>
      </c>
      <c r="G1" s="1" t="s">
        <v>40</v>
      </c>
      <c r="H1" s="1" t="s">
        <v>11</v>
      </c>
      <c r="I1" s="1" t="s">
        <v>12</v>
      </c>
      <c r="J1" s="1" t="s">
        <v>295</v>
      </c>
      <c r="K1" s="1" t="s">
        <v>294</v>
      </c>
      <c r="L1" s="1" t="s">
        <v>276</v>
      </c>
      <c r="M1" s="1" t="s">
        <v>277</v>
      </c>
      <c r="N1" s="1" t="s">
        <v>434</v>
      </c>
      <c r="O1" s="1" t="s">
        <v>435</v>
      </c>
      <c r="P1" s="1" t="s">
        <v>436</v>
      </c>
      <c r="Q1" s="1" t="s">
        <v>437</v>
      </c>
      <c r="R1" s="1" t="s">
        <v>438</v>
      </c>
      <c r="S1" s="1" t="s">
        <v>16</v>
      </c>
      <c r="T1" s="1" t="s">
        <v>17</v>
      </c>
      <c r="U1" s="1" t="s">
        <v>18</v>
      </c>
      <c r="V1" s="1" t="s">
        <v>63</v>
      </c>
      <c r="W1" s="1" t="s">
        <v>27</v>
      </c>
      <c r="X1" s="1" t="s">
        <v>19</v>
      </c>
      <c r="Y1" s="1" t="s">
        <v>20</v>
      </c>
      <c r="Z1" s="1" t="s">
        <v>21</v>
      </c>
      <c r="AA1" s="1" t="s">
        <v>104</v>
      </c>
      <c r="AB1" s="1" t="s">
        <v>29</v>
      </c>
      <c r="AC1" s="2" t="s">
        <v>22</v>
      </c>
      <c r="AD1" s="1" t="s">
        <v>357</v>
      </c>
      <c r="AE1" s="13" t="s">
        <v>23</v>
      </c>
      <c r="AF1" s="13" t="s">
        <v>285</v>
      </c>
      <c r="AG1" s="13" t="s">
        <v>344</v>
      </c>
      <c r="AH1" s="18" t="s">
        <v>347</v>
      </c>
      <c r="AI1" s="13" t="s">
        <v>123</v>
      </c>
      <c r="AJ1" s="13" t="s">
        <v>345</v>
      </c>
      <c r="AK1" s="13" t="s">
        <v>348</v>
      </c>
      <c r="AL1" s="13" t="s">
        <v>124</v>
      </c>
      <c r="AM1" s="13" t="s">
        <v>204</v>
      </c>
      <c r="AN1" s="13" t="s">
        <v>24</v>
      </c>
      <c r="AO1" s="13" t="s">
        <v>125</v>
      </c>
      <c r="AP1" s="13" t="s">
        <v>205</v>
      </c>
      <c r="AQ1" s="13" t="s">
        <v>25</v>
      </c>
      <c r="AR1" s="13" t="s">
        <v>126</v>
      </c>
      <c r="AS1" s="13" t="s">
        <v>206</v>
      </c>
      <c r="AT1" s="13" t="s">
        <v>56</v>
      </c>
      <c r="AU1" s="13" t="s">
        <v>127</v>
      </c>
      <c r="AV1" s="13" t="s">
        <v>207</v>
      </c>
      <c r="AW1" s="13" t="s">
        <v>201</v>
      </c>
      <c r="AX1" s="13" t="s">
        <v>202</v>
      </c>
      <c r="AY1" s="13" t="s">
        <v>208</v>
      </c>
      <c r="AZ1" s="13" t="s">
        <v>57</v>
      </c>
      <c r="BA1" s="13" t="s">
        <v>128</v>
      </c>
      <c r="BB1" s="13" t="s">
        <v>203</v>
      </c>
      <c r="BC1" s="14" t="s">
        <v>209</v>
      </c>
      <c r="BD1" s="13" t="s">
        <v>210</v>
      </c>
      <c r="BE1" s="13" t="s">
        <v>211</v>
      </c>
      <c r="BF1" s="13" t="s">
        <v>212</v>
      </c>
      <c r="BG1" s="13" t="s">
        <v>213</v>
      </c>
      <c r="BH1" s="13" t="s">
        <v>214</v>
      </c>
      <c r="BI1" s="13" t="s">
        <v>215</v>
      </c>
      <c r="BJ1" s="13" t="s">
        <v>216</v>
      </c>
      <c r="BK1" s="13" t="s">
        <v>217</v>
      </c>
      <c r="BL1" s="13" t="s">
        <v>218</v>
      </c>
      <c r="BM1" s="13" t="s">
        <v>219</v>
      </c>
      <c r="BN1" s="13" t="s">
        <v>220</v>
      </c>
      <c r="BO1" s="13" t="s">
        <v>221</v>
      </c>
      <c r="BP1" s="13" t="s">
        <v>222</v>
      </c>
      <c r="BQ1" s="13" t="s">
        <v>223</v>
      </c>
      <c r="BR1" s="13" t="s">
        <v>224</v>
      </c>
      <c r="BS1" s="13" t="s">
        <v>225</v>
      </c>
      <c r="BT1" s="13" t="s">
        <v>226</v>
      </c>
      <c r="BU1" s="3" t="s">
        <v>227</v>
      </c>
      <c r="BV1" s="3" t="s">
        <v>346</v>
      </c>
      <c r="BW1" s="1" t="s">
        <v>228</v>
      </c>
      <c r="BX1" s="3" t="s">
        <v>229</v>
      </c>
      <c r="BY1" s="3" t="s">
        <v>230</v>
      </c>
      <c r="BZ1" s="1" t="s">
        <v>231</v>
      </c>
    </row>
    <row r="2" spans="1:78" ht="45" customHeight="1" x14ac:dyDescent="0.2">
      <c r="A2" s="1" t="s">
        <v>4</v>
      </c>
      <c r="B2" s="1" t="s">
        <v>5</v>
      </c>
      <c r="C2" s="1">
        <v>2008</v>
      </c>
      <c r="D2" s="2" t="s">
        <v>9</v>
      </c>
      <c r="E2" s="1" t="s">
        <v>545</v>
      </c>
      <c r="F2" s="1" t="s">
        <v>30</v>
      </c>
      <c r="G2" s="1" t="s">
        <v>50</v>
      </c>
      <c r="H2" s="1" t="s">
        <v>26</v>
      </c>
      <c r="I2" s="1" t="s">
        <v>292</v>
      </c>
      <c r="J2" s="1" t="s">
        <v>296</v>
      </c>
      <c r="K2" s="1" t="s">
        <v>546</v>
      </c>
      <c r="L2" s="1" t="s">
        <v>275</v>
      </c>
      <c r="M2" s="1" t="s">
        <v>278</v>
      </c>
      <c r="N2" s="3">
        <v>2.5</v>
      </c>
      <c r="O2" s="3">
        <v>2</v>
      </c>
      <c r="P2" s="3">
        <v>3</v>
      </c>
      <c r="Q2" s="3">
        <v>1273</v>
      </c>
      <c r="R2" s="3">
        <v>1573</v>
      </c>
      <c r="S2" s="3">
        <v>1.26</v>
      </c>
      <c r="T2" s="1">
        <v>2.21</v>
      </c>
      <c r="U2" s="1">
        <f>(S2+T2)/2</f>
        <v>1.7349999999999999</v>
      </c>
      <c r="W2" s="1" t="s">
        <v>67</v>
      </c>
      <c r="X2" s="1">
        <v>3.9E-2</v>
      </c>
      <c r="Y2" s="1">
        <v>0.54500000000000004</v>
      </c>
      <c r="Z2" s="1">
        <f>SUM(X2:Y2)/2</f>
        <v>0.29200000000000004</v>
      </c>
      <c r="AB2" s="1" t="s">
        <v>111</v>
      </c>
      <c r="AC2" s="2" t="s">
        <v>28</v>
      </c>
      <c r="AE2" s="13">
        <v>5.2</v>
      </c>
      <c r="AF2" s="13">
        <v>0.4</v>
      </c>
      <c r="AG2" s="13" t="s">
        <v>118</v>
      </c>
      <c r="AH2" s="18">
        <v>0.67</v>
      </c>
      <c r="AI2" s="13">
        <v>7.0000000000000007E-2</v>
      </c>
      <c r="AJ2" s="13" t="s">
        <v>120</v>
      </c>
      <c r="AK2" s="13">
        <v>1.897</v>
      </c>
      <c r="AL2" s="13">
        <v>9.3299999999999994E-2</v>
      </c>
      <c r="AM2" s="13" t="s">
        <v>121</v>
      </c>
      <c r="AN2" s="13">
        <f>79*0.00008617333262/0.00831446261815324</f>
        <v>0.81877730283091765</v>
      </c>
      <c r="AO2" s="13">
        <f>3*0.00008617333262/0.00831446261815324</f>
        <v>3.1092808968262695E-2</v>
      </c>
      <c r="AP2" s="13" t="s">
        <v>121</v>
      </c>
    </row>
    <row r="3" spans="1:78" ht="45" customHeight="1" x14ac:dyDescent="0.2">
      <c r="A3" s="1" t="s">
        <v>365</v>
      </c>
      <c r="B3" s="1" t="s">
        <v>34</v>
      </c>
      <c r="C3" s="1">
        <v>1999</v>
      </c>
      <c r="D3" s="2" t="s">
        <v>13</v>
      </c>
      <c r="E3" s="1" t="s">
        <v>14</v>
      </c>
      <c r="F3" s="1" t="s">
        <v>14</v>
      </c>
      <c r="G3" s="1" t="s">
        <v>49</v>
      </c>
      <c r="H3" s="1" t="s">
        <v>69</v>
      </c>
      <c r="I3" s="1" t="s">
        <v>15</v>
      </c>
      <c r="J3" s="1" t="s">
        <v>297</v>
      </c>
      <c r="K3" s="1" t="s">
        <v>503</v>
      </c>
      <c r="L3" s="1" t="s">
        <v>275</v>
      </c>
      <c r="M3" s="1" t="s">
        <v>278</v>
      </c>
      <c r="N3" s="3">
        <v>5</v>
      </c>
      <c r="O3" s="3"/>
      <c r="P3" s="3"/>
      <c r="Q3" s="3">
        <v>1273</v>
      </c>
      <c r="R3" s="3">
        <v>1673</v>
      </c>
      <c r="S3" s="3"/>
      <c r="AB3" s="1" t="s">
        <v>111</v>
      </c>
      <c r="AC3" s="2" t="s">
        <v>28</v>
      </c>
      <c r="AE3" s="13">
        <v>3.72</v>
      </c>
      <c r="AF3" s="13">
        <v>0.06</v>
      </c>
      <c r="AG3" s="13" t="s">
        <v>118</v>
      </c>
      <c r="AH3" s="18">
        <v>1.8</v>
      </c>
      <c r="AI3" s="13">
        <v>0.2</v>
      </c>
      <c r="AJ3" s="13" t="s">
        <v>121</v>
      </c>
    </row>
    <row r="4" spans="1:78" ht="45" customHeight="1" x14ac:dyDescent="0.2">
      <c r="A4" s="1" t="s">
        <v>365</v>
      </c>
      <c r="B4" s="1" t="s">
        <v>34</v>
      </c>
      <c r="C4" s="1">
        <v>1999</v>
      </c>
      <c r="D4" s="2" t="s">
        <v>13</v>
      </c>
      <c r="E4" s="1" t="s">
        <v>31</v>
      </c>
      <c r="F4" s="1" t="s">
        <v>31</v>
      </c>
      <c r="G4" s="1" t="s">
        <v>49</v>
      </c>
      <c r="H4" s="1" t="s">
        <v>69</v>
      </c>
      <c r="I4" s="1" t="s">
        <v>15</v>
      </c>
      <c r="J4" s="1" t="s">
        <v>297</v>
      </c>
      <c r="K4" s="1" t="s">
        <v>504</v>
      </c>
      <c r="L4" s="1" t="s">
        <v>275</v>
      </c>
      <c r="M4" s="1" t="s">
        <v>278</v>
      </c>
      <c r="N4" s="3">
        <v>13</v>
      </c>
      <c r="O4" s="3"/>
      <c r="P4" s="3"/>
      <c r="Q4" s="3">
        <v>1273</v>
      </c>
      <c r="R4" s="3">
        <v>1673</v>
      </c>
      <c r="S4" s="3"/>
      <c r="AB4" s="1" t="s">
        <v>111</v>
      </c>
      <c r="AC4" s="2" t="s">
        <v>28</v>
      </c>
      <c r="AE4" s="13">
        <v>3.25</v>
      </c>
      <c r="AF4" s="13">
        <v>7.0000000000000007E-2</v>
      </c>
      <c r="AG4" s="13" t="s">
        <v>118</v>
      </c>
      <c r="AH4" s="18">
        <v>1.87</v>
      </c>
      <c r="AI4" s="13">
        <v>0.02</v>
      </c>
      <c r="AJ4" s="13" t="s">
        <v>121</v>
      </c>
    </row>
    <row r="5" spans="1:78" ht="45" customHeight="1" x14ac:dyDescent="0.2">
      <c r="A5" s="1" t="s">
        <v>365</v>
      </c>
      <c r="B5" s="1" t="s">
        <v>34</v>
      </c>
      <c r="C5" s="1">
        <v>1999</v>
      </c>
      <c r="D5" s="2" t="s">
        <v>13</v>
      </c>
      <c r="E5" s="1" t="s">
        <v>43</v>
      </c>
      <c r="F5" s="1" t="s">
        <v>32</v>
      </c>
      <c r="G5" s="1" t="s">
        <v>49</v>
      </c>
      <c r="H5" s="1" t="s">
        <v>69</v>
      </c>
      <c r="I5" s="1" t="s">
        <v>15</v>
      </c>
      <c r="J5" s="1" t="s">
        <v>297</v>
      </c>
      <c r="K5" s="1" t="s">
        <v>35</v>
      </c>
      <c r="L5" s="1" t="s">
        <v>275</v>
      </c>
      <c r="M5" s="1" t="s">
        <v>278</v>
      </c>
      <c r="N5" s="3">
        <v>21</v>
      </c>
      <c r="O5" s="3"/>
      <c r="P5" s="3"/>
      <c r="Q5" s="3">
        <v>1473</v>
      </c>
      <c r="R5" s="3">
        <v>1773</v>
      </c>
      <c r="S5" s="3"/>
      <c r="AB5" s="1" t="s">
        <v>111</v>
      </c>
      <c r="AC5" s="2" t="s">
        <v>28</v>
      </c>
      <c r="AE5" s="13">
        <v>3.35</v>
      </c>
      <c r="AF5" s="13">
        <v>0.1</v>
      </c>
      <c r="AG5" s="13" t="s">
        <v>118</v>
      </c>
      <c r="AH5" s="18">
        <v>1.66</v>
      </c>
      <c r="AI5" s="13">
        <v>0.3</v>
      </c>
      <c r="AJ5" s="13" t="s">
        <v>121</v>
      </c>
    </row>
    <row r="6" spans="1:78" ht="45" customHeight="1" x14ac:dyDescent="0.2">
      <c r="A6" s="1" t="s">
        <v>365</v>
      </c>
      <c r="B6" s="1" t="s">
        <v>34</v>
      </c>
      <c r="C6" s="1">
        <v>1999</v>
      </c>
      <c r="D6" s="2" t="s">
        <v>13</v>
      </c>
      <c r="E6" s="1" t="s">
        <v>33</v>
      </c>
      <c r="F6" s="1" t="s">
        <v>33</v>
      </c>
      <c r="G6" s="1" t="s">
        <v>49</v>
      </c>
      <c r="H6" s="1" t="s">
        <v>69</v>
      </c>
      <c r="I6" s="1" t="s">
        <v>15</v>
      </c>
      <c r="J6" s="1" t="s">
        <v>297</v>
      </c>
      <c r="K6" s="1" t="s">
        <v>36</v>
      </c>
      <c r="L6" s="1" t="s">
        <v>275</v>
      </c>
      <c r="M6" s="1" t="s">
        <v>278</v>
      </c>
      <c r="N6" s="3">
        <v>25</v>
      </c>
      <c r="O6" s="3"/>
      <c r="P6" s="3"/>
      <c r="Q6" s="3">
        <v>1673</v>
      </c>
      <c r="R6" s="3">
        <v>1873</v>
      </c>
      <c r="S6" s="3"/>
      <c r="AB6" s="1" t="s">
        <v>111</v>
      </c>
      <c r="AC6" s="2" t="s">
        <v>28</v>
      </c>
      <c r="AE6" s="13">
        <v>1.87</v>
      </c>
      <c r="AF6" s="13">
        <v>0.11</v>
      </c>
      <c r="AG6" s="13" t="s">
        <v>118</v>
      </c>
      <c r="AH6" s="18">
        <v>0.7</v>
      </c>
      <c r="AI6" s="13">
        <v>0.04</v>
      </c>
      <c r="AJ6" s="13" t="s">
        <v>121</v>
      </c>
    </row>
    <row r="7" spans="1:78" ht="45" customHeight="1" x14ac:dyDescent="0.2">
      <c r="A7" s="1" t="s">
        <v>37</v>
      </c>
      <c r="B7" s="1" t="s">
        <v>38</v>
      </c>
      <c r="C7" s="1">
        <v>1988</v>
      </c>
      <c r="D7" s="2" t="s">
        <v>45</v>
      </c>
      <c r="E7" s="1" t="s">
        <v>31</v>
      </c>
      <c r="F7" s="1" t="s">
        <v>39</v>
      </c>
      <c r="G7" s="1" t="s">
        <v>42</v>
      </c>
      <c r="H7" s="1" t="s">
        <v>350</v>
      </c>
      <c r="I7" s="1" t="s">
        <v>44</v>
      </c>
      <c r="J7" s="1" t="s">
        <v>298</v>
      </c>
      <c r="K7" s="1" t="s">
        <v>505</v>
      </c>
      <c r="L7" s="1" t="s">
        <v>275</v>
      </c>
      <c r="M7" s="1" t="s">
        <v>279</v>
      </c>
      <c r="N7" s="3">
        <v>1E-4</v>
      </c>
      <c r="O7" s="3"/>
      <c r="P7" s="3"/>
      <c r="Q7" s="3">
        <v>1073</v>
      </c>
      <c r="R7" s="3">
        <v>1473</v>
      </c>
      <c r="S7" s="3"/>
      <c r="X7" s="1">
        <v>2.7E-2</v>
      </c>
      <c r="Y7" s="1">
        <v>2.7E-2</v>
      </c>
      <c r="Z7" s="1">
        <v>2.7E-2</v>
      </c>
      <c r="AB7" s="1" t="s">
        <v>46</v>
      </c>
      <c r="AC7" s="2" t="s">
        <v>272</v>
      </c>
      <c r="AE7" s="13">
        <v>1.43</v>
      </c>
      <c r="AG7" s="13" t="s">
        <v>119</v>
      </c>
      <c r="AH7" s="18">
        <v>10850</v>
      </c>
      <c r="AJ7" s="13" t="s">
        <v>121</v>
      </c>
      <c r="AK7" s="13">
        <v>-0.18</v>
      </c>
      <c r="AL7" s="13">
        <v>6.4999999999999997E-3</v>
      </c>
      <c r="AM7" s="13" t="s">
        <v>122</v>
      </c>
    </row>
    <row r="8" spans="1:78" ht="45" customHeight="1" x14ac:dyDescent="0.2">
      <c r="A8" s="1" t="s">
        <v>37</v>
      </c>
      <c r="B8" s="1" t="s">
        <v>38</v>
      </c>
      <c r="C8" s="1">
        <v>1988</v>
      </c>
      <c r="D8" s="2" t="s">
        <v>45</v>
      </c>
      <c r="E8" s="1" t="s">
        <v>31</v>
      </c>
      <c r="F8" s="1" t="s">
        <v>39</v>
      </c>
      <c r="G8" s="1" t="s">
        <v>42</v>
      </c>
      <c r="H8" s="1" t="s">
        <v>350</v>
      </c>
      <c r="I8" s="1" t="s">
        <v>44</v>
      </c>
      <c r="J8" s="1" t="s">
        <v>298</v>
      </c>
      <c r="K8" s="1" t="s">
        <v>506</v>
      </c>
      <c r="L8" s="1" t="s">
        <v>275</v>
      </c>
      <c r="M8" s="1" t="s">
        <v>279</v>
      </c>
      <c r="N8" s="3">
        <v>1E-4</v>
      </c>
      <c r="O8" s="3"/>
      <c r="P8" s="3"/>
      <c r="Q8" s="3">
        <v>1073</v>
      </c>
      <c r="R8" s="3">
        <v>1473</v>
      </c>
      <c r="S8" s="3"/>
      <c r="X8" s="1">
        <v>2.7E-2</v>
      </c>
      <c r="Y8" s="1">
        <v>2.7E-2</v>
      </c>
      <c r="Z8" s="1">
        <v>2.7E-2</v>
      </c>
      <c r="AB8" s="1" t="s">
        <v>46</v>
      </c>
      <c r="AC8" s="2" t="s">
        <v>273</v>
      </c>
      <c r="AE8" s="13">
        <v>0.88</v>
      </c>
      <c r="AG8" s="13" t="s">
        <v>119</v>
      </c>
      <c r="AH8" s="18">
        <v>10170</v>
      </c>
      <c r="AJ8" s="13" t="s">
        <v>121</v>
      </c>
      <c r="AK8" s="13">
        <v>-0.12</v>
      </c>
      <c r="AL8" s="13">
        <v>8.5000000000000006E-3</v>
      </c>
      <c r="AM8" s="13" t="s">
        <v>122</v>
      </c>
    </row>
    <row r="9" spans="1:78" ht="45" customHeight="1" x14ac:dyDescent="0.2">
      <c r="A9" s="1" t="s">
        <v>37</v>
      </c>
      <c r="B9" s="1" t="s">
        <v>38</v>
      </c>
      <c r="C9" s="1">
        <v>1988</v>
      </c>
      <c r="D9" s="2" t="s">
        <v>45</v>
      </c>
      <c r="E9" s="1" t="s">
        <v>31</v>
      </c>
      <c r="F9" s="1" t="s">
        <v>39</v>
      </c>
      <c r="G9" s="1" t="s">
        <v>42</v>
      </c>
      <c r="H9" s="1" t="s">
        <v>350</v>
      </c>
      <c r="I9" s="1" t="s">
        <v>44</v>
      </c>
      <c r="J9" s="1" t="s">
        <v>298</v>
      </c>
      <c r="K9" s="1" t="s">
        <v>507</v>
      </c>
      <c r="L9" s="1" t="s">
        <v>275</v>
      </c>
      <c r="M9" s="1" t="s">
        <v>279</v>
      </c>
      <c r="N9" s="3">
        <v>1E-4</v>
      </c>
      <c r="O9" s="3"/>
      <c r="P9" s="3"/>
      <c r="Q9" s="3">
        <v>1073</v>
      </c>
      <c r="R9" s="3">
        <v>1473</v>
      </c>
      <c r="S9" s="3"/>
      <c r="X9" s="1">
        <v>2.7E-2</v>
      </c>
      <c r="Y9" s="1">
        <v>2.7E-2</v>
      </c>
      <c r="Z9" s="1">
        <v>2.7E-2</v>
      </c>
      <c r="AB9" s="1" t="s">
        <v>46</v>
      </c>
      <c r="AC9" s="2" t="s">
        <v>271</v>
      </c>
      <c r="AE9" s="13">
        <v>1.58</v>
      </c>
      <c r="AG9" s="13" t="s">
        <v>119</v>
      </c>
      <c r="AH9" s="18">
        <v>11080</v>
      </c>
      <c r="AJ9" s="13" t="s">
        <v>121</v>
      </c>
      <c r="AK9" s="13">
        <v>-0.15</v>
      </c>
      <c r="AL9" s="13">
        <v>4.7999999999999996E-3</v>
      </c>
      <c r="AM9" s="13" t="s">
        <v>122</v>
      </c>
    </row>
    <row r="10" spans="1:78" ht="45" customHeight="1" x14ac:dyDescent="0.2">
      <c r="A10" s="1" t="s">
        <v>37</v>
      </c>
      <c r="B10" s="1" t="s">
        <v>38</v>
      </c>
      <c r="C10" s="1">
        <v>1988</v>
      </c>
      <c r="D10" s="2" t="s">
        <v>45</v>
      </c>
      <c r="E10" s="1" t="s">
        <v>31</v>
      </c>
      <c r="F10" s="1" t="s">
        <v>39</v>
      </c>
      <c r="G10" s="1" t="s">
        <v>42</v>
      </c>
      <c r="H10" s="1" t="s">
        <v>350</v>
      </c>
      <c r="I10" s="1" t="s">
        <v>44</v>
      </c>
      <c r="J10" s="1" t="s">
        <v>298</v>
      </c>
      <c r="K10" s="1" t="s">
        <v>508</v>
      </c>
      <c r="L10" s="1" t="s">
        <v>275</v>
      </c>
      <c r="M10" s="1" t="s">
        <v>279</v>
      </c>
      <c r="N10" s="3">
        <v>1E-4</v>
      </c>
      <c r="O10" s="3"/>
      <c r="P10" s="3"/>
      <c r="Q10" s="3">
        <v>1123</v>
      </c>
      <c r="R10" s="3">
        <v>1493</v>
      </c>
      <c r="S10" s="3"/>
      <c r="X10" s="1">
        <v>0.127</v>
      </c>
      <c r="Y10" s="1">
        <v>0.127</v>
      </c>
      <c r="Z10" s="1">
        <v>0.127</v>
      </c>
      <c r="AB10" s="1" t="s">
        <v>46</v>
      </c>
      <c r="AC10" s="2" t="s">
        <v>272</v>
      </c>
      <c r="AE10" s="13">
        <v>-0.89</v>
      </c>
      <c r="AG10" s="13" t="s">
        <v>119</v>
      </c>
      <c r="AH10" s="18">
        <v>4640</v>
      </c>
      <c r="AJ10" s="13" t="s">
        <v>121</v>
      </c>
      <c r="AK10" s="13">
        <v>-3.2599999999999997E-2</v>
      </c>
      <c r="AL10" s="13">
        <v>3.7000000000000002E-3</v>
      </c>
      <c r="AM10" s="13" t="s">
        <v>122</v>
      </c>
    </row>
    <row r="11" spans="1:78" ht="45" customHeight="1" x14ac:dyDescent="0.2">
      <c r="A11" s="1" t="s">
        <v>37</v>
      </c>
      <c r="B11" s="1" t="s">
        <v>38</v>
      </c>
      <c r="C11" s="1">
        <v>1988</v>
      </c>
      <c r="D11" s="2" t="s">
        <v>45</v>
      </c>
      <c r="E11" s="1" t="s">
        <v>31</v>
      </c>
      <c r="F11" s="1" t="s">
        <v>39</v>
      </c>
      <c r="G11" s="1" t="s">
        <v>42</v>
      </c>
      <c r="H11" s="1" t="s">
        <v>350</v>
      </c>
      <c r="I11" s="1" t="s">
        <v>44</v>
      </c>
      <c r="J11" s="1" t="s">
        <v>298</v>
      </c>
      <c r="K11" s="1" t="s">
        <v>509</v>
      </c>
      <c r="L11" s="1" t="s">
        <v>275</v>
      </c>
      <c r="M11" s="1" t="s">
        <v>279</v>
      </c>
      <c r="N11" s="3">
        <v>1E-4</v>
      </c>
      <c r="O11" s="3"/>
      <c r="P11" s="3"/>
      <c r="Q11" s="3">
        <v>1123</v>
      </c>
      <c r="R11" s="3">
        <v>1493</v>
      </c>
      <c r="S11" s="3"/>
      <c r="X11" s="1">
        <v>0.127</v>
      </c>
      <c r="Y11" s="1">
        <v>0.127</v>
      </c>
      <c r="Z11" s="1">
        <v>0.127</v>
      </c>
      <c r="AB11" s="1" t="s">
        <v>46</v>
      </c>
      <c r="AC11" s="2" t="s">
        <v>273</v>
      </c>
      <c r="AE11" s="13">
        <v>-0.252</v>
      </c>
      <c r="AG11" s="13" t="s">
        <v>119</v>
      </c>
      <c r="AH11" s="18">
        <v>5270</v>
      </c>
      <c r="AJ11" s="13" t="s">
        <v>121</v>
      </c>
      <c r="AK11" s="13">
        <v>-1.84E-2</v>
      </c>
      <c r="AL11" s="13">
        <v>4.4000000000000003E-3</v>
      </c>
      <c r="AM11" s="13" t="s">
        <v>122</v>
      </c>
    </row>
    <row r="12" spans="1:78" ht="45" customHeight="1" x14ac:dyDescent="0.2">
      <c r="A12" s="1" t="s">
        <v>112</v>
      </c>
      <c r="B12" s="1" t="s">
        <v>47</v>
      </c>
      <c r="C12" s="1">
        <v>2016</v>
      </c>
      <c r="D12" s="2" t="s">
        <v>48</v>
      </c>
      <c r="E12" s="1" t="s">
        <v>14</v>
      </c>
      <c r="F12" s="1" t="s">
        <v>14</v>
      </c>
      <c r="G12" s="1" t="s">
        <v>51</v>
      </c>
      <c r="H12" s="1" t="s">
        <v>52</v>
      </c>
      <c r="I12" s="1" t="s">
        <v>290</v>
      </c>
      <c r="J12" s="1" t="s">
        <v>299</v>
      </c>
      <c r="K12" s="1" t="s">
        <v>53</v>
      </c>
      <c r="L12" s="1" t="s">
        <v>275</v>
      </c>
      <c r="M12" s="1" t="s">
        <v>278</v>
      </c>
      <c r="N12" s="3"/>
      <c r="O12" s="3">
        <v>1.5</v>
      </c>
      <c r="P12" s="3">
        <v>5</v>
      </c>
      <c r="Q12" s="3">
        <v>900</v>
      </c>
      <c r="R12" s="3">
        <v>1573</v>
      </c>
      <c r="S12" s="3">
        <v>2</v>
      </c>
      <c r="T12" s="1">
        <v>3</v>
      </c>
      <c r="W12" s="1" t="s">
        <v>55</v>
      </c>
      <c r="X12" s="1">
        <v>0</v>
      </c>
      <c r="Y12" s="1">
        <v>1</v>
      </c>
      <c r="Z12" s="1">
        <v>0.5</v>
      </c>
      <c r="AB12" s="1" t="s">
        <v>54</v>
      </c>
      <c r="AC12" s="2" t="s">
        <v>28</v>
      </c>
      <c r="AE12" s="13">
        <v>855610</v>
      </c>
      <c r="AF12" s="13">
        <v>39</v>
      </c>
      <c r="AG12" s="13" t="s">
        <v>119</v>
      </c>
      <c r="AH12" s="18">
        <v>2.5099999999999998</v>
      </c>
      <c r="AI12" s="13">
        <v>0.02</v>
      </c>
      <c r="AJ12" s="13" t="s">
        <v>121</v>
      </c>
      <c r="AK12" s="13">
        <v>4.1500000000000004</v>
      </c>
      <c r="AL12" s="13">
        <v>0.71</v>
      </c>
      <c r="AM12" s="13" t="s">
        <v>129</v>
      </c>
      <c r="AN12" s="13">
        <v>163</v>
      </c>
      <c r="AO12" s="13">
        <v>1</v>
      </c>
      <c r="AP12" s="13" t="s">
        <v>119</v>
      </c>
      <c r="AQ12" s="13">
        <v>2.33</v>
      </c>
      <c r="AR12" s="13">
        <v>1</v>
      </c>
      <c r="AS12" s="13" t="s">
        <v>121</v>
      </c>
      <c r="AT12" s="13">
        <v>-1.99</v>
      </c>
      <c r="AU12" s="13">
        <v>0.06</v>
      </c>
      <c r="AV12" s="13" t="s">
        <v>122</v>
      </c>
      <c r="AW12" s="13">
        <v>1.06</v>
      </c>
      <c r="AX12" s="13">
        <v>0.44</v>
      </c>
      <c r="AY12" s="13" t="s">
        <v>129</v>
      </c>
      <c r="AZ12" s="13">
        <v>-0.12</v>
      </c>
      <c r="BA12" s="13">
        <v>0.76</v>
      </c>
      <c r="BB12" s="13" t="s">
        <v>122</v>
      </c>
    </row>
    <row r="13" spans="1:78" ht="45" customHeight="1" x14ac:dyDescent="0.2">
      <c r="A13" s="1" t="s">
        <v>416</v>
      </c>
      <c r="B13" s="1" t="s">
        <v>417</v>
      </c>
      <c r="C13" s="1">
        <v>2005</v>
      </c>
      <c r="D13" s="2" t="s">
        <v>418</v>
      </c>
      <c r="E13" s="1" t="s">
        <v>14</v>
      </c>
      <c r="F13" s="1" t="s">
        <v>14</v>
      </c>
      <c r="G13" s="1" t="s">
        <v>62</v>
      </c>
      <c r="H13" s="1" t="s">
        <v>419</v>
      </c>
      <c r="I13" s="1" t="s">
        <v>143</v>
      </c>
      <c r="J13" s="1" t="s">
        <v>420</v>
      </c>
      <c r="K13" s="1" t="s">
        <v>510</v>
      </c>
      <c r="L13" s="1" t="s">
        <v>275</v>
      </c>
      <c r="M13" s="1" t="s">
        <v>278</v>
      </c>
      <c r="N13" s="3" t="s">
        <v>421</v>
      </c>
      <c r="O13" s="3">
        <v>1</v>
      </c>
      <c r="P13" s="3">
        <v>4</v>
      </c>
      <c r="Q13" s="3">
        <v>1073</v>
      </c>
      <c r="R13" s="3">
        <v>1423</v>
      </c>
      <c r="S13" s="3"/>
      <c r="AB13" s="1" t="s">
        <v>137</v>
      </c>
      <c r="AC13" s="2" t="s">
        <v>28</v>
      </c>
      <c r="AD13" s="2" t="s">
        <v>422</v>
      </c>
      <c r="AE13" s="13">
        <v>3.79</v>
      </c>
      <c r="AF13" s="13">
        <v>0.06</v>
      </c>
      <c r="AG13" s="13" t="s">
        <v>118</v>
      </c>
      <c r="AH13" s="18">
        <v>1.68</v>
      </c>
      <c r="AI13" s="13">
        <v>3.5000000000000003E-2</v>
      </c>
      <c r="AJ13" s="13" t="s">
        <v>121</v>
      </c>
      <c r="AK13" s="13">
        <v>3.9</v>
      </c>
      <c r="AL13" s="13">
        <v>0.01</v>
      </c>
      <c r="AM13" s="13" t="s">
        <v>129</v>
      </c>
    </row>
    <row r="14" spans="1:78" ht="45" customHeight="1" x14ac:dyDescent="0.2">
      <c r="A14" s="1" t="s">
        <v>58</v>
      </c>
      <c r="B14" s="1" t="s">
        <v>60</v>
      </c>
      <c r="C14" s="1">
        <v>2009</v>
      </c>
      <c r="D14" s="2" t="s">
        <v>59</v>
      </c>
      <c r="E14" s="1" t="s">
        <v>14</v>
      </c>
      <c r="F14" s="1" t="s">
        <v>14</v>
      </c>
      <c r="G14" s="1" t="s">
        <v>62</v>
      </c>
      <c r="H14" s="1" t="s">
        <v>68</v>
      </c>
      <c r="I14" s="1" t="s">
        <v>237</v>
      </c>
      <c r="J14" s="1" t="s">
        <v>322</v>
      </c>
      <c r="K14" s="1" t="s">
        <v>511</v>
      </c>
      <c r="L14" s="1" t="s">
        <v>275</v>
      </c>
      <c r="M14" s="1" t="s">
        <v>278</v>
      </c>
      <c r="N14" s="3">
        <v>8</v>
      </c>
      <c r="O14" s="3"/>
      <c r="P14" s="3"/>
      <c r="Q14" s="3">
        <v>873</v>
      </c>
      <c r="R14" s="3">
        <v>1273</v>
      </c>
      <c r="S14" s="3">
        <v>0</v>
      </c>
      <c r="T14" s="1">
        <v>4.2000000000000003E-2</v>
      </c>
      <c r="V14" s="1" t="s">
        <v>64</v>
      </c>
      <c r="W14" s="1" t="s">
        <v>67</v>
      </c>
      <c r="Z14" s="1">
        <v>0.1</v>
      </c>
      <c r="AB14" s="1" t="s">
        <v>61</v>
      </c>
      <c r="AC14" s="2" t="s">
        <v>28</v>
      </c>
      <c r="AD14" s="2" t="s">
        <v>423</v>
      </c>
      <c r="AE14" s="13">
        <v>2.6</v>
      </c>
      <c r="AG14" s="13" t="s">
        <v>118</v>
      </c>
      <c r="AH14" s="18">
        <v>1.524</v>
      </c>
      <c r="AJ14" s="13" t="s">
        <v>121</v>
      </c>
      <c r="AK14" s="13">
        <v>2.2000000000000002</v>
      </c>
      <c r="AM14" s="13" t="s">
        <v>118</v>
      </c>
      <c r="AN14" s="13">
        <v>0.62</v>
      </c>
      <c r="AP14" s="13" t="s">
        <v>120</v>
      </c>
      <c r="AQ14" s="13">
        <v>0.77</v>
      </c>
      <c r="AS14" s="13" t="s">
        <v>121</v>
      </c>
    </row>
    <row r="15" spans="1:78" customFormat="1" ht="45" customHeight="1" x14ac:dyDescent="0.2">
      <c r="A15" t="s">
        <v>58</v>
      </c>
      <c r="B15" t="s">
        <v>60</v>
      </c>
      <c r="C15">
        <v>2009</v>
      </c>
      <c r="D15" t="s">
        <v>59</v>
      </c>
      <c r="E15" t="s">
        <v>65</v>
      </c>
      <c r="F15" t="s">
        <v>65</v>
      </c>
      <c r="G15" t="s">
        <v>66</v>
      </c>
      <c r="H15" t="s">
        <v>68</v>
      </c>
      <c r="I15" t="s">
        <v>237</v>
      </c>
      <c r="J15" t="s">
        <v>322</v>
      </c>
      <c r="K15" t="s">
        <v>512</v>
      </c>
      <c r="L15" t="s">
        <v>275</v>
      </c>
      <c r="M15" t="s">
        <v>278</v>
      </c>
      <c r="N15" s="11">
        <v>8</v>
      </c>
      <c r="O15" s="11"/>
      <c r="P15" s="11"/>
      <c r="Q15" s="11">
        <v>873</v>
      </c>
      <c r="R15" s="11">
        <v>1273</v>
      </c>
      <c r="S15" s="11">
        <v>0</v>
      </c>
      <c r="T15">
        <v>4.2000000000000003E-2</v>
      </c>
      <c r="V15" t="s">
        <v>64</v>
      </c>
      <c r="W15" t="s">
        <v>67</v>
      </c>
      <c r="AB15" t="s">
        <v>61</v>
      </c>
      <c r="AC15" t="s">
        <v>28</v>
      </c>
      <c r="AD15" t="s">
        <v>427</v>
      </c>
      <c r="AE15">
        <v>2.2000000000000002</v>
      </c>
      <c r="AG15" t="s">
        <v>118</v>
      </c>
      <c r="AH15" s="12">
        <v>1.5960000000000001</v>
      </c>
      <c r="AJ15" t="s">
        <v>121</v>
      </c>
      <c r="AK15">
        <v>2.35</v>
      </c>
      <c r="AM15" t="s">
        <v>118</v>
      </c>
      <c r="AN15">
        <v>0.62</v>
      </c>
      <c r="AP15" t="s">
        <v>120</v>
      </c>
      <c r="AQ15">
        <v>0.84989999999999999</v>
      </c>
      <c r="AS15" t="s">
        <v>121</v>
      </c>
    </row>
    <row r="16" spans="1:78" ht="45" customHeight="1" x14ac:dyDescent="0.2">
      <c r="A16" s="1" t="s">
        <v>70</v>
      </c>
      <c r="B16" s="1" t="s">
        <v>71</v>
      </c>
      <c r="C16" s="1">
        <v>2011</v>
      </c>
      <c r="D16" s="2" t="s">
        <v>72</v>
      </c>
      <c r="E16" s="1" t="s">
        <v>14</v>
      </c>
      <c r="F16" s="1" t="s">
        <v>75</v>
      </c>
      <c r="G16" s="1" t="s">
        <v>62</v>
      </c>
      <c r="H16" s="1" t="s">
        <v>68</v>
      </c>
      <c r="I16" s="1" t="s">
        <v>237</v>
      </c>
      <c r="J16" s="1" t="s">
        <v>404</v>
      </c>
      <c r="K16" s="1" t="s">
        <v>513</v>
      </c>
      <c r="L16" s="1" t="s">
        <v>275</v>
      </c>
      <c r="M16" s="1" t="s">
        <v>278</v>
      </c>
      <c r="N16" s="3"/>
      <c r="O16" s="3">
        <v>0.6</v>
      </c>
      <c r="P16" s="3">
        <v>1.2</v>
      </c>
      <c r="Q16" s="3">
        <v>573</v>
      </c>
      <c r="R16" s="3">
        <v>1273</v>
      </c>
      <c r="S16" s="3">
        <v>0</v>
      </c>
      <c r="T16" s="1">
        <f>285*0.0001</f>
        <v>2.8500000000000001E-2</v>
      </c>
      <c r="V16" s="1" t="s">
        <v>74</v>
      </c>
      <c r="W16" s="1" t="s">
        <v>67</v>
      </c>
      <c r="Z16" s="1">
        <v>0.33</v>
      </c>
      <c r="AC16" s="2" t="s">
        <v>28</v>
      </c>
      <c r="AE16" s="13">
        <v>2.39</v>
      </c>
      <c r="AF16" s="13">
        <v>0.18</v>
      </c>
      <c r="AG16" s="13" t="s">
        <v>118</v>
      </c>
      <c r="AH16" s="18">
        <v>1.0880000000000001</v>
      </c>
      <c r="AI16" s="13">
        <v>3.1099999999999999E-2</v>
      </c>
      <c r="AJ16" s="13" t="s">
        <v>121</v>
      </c>
      <c r="AK16" s="13">
        <v>3.83</v>
      </c>
      <c r="AL16" s="13">
        <v>0.1</v>
      </c>
      <c r="AM16" s="13" t="s">
        <v>118</v>
      </c>
      <c r="AN16" s="13">
        <v>0.9</v>
      </c>
      <c r="AO16" s="13">
        <v>0.04</v>
      </c>
      <c r="AP16" s="13" t="s">
        <v>120</v>
      </c>
      <c r="AQ16" s="13">
        <v>0.83950000000000002</v>
      </c>
      <c r="AR16" s="13">
        <v>1.35E-2</v>
      </c>
      <c r="AS16" s="13" t="s">
        <v>121</v>
      </c>
    </row>
    <row r="17" spans="1:48" ht="45" customHeight="1" x14ac:dyDescent="0.2">
      <c r="A17" s="1" t="s">
        <v>70</v>
      </c>
      <c r="B17" s="1" t="s">
        <v>71</v>
      </c>
      <c r="C17" s="1">
        <v>2011</v>
      </c>
      <c r="D17" s="2" t="s">
        <v>72</v>
      </c>
      <c r="E17" s="1" t="s">
        <v>73</v>
      </c>
      <c r="F17" s="1" t="s">
        <v>73</v>
      </c>
      <c r="G17" s="1" t="s">
        <v>62</v>
      </c>
      <c r="H17" s="1" t="s">
        <v>68</v>
      </c>
      <c r="I17" s="1" t="s">
        <v>237</v>
      </c>
      <c r="J17" s="1" t="s">
        <v>404</v>
      </c>
      <c r="K17" s="1" t="s">
        <v>514</v>
      </c>
      <c r="L17" s="1" t="s">
        <v>275</v>
      </c>
      <c r="M17" s="1" t="s">
        <v>278</v>
      </c>
      <c r="N17" s="3"/>
      <c r="O17" s="3">
        <v>0.6</v>
      </c>
      <c r="P17" s="3">
        <v>1.2</v>
      </c>
      <c r="Q17" s="3">
        <v>573</v>
      </c>
      <c r="R17" s="3">
        <v>1273</v>
      </c>
      <c r="S17" s="3">
        <v>0</v>
      </c>
      <c r="T17" s="1">
        <v>8.900000000000001E-2</v>
      </c>
      <c r="V17" s="1" t="s">
        <v>159</v>
      </c>
      <c r="W17" s="1" t="s">
        <v>67</v>
      </c>
      <c r="AC17" s="2" t="s">
        <v>28</v>
      </c>
      <c r="AE17" s="13">
        <v>4.12</v>
      </c>
      <c r="AF17" s="13">
        <v>0.34</v>
      </c>
      <c r="AG17" s="13" t="s">
        <v>118</v>
      </c>
      <c r="AH17" s="18">
        <v>1.669</v>
      </c>
      <c r="AI17" s="13">
        <v>6.2199999999999998E-2</v>
      </c>
      <c r="AJ17" s="13" t="s">
        <v>121</v>
      </c>
      <c r="AK17" s="13">
        <v>2.4900000000000002</v>
      </c>
      <c r="AL17" s="13">
        <v>0.14000000000000001</v>
      </c>
      <c r="AM17" s="13" t="s">
        <v>118</v>
      </c>
      <c r="AN17" s="13">
        <v>0.83</v>
      </c>
      <c r="AO17" s="13">
        <v>0.06</v>
      </c>
      <c r="AP17" s="13" t="s">
        <v>120</v>
      </c>
      <c r="AQ17" s="13">
        <v>0.79800000000000004</v>
      </c>
      <c r="AR17" s="13">
        <v>2.7029999999999998E-2</v>
      </c>
      <c r="AS17" s="13" t="s">
        <v>121</v>
      </c>
    </row>
    <row r="18" spans="1:48" ht="45" customHeight="1" x14ac:dyDescent="0.2">
      <c r="A18" s="1" t="s">
        <v>76</v>
      </c>
      <c r="B18" s="1" t="s">
        <v>77</v>
      </c>
      <c r="C18" s="1">
        <v>2012</v>
      </c>
      <c r="D18" s="2" t="s">
        <v>78</v>
      </c>
      <c r="E18" s="1" t="s">
        <v>31</v>
      </c>
      <c r="F18" s="1" t="s">
        <v>79</v>
      </c>
      <c r="G18" s="1" t="s">
        <v>80</v>
      </c>
      <c r="H18" s="1" t="s">
        <v>69</v>
      </c>
      <c r="I18" s="1" t="s">
        <v>15</v>
      </c>
      <c r="J18" s="1" t="s">
        <v>300</v>
      </c>
      <c r="K18" s="1" t="s">
        <v>540</v>
      </c>
      <c r="L18" s="1" t="s">
        <v>275</v>
      </c>
      <c r="M18" s="1" t="s">
        <v>278</v>
      </c>
      <c r="N18" s="3">
        <v>1.2</v>
      </c>
      <c r="O18" s="3"/>
      <c r="P18" s="3"/>
      <c r="Q18" s="3">
        <v>723</v>
      </c>
      <c r="R18" s="3">
        <v>1273</v>
      </c>
      <c r="S18" s="3">
        <v>0</v>
      </c>
      <c r="T18" s="1">
        <v>0</v>
      </c>
      <c r="U18" s="1">
        <v>0</v>
      </c>
      <c r="V18" s="1" t="s">
        <v>284</v>
      </c>
      <c r="W18" s="1" t="s">
        <v>55</v>
      </c>
      <c r="AC18" s="2" t="s">
        <v>28</v>
      </c>
      <c r="AE18" s="13">
        <f>(1.88+2.02)/2</f>
        <v>1.95</v>
      </c>
      <c r="AF18" s="13">
        <f xml:space="preserve"> 0.115</f>
        <v>0.115</v>
      </c>
      <c r="AG18" s="13" t="s">
        <v>118</v>
      </c>
      <c r="AH18" s="18">
        <v>0.91720000000000002</v>
      </c>
      <c r="AI18" s="13">
        <v>1.0359999999999999E-2</v>
      </c>
      <c r="AJ18" s="13" t="s">
        <v>121</v>
      </c>
    </row>
    <row r="19" spans="1:48" ht="45" customHeight="1" x14ac:dyDescent="0.2">
      <c r="A19" s="1" t="s">
        <v>76</v>
      </c>
      <c r="B19" s="1" t="s">
        <v>77</v>
      </c>
      <c r="C19" s="1">
        <v>2012</v>
      </c>
      <c r="D19" s="2" t="s">
        <v>78</v>
      </c>
      <c r="E19" s="1" t="s">
        <v>31</v>
      </c>
      <c r="F19" s="1" t="s">
        <v>79</v>
      </c>
      <c r="G19" s="1" t="s">
        <v>83</v>
      </c>
      <c r="H19" s="1" t="s">
        <v>82</v>
      </c>
      <c r="I19" s="1" t="s">
        <v>81</v>
      </c>
      <c r="J19" s="1" t="s">
        <v>300</v>
      </c>
      <c r="K19" s="1" t="s">
        <v>515</v>
      </c>
      <c r="L19" s="1" t="s">
        <v>275</v>
      </c>
      <c r="M19" s="1" t="s">
        <v>278</v>
      </c>
      <c r="N19" s="3">
        <v>1.2</v>
      </c>
      <c r="O19" s="3"/>
      <c r="P19" s="3"/>
      <c r="Q19" s="3">
        <v>323</v>
      </c>
      <c r="R19" s="3">
        <v>1373</v>
      </c>
      <c r="S19" s="3">
        <f>75*0.0001</f>
        <v>7.5000000000000006E-3</v>
      </c>
      <c r="T19" s="1">
        <f>270*0.0001</f>
        <v>2.7E-2</v>
      </c>
      <c r="V19" s="1" t="s">
        <v>284</v>
      </c>
      <c r="W19" s="1" t="s">
        <v>67</v>
      </c>
      <c r="AC19" s="2" t="s">
        <v>28</v>
      </c>
      <c r="AD19" s="2" t="s">
        <v>414</v>
      </c>
      <c r="AE19" s="13">
        <f>3.67</f>
        <v>3.67</v>
      </c>
      <c r="AF19" s="13">
        <v>0.13500000000000001</v>
      </c>
      <c r="AG19" s="13" t="s">
        <v>118</v>
      </c>
      <c r="AH19" s="18">
        <v>0.97</v>
      </c>
      <c r="AI19" s="13">
        <v>0.06</v>
      </c>
      <c r="AJ19" s="13" t="s">
        <v>120</v>
      </c>
      <c r="AK19" s="13">
        <v>0.74619999999999997</v>
      </c>
      <c r="AL19" s="13">
        <v>1.55E-2</v>
      </c>
      <c r="AM19" s="13" t="s">
        <v>121</v>
      </c>
    </row>
    <row r="20" spans="1:48" ht="45" customHeight="1" x14ac:dyDescent="0.2">
      <c r="A20" s="1" t="s">
        <v>84</v>
      </c>
      <c r="B20" s="1" t="s">
        <v>85</v>
      </c>
      <c r="C20" s="1">
        <v>2012</v>
      </c>
      <c r="D20" s="2" t="s">
        <v>86</v>
      </c>
      <c r="E20" s="1" t="s">
        <v>14</v>
      </c>
      <c r="F20" s="1" t="s">
        <v>87</v>
      </c>
      <c r="G20" s="1" t="s">
        <v>66</v>
      </c>
      <c r="H20" s="1" t="s">
        <v>88</v>
      </c>
      <c r="I20" s="1" t="s">
        <v>289</v>
      </c>
      <c r="J20" s="1" t="s">
        <v>301</v>
      </c>
      <c r="K20" s="1" t="s">
        <v>494</v>
      </c>
      <c r="L20" s="1" t="s">
        <v>275</v>
      </c>
      <c r="M20" s="1" t="s">
        <v>278</v>
      </c>
      <c r="N20" s="3">
        <v>3</v>
      </c>
      <c r="O20" s="3"/>
      <c r="P20" s="3"/>
      <c r="Q20" s="3">
        <v>500</v>
      </c>
      <c r="R20" s="3">
        <v>1723</v>
      </c>
      <c r="S20" s="3">
        <v>0</v>
      </c>
      <c r="T20" s="1">
        <v>0.24099999999999999</v>
      </c>
      <c r="V20" s="1" t="s">
        <v>64</v>
      </c>
      <c r="W20" s="1" t="s">
        <v>67</v>
      </c>
      <c r="AB20" s="1" t="s">
        <v>61</v>
      </c>
      <c r="AC20" s="2" t="s">
        <v>28</v>
      </c>
      <c r="AE20" s="13">
        <v>3.99</v>
      </c>
      <c r="AF20" s="13">
        <v>0.23</v>
      </c>
      <c r="AG20" s="13" t="s">
        <v>118</v>
      </c>
      <c r="AH20" s="18">
        <v>1.88</v>
      </c>
      <c r="AI20" s="13">
        <v>7.0000000000000007E-2</v>
      </c>
      <c r="AJ20" s="13" t="s">
        <v>121</v>
      </c>
      <c r="AK20" s="13">
        <v>2.58</v>
      </c>
      <c r="AL20" s="13">
        <v>0.14000000000000001</v>
      </c>
      <c r="AM20" s="13" t="s">
        <v>118</v>
      </c>
      <c r="AN20" s="13">
        <v>0.84</v>
      </c>
      <c r="AO20" s="13">
        <v>0.03</v>
      </c>
      <c r="AP20" s="13" t="s">
        <v>121</v>
      </c>
      <c r="AQ20" s="13">
        <v>8.0000000000000002E-3</v>
      </c>
      <c r="AR20" s="13">
        <v>3.0000000000000001E-3</v>
      </c>
      <c r="AS20" s="13" t="s">
        <v>122</v>
      </c>
      <c r="AT20" s="13">
        <v>0.33333333333333331</v>
      </c>
      <c r="AV20" s="13" t="s">
        <v>122</v>
      </c>
    </row>
    <row r="21" spans="1:48" ht="45" customHeight="1" x14ac:dyDescent="0.2">
      <c r="A21" s="1" t="s">
        <v>6</v>
      </c>
      <c r="B21" s="1" t="s">
        <v>8</v>
      </c>
      <c r="C21" s="1">
        <v>2019</v>
      </c>
      <c r="D21" s="2" t="s">
        <v>7</v>
      </c>
      <c r="E21" s="1" t="s">
        <v>408</v>
      </c>
      <c r="F21" s="1" t="s">
        <v>89</v>
      </c>
      <c r="G21" s="1" t="s">
        <v>50</v>
      </c>
      <c r="H21" s="1" t="s">
        <v>69</v>
      </c>
      <c r="I21" s="1" t="s">
        <v>15</v>
      </c>
      <c r="J21" s="1" t="s">
        <v>302</v>
      </c>
      <c r="K21" s="1" t="s">
        <v>495</v>
      </c>
      <c r="L21" s="1" t="s">
        <v>275</v>
      </c>
      <c r="M21" s="1" t="s">
        <v>278</v>
      </c>
      <c r="N21" s="3">
        <v>2</v>
      </c>
      <c r="O21" s="3"/>
      <c r="P21" s="3"/>
      <c r="Q21" s="3">
        <v>623</v>
      </c>
      <c r="R21" s="3">
        <v>1073</v>
      </c>
      <c r="S21" s="3"/>
      <c r="U21" s="1">
        <f>14.79*0.035</f>
        <v>0.51765000000000005</v>
      </c>
      <c r="V21" s="1" t="s">
        <v>92</v>
      </c>
      <c r="W21" s="1" t="s">
        <v>67</v>
      </c>
      <c r="AB21" s="1" t="s">
        <v>54</v>
      </c>
      <c r="AC21" s="2" t="s">
        <v>28</v>
      </c>
      <c r="AE21" s="13">
        <v>2.19</v>
      </c>
      <c r="AF21" s="13">
        <v>0.01</v>
      </c>
      <c r="AG21" s="13" t="s">
        <v>118</v>
      </c>
      <c r="AH21" s="18">
        <v>0.68</v>
      </c>
      <c r="AI21" s="13">
        <v>0.01</v>
      </c>
      <c r="AJ21" s="13" t="s">
        <v>121</v>
      </c>
    </row>
    <row r="22" spans="1:48" ht="45" customHeight="1" x14ac:dyDescent="0.2">
      <c r="A22" s="1" t="s">
        <v>6</v>
      </c>
      <c r="B22" s="1" t="s">
        <v>8</v>
      </c>
      <c r="C22" s="1">
        <v>2019</v>
      </c>
      <c r="D22" s="2" t="s">
        <v>7</v>
      </c>
      <c r="E22" s="1" t="s">
        <v>408</v>
      </c>
      <c r="F22" s="1" t="s">
        <v>90</v>
      </c>
      <c r="G22" s="1" t="s">
        <v>50</v>
      </c>
      <c r="H22" s="1" t="s">
        <v>69</v>
      </c>
      <c r="I22" s="1" t="s">
        <v>15</v>
      </c>
      <c r="J22" s="1" t="s">
        <v>302</v>
      </c>
      <c r="K22" s="1" t="s">
        <v>496</v>
      </c>
      <c r="L22" s="1" t="s">
        <v>275</v>
      </c>
      <c r="M22" s="1" t="s">
        <v>278</v>
      </c>
      <c r="N22" s="3">
        <v>2</v>
      </c>
      <c r="O22" s="3"/>
      <c r="P22" s="3"/>
      <c r="Q22" s="3">
        <v>623</v>
      </c>
      <c r="R22" s="3">
        <v>1073</v>
      </c>
      <c r="S22" s="3"/>
      <c r="U22" s="1">
        <f>8.75*0.035</f>
        <v>0.30625000000000002</v>
      </c>
      <c r="V22" s="1" t="s">
        <v>92</v>
      </c>
      <c r="W22" s="1" t="s">
        <v>67</v>
      </c>
      <c r="AB22" s="1" t="s">
        <v>54</v>
      </c>
      <c r="AC22" s="2" t="s">
        <v>28</v>
      </c>
      <c r="AE22" s="13">
        <v>1.01</v>
      </c>
      <c r="AF22" s="13">
        <v>-0.05</v>
      </c>
      <c r="AG22" s="13" t="s">
        <v>118</v>
      </c>
      <c r="AH22" s="18">
        <v>0.61</v>
      </c>
      <c r="AI22" s="13">
        <v>0.01</v>
      </c>
      <c r="AJ22" s="13" t="s">
        <v>121</v>
      </c>
    </row>
    <row r="23" spans="1:48" ht="45" customHeight="1" x14ac:dyDescent="0.2">
      <c r="A23" s="1" t="s">
        <v>6</v>
      </c>
      <c r="B23" s="1" t="s">
        <v>8</v>
      </c>
      <c r="C23" s="1">
        <v>2019</v>
      </c>
      <c r="D23" s="2" t="s">
        <v>7</v>
      </c>
      <c r="E23" s="1" t="s">
        <v>408</v>
      </c>
      <c r="F23" s="1" t="s">
        <v>90</v>
      </c>
      <c r="G23" s="1" t="s">
        <v>50</v>
      </c>
      <c r="H23" s="1" t="s">
        <v>69</v>
      </c>
      <c r="I23" s="1" t="s">
        <v>15</v>
      </c>
      <c r="J23" s="1" t="s">
        <v>302</v>
      </c>
      <c r="K23" s="1" t="s">
        <v>497</v>
      </c>
      <c r="L23" s="1" t="s">
        <v>275</v>
      </c>
      <c r="M23" s="1" t="s">
        <v>278</v>
      </c>
      <c r="N23" s="3">
        <v>1</v>
      </c>
      <c r="O23" s="3"/>
      <c r="P23" s="3"/>
      <c r="Q23" s="3">
        <v>623</v>
      </c>
      <c r="R23" s="3">
        <v>773</v>
      </c>
      <c r="S23" s="3"/>
      <c r="U23" s="1">
        <f t="shared" ref="U23:U24" si="0">8.75*0.035</f>
        <v>0.30625000000000002</v>
      </c>
      <c r="V23" s="1" t="s">
        <v>92</v>
      </c>
      <c r="W23" s="1" t="s">
        <v>67</v>
      </c>
      <c r="AB23" s="1" t="s">
        <v>54</v>
      </c>
      <c r="AC23" s="2" t="s">
        <v>28</v>
      </c>
      <c r="AE23" s="13">
        <v>-0.56000000000000005</v>
      </c>
      <c r="AF23" s="13">
        <v>7.0000000000000007E-2</v>
      </c>
      <c r="AG23" s="13" t="s">
        <v>118</v>
      </c>
      <c r="AH23" s="18">
        <v>0.36</v>
      </c>
      <c r="AI23" s="13">
        <v>0.01</v>
      </c>
      <c r="AJ23" s="13" t="s">
        <v>121</v>
      </c>
    </row>
    <row r="24" spans="1:48" ht="45" customHeight="1" x14ac:dyDescent="0.2">
      <c r="A24" s="1" t="s">
        <v>6</v>
      </c>
      <c r="B24" s="1" t="s">
        <v>8</v>
      </c>
      <c r="C24" s="1">
        <v>2019</v>
      </c>
      <c r="D24" s="2" t="s">
        <v>7</v>
      </c>
      <c r="E24" s="1" t="s">
        <v>408</v>
      </c>
      <c r="F24" s="1" t="s">
        <v>90</v>
      </c>
      <c r="G24" s="1" t="s">
        <v>50</v>
      </c>
      <c r="H24" s="1" t="s">
        <v>69</v>
      </c>
      <c r="I24" s="1" t="s">
        <v>15</v>
      </c>
      <c r="J24" s="1" t="s">
        <v>302</v>
      </c>
      <c r="K24" s="1" t="s">
        <v>498</v>
      </c>
      <c r="L24" s="1" t="s">
        <v>275</v>
      </c>
      <c r="M24" s="1" t="s">
        <v>278</v>
      </c>
      <c r="N24" s="3">
        <v>1</v>
      </c>
      <c r="O24" s="3"/>
      <c r="P24" s="3"/>
      <c r="Q24" s="3">
        <v>823</v>
      </c>
      <c r="R24" s="3">
        <v>1073</v>
      </c>
      <c r="S24" s="3"/>
      <c r="U24" s="1">
        <f t="shared" si="0"/>
        <v>0.30625000000000002</v>
      </c>
      <c r="V24" s="1" t="s">
        <v>92</v>
      </c>
      <c r="W24" s="1" t="s">
        <v>67</v>
      </c>
      <c r="AB24" s="1" t="s">
        <v>54</v>
      </c>
      <c r="AC24" s="2" t="s">
        <v>28</v>
      </c>
      <c r="AE24" s="13">
        <v>1.08</v>
      </c>
      <c r="AF24" s="13">
        <v>0.03</v>
      </c>
      <c r="AG24" s="13" t="s">
        <v>118</v>
      </c>
      <c r="AH24" s="18">
        <v>0.62</v>
      </c>
      <c r="AI24" s="13">
        <v>0.01</v>
      </c>
      <c r="AJ24" s="13" t="s">
        <v>121</v>
      </c>
    </row>
    <row r="25" spans="1:48" ht="45" customHeight="1" x14ac:dyDescent="0.2">
      <c r="A25" s="1" t="s">
        <v>6</v>
      </c>
      <c r="B25" s="1" t="s">
        <v>8</v>
      </c>
      <c r="C25" s="1">
        <v>2019</v>
      </c>
      <c r="D25" s="2" t="s">
        <v>7</v>
      </c>
      <c r="E25" s="1" t="s">
        <v>408</v>
      </c>
      <c r="F25" s="1" t="s">
        <v>91</v>
      </c>
      <c r="G25" s="1" t="s">
        <v>50</v>
      </c>
      <c r="H25" s="1" t="s">
        <v>69</v>
      </c>
      <c r="I25" s="1" t="s">
        <v>15</v>
      </c>
      <c r="J25" s="1" t="s">
        <v>302</v>
      </c>
      <c r="K25" s="1" t="s">
        <v>499</v>
      </c>
      <c r="L25" s="1" t="s">
        <v>275</v>
      </c>
      <c r="M25" s="1" t="s">
        <v>278</v>
      </c>
      <c r="N25" s="3">
        <v>2</v>
      </c>
      <c r="O25" s="3"/>
      <c r="P25" s="3"/>
      <c r="Q25" s="3">
        <v>623</v>
      </c>
      <c r="R25" s="3">
        <v>723</v>
      </c>
      <c r="S25" s="3"/>
      <c r="U25" s="1">
        <f>5.49*0.035</f>
        <v>0.19215000000000002</v>
      </c>
      <c r="V25" s="1" t="s">
        <v>92</v>
      </c>
      <c r="W25" s="1" t="s">
        <v>67</v>
      </c>
      <c r="AB25" s="1" t="s">
        <v>54</v>
      </c>
      <c r="AC25" s="2" t="s">
        <v>28</v>
      </c>
      <c r="AE25" s="13">
        <v>-0.46</v>
      </c>
      <c r="AF25" s="13">
        <v>0.18</v>
      </c>
      <c r="AG25" s="13" t="s">
        <v>118</v>
      </c>
      <c r="AH25" s="18">
        <v>0.42</v>
      </c>
      <c r="AI25" s="13">
        <v>0.02</v>
      </c>
      <c r="AJ25" s="13" t="s">
        <v>121</v>
      </c>
    </row>
    <row r="26" spans="1:48" ht="45" customHeight="1" x14ac:dyDescent="0.2">
      <c r="A26" s="1" t="s">
        <v>6</v>
      </c>
      <c r="B26" s="1" t="s">
        <v>8</v>
      </c>
      <c r="C26" s="1">
        <v>2019</v>
      </c>
      <c r="D26" s="2" t="s">
        <v>7</v>
      </c>
      <c r="E26" s="1" t="s">
        <v>408</v>
      </c>
      <c r="F26" s="1" t="s">
        <v>91</v>
      </c>
      <c r="G26" s="1" t="s">
        <v>50</v>
      </c>
      <c r="H26" s="1" t="s">
        <v>69</v>
      </c>
      <c r="I26" s="1" t="s">
        <v>15</v>
      </c>
      <c r="J26" s="1" t="s">
        <v>302</v>
      </c>
      <c r="K26" s="1" t="s">
        <v>500</v>
      </c>
      <c r="L26" s="1" t="s">
        <v>275</v>
      </c>
      <c r="M26" s="1" t="s">
        <v>278</v>
      </c>
      <c r="N26" s="3">
        <v>2</v>
      </c>
      <c r="O26" s="3"/>
      <c r="P26" s="3"/>
      <c r="Q26" s="3">
        <v>773</v>
      </c>
      <c r="R26" s="3">
        <v>1073</v>
      </c>
      <c r="S26" s="3"/>
      <c r="U26" s="1">
        <f t="shared" ref="U26:U28" si="1">5.49*0.035</f>
        <v>0.19215000000000002</v>
      </c>
      <c r="V26" s="1" t="s">
        <v>92</v>
      </c>
      <c r="W26" s="1" t="s">
        <v>67</v>
      </c>
      <c r="AB26" s="1" t="s">
        <v>54</v>
      </c>
      <c r="AC26" s="2" t="s">
        <v>28</v>
      </c>
      <c r="AE26" s="13">
        <v>0.99</v>
      </c>
      <c r="AF26" s="13">
        <v>0.04</v>
      </c>
      <c r="AG26" s="13" t="s">
        <v>118</v>
      </c>
      <c r="AH26" s="18">
        <v>0.63</v>
      </c>
      <c r="AI26" s="13">
        <v>0.01</v>
      </c>
      <c r="AJ26" s="13" t="s">
        <v>121</v>
      </c>
    </row>
    <row r="27" spans="1:48" ht="45" customHeight="1" x14ac:dyDescent="0.2">
      <c r="A27" s="1" t="s">
        <v>6</v>
      </c>
      <c r="B27" s="1" t="s">
        <v>8</v>
      </c>
      <c r="C27" s="1">
        <v>2019</v>
      </c>
      <c r="D27" s="2" t="s">
        <v>7</v>
      </c>
      <c r="E27" s="1" t="s">
        <v>408</v>
      </c>
      <c r="F27" s="1" t="s">
        <v>91</v>
      </c>
      <c r="G27" s="1" t="s">
        <v>50</v>
      </c>
      <c r="H27" s="1" t="s">
        <v>69</v>
      </c>
      <c r="I27" s="1" t="s">
        <v>15</v>
      </c>
      <c r="J27" s="1" t="s">
        <v>302</v>
      </c>
      <c r="K27" s="1" t="s">
        <v>501</v>
      </c>
      <c r="L27" s="1" t="s">
        <v>275</v>
      </c>
      <c r="M27" s="1" t="s">
        <v>278</v>
      </c>
      <c r="N27" s="3">
        <v>3</v>
      </c>
      <c r="O27" s="3"/>
      <c r="P27" s="3"/>
      <c r="Q27" s="3">
        <v>623</v>
      </c>
      <c r="R27" s="3">
        <v>723</v>
      </c>
      <c r="S27" s="3"/>
      <c r="U27" s="1">
        <f t="shared" si="1"/>
        <v>0.19215000000000002</v>
      </c>
      <c r="V27" s="1" t="s">
        <v>92</v>
      </c>
      <c r="W27" s="1" t="s">
        <v>67</v>
      </c>
      <c r="AB27" s="1" t="s">
        <v>54</v>
      </c>
      <c r="AC27" s="2" t="s">
        <v>28</v>
      </c>
      <c r="AE27" s="13">
        <v>-1.1599999999999999</v>
      </c>
      <c r="AF27" s="13">
        <v>0.14000000000000001</v>
      </c>
      <c r="AG27" s="13" t="s">
        <v>118</v>
      </c>
      <c r="AH27" s="18">
        <v>0.36</v>
      </c>
      <c r="AI27" s="13">
        <v>0.02</v>
      </c>
      <c r="AJ27" s="13" t="s">
        <v>121</v>
      </c>
    </row>
    <row r="28" spans="1:48" ht="45" customHeight="1" x14ac:dyDescent="0.2">
      <c r="A28" s="1" t="s">
        <v>6</v>
      </c>
      <c r="B28" s="1" t="s">
        <v>8</v>
      </c>
      <c r="C28" s="1">
        <v>2019</v>
      </c>
      <c r="D28" s="2" t="s">
        <v>7</v>
      </c>
      <c r="E28" s="1" t="s">
        <v>408</v>
      </c>
      <c r="F28" s="1" t="s">
        <v>91</v>
      </c>
      <c r="G28" s="1" t="s">
        <v>50</v>
      </c>
      <c r="H28" s="1" t="s">
        <v>69</v>
      </c>
      <c r="I28" s="1" t="s">
        <v>15</v>
      </c>
      <c r="J28" s="1" t="s">
        <v>302</v>
      </c>
      <c r="K28" s="1" t="s">
        <v>502</v>
      </c>
      <c r="L28" s="1" t="s">
        <v>275</v>
      </c>
      <c r="M28" s="1" t="s">
        <v>278</v>
      </c>
      <c r="N28" s="3">
        <v>3</v>
      </c>
      <c r="O28" s="3"/>
      <c r="P28" s="3"/>
      <c r="Q28" s="3">
        <v>773</v>
      </c>
      <c r="R28" s="3">
        <v>1073</v>
      </c>
      <c r="S28" s="3"/>
      <c r="U28" s="1">
        <f t="shared" si="1"/>
        <v>0.19215000000000002</v>
      </c>
      <c r="V28" s="1" t="s">
        <v>92</v>
      </c>
      <c r="W28" s="1" t="s">
        <v>67</v>
      </c>
      <c r="AB28" s="1" t="s">
        <v>54</v>
      </c>
      <c r="AC28" s="2" t="s">
        <v>28</v>
      </c>
      <c r="AE28" s="13">
        <v>0.17</v>
      </c>
      <c r="AF28" s="13">
        <v>0.02</v>
      </c>
      <c r="AG28" s="13" t="s">
        <v>118</v>
      </c>
      <c r="AH28" s="18">
        <v>0.55000000000000004</v>
      </c>
      <c r="AI28" s="13">
        <v>0.01</v>
      </c>
      <c r="AJ28" s="13" t="s">
        <v>121</v>
      </c>
    </row>
    <row r="29" spans="1:48" ht="45" customHeight="1" x14ac:dyDescent="0.2">
      <c r="A29" s="1" t="s">
        <v>93</v>
      </c>
      <c r="B29" s="1" t="s">
        <v>94</v>
      </c>
      <c r="C29" s="1">
        <v>2023</v>
      </c>
      <c r="D29" s="2" t="s">
        <v>95</v>
      </c>
      <c r="E29" s="1" t="s">
        <v>407</v>
      </c>
      <c r="F29" s="1" t="s">
        <v>97</v>
      </c>
      <c r="G29" s="1" t="s">
        <v>50</v>
      </c>
      <c r="H29" s="1" t="s">
        <v>69</v>
      </c>
      <c r="I29" s="1" t="s">
        <v>15</v>
      </c>
      <c r="J29" s="1" t="s">
        <v>303</v>
      </c>
      <c r="K29" s="1" t="s">
        <v>489</v>
      </c>
      <c r="L29" s="1" t="s">
        <v>275</v>
      </c>
      <c r="M29" s="1" t="s">
        <v>278</v>
      </c>
      <c r="N29" s="3">
        <v>1E-4</v>
      </c>
      <c r="O29" s="3"/>
      <c r="P29" s="3"/>
      <c r="Q29" s="3">
        <v>673</v>
      </c>
      <c r="R29" s="3">
        <v>773</v>
      </c>
      <c r="S29" s="3"/>
      <c r="U29" s="1">
        <v>0.222</v>
      </c>
      <c r="W29" s="1" t="s">
        <v>67</v>
      </c>
      <c r="AB29" s="1" t="s">
        <v>54</v>
      </c>
      <c r="AC29" s="2" t="s">
        <v>28</v>
      </c>
      <c r="AD29" s="2" t="s">
        <v>411</v>
      </c>
      <c r="AE29" s="13">
        <v>9.9060000000000006</v>
      </c>
      <c r="AG29" s="13" t="s">
        <v>119</v>
      </c>
      <c r="AH29" s="18">
        <v>1.22</v>
      </c>
      <c r="AI29" s="13">
        <v>6.3E-2</v>
      </c>
      <c r="AJ29" s="13" t="s">
        <v>121</v>
      </c>
    </row>
    <row r="30" spans="1:48" ht="45" customHeight="1" x14ac:dyDescent="0.2">
      <c r="A30" s="1" t="s">
        <v>93</v>
      </c>
      <c r="B30" s="1" t="s">
        <v>94</v>
      </c>
      <c r="C30" s="1">
        <v>2023</v>
      </c>
      <c r="D30" s="2" t="s">
        <v>95</v>
      </c>
      <c r="E30" s="1" t="s">
        <v>407</v>
      </c>
      <c r="F30" s="1" t="s">
        <v>96</v>
      </c>
      <c r="G30" s="1" t="s">
        <v>50</v>
      </c>
      <c r="H30" s="1" t="s">
        <v>69</v>
      </c>
      <c r="I30" s="1" t="s">
        <v>15</v>
      </c>
      <c r="J30" s="1" t="s">
        <v>303</v>
      </c>
      <c r="K30" s="1" t="s">
        <v>490</v>
      </c>
      <c r="L30" s="1" t="s">
        <v>275</v>
      </c>
      <c r="M30" s="1" t="s">
        <v>278</v>
      </c>
      <c r="N30" s="3">
        <v>1</v>
      </c>
      <c r="O30" s="3"/>
      <c r="P30" s="3"/>
      <c r="Q30" s="3">
        <v>573</v>
      </c>
      <c r="R30" s="3">
        <v>873</v>
      </c>
      <c r="S30" s="3"/>
      <c r="U30" s="1">
        <v>0.46100000000000002</v>
      </c>
      <c r="W30" s="1" t="s">
        <v>67</v>
      </c>
      <c r="AB30" s="1" t="s">
        <v>54</v>
      </c>
      <c r="AC30" s="2" t="s">
        <v>28</v>
      </c>
      <c r="AD30" s="2" t="s">
        <v>412</v>
      </c>
      <c r="AE30" s="13">
        <v>417.44600000000003</v>
      </c>
      <c r="AG30" s="13" t="s">
        <v>119</v>
      </c>
      <c r="AH30" s="18">
        <v>0.83699999999999997</v>
      </c>
      <c r="AI30" s="13">
        <v>3.3000000000000002E-2</v>
      </c>
      <c r="AJ30" s="13" t="s">
        <v>121</v>
      </c>
    </row>
    <row r="31" spans="1:48" ht="45" customHeight="1" x14ac:dyDescent="0.2">
      <c r="A31" s="1" t="s">
        <v>93</v>
      </c>
      <c r="B31" s="1" t="s">
        <v>94</v>
      </c>
      <c r="C31" s="1">
        <v>2023</v>
      </c>
      <c r="D31" s="2" t="s">
        <v>95</v>
      </c>
      <c r="E31" s="1" t="s">
        <v>407</v>
      </c>
      <c r="F31" s="1" t="s">
        <v>96</v>
      </c>
      <c r="G31" s="1" t="s">
        <v>50</v>
      </c>
      <c r="H31" s="1" t="s">
        <v>69</v>
      </c>
      <c r="I31" s="1" t="s">
        <v>15</v>
      </c>
      <c r="J31" s="1" t="s">
        <v>303</v>
      </c>
      <c r="K31" s="1" t="s">
        <v>491</v>
      </c>
      <c r="L31" s="1" t="s">
        <v>275</v>
      </c>
      <c r="M31" s="1" t="s">
        <v>278</v>
      </c>
      <c r="N31" s="3">
        <v>1</v>
      </c>
      <c r="O31" s="3"/>
      <c r="P31" s="3"/>
      <c r="Q31" s="3">
        <v>873</v>
      </c>
      <c r="R31" s="3">
        <v>1173</v>
      </c>
      <c r="S31" s="3"/>
      <c r="U31" s="1">
        <v>0.1</v>
      </c>
      <c r="W31" s="1" t="s">
        <v>67</v>
      </c>
      <c r="AB31" s="1" t="s">
        <v>54</v>
      </c>
      <c r="AC31" s="2" t="s">
        <v>28</v>
      </c>
      <c r="AD31" s="2" t="s">
        <v>411</v>
      </c>
      <c r="AE31" s="13">
        <f>POWER(10,LOG10(759.451)-0.5)</f>
        <v>240.15949312925372</v>
      </c>
      <c r="AG31" s="13" t="s">
        <v>119</v>
      </c>
      <c r="AH31" s="18">
        <v>0.77300000000000002</v>
      </c>
      <c r="AI31" s="13">
        <v>1.2E-2</v>
      </c>
      <c r="AJ31" s="13" t="s">
        <v>121</v>
      </c>
    </row>
    <row r="32" spans="1:48" ht="45" customHeight="1" x14ac:dyDescent="0.2">
      <c r="A32" s="1" t="s">
        <v>93</v>
      </c>
      <c r="B32" s="1" t="s">
        <v>94</v>
      </c>
      <c r="C32" s="1">
        <v>2023</v>
      </c>
      <c r="D32" s="2" t="s">
        <v>95</v>
      </c>
      <c r="E32" s="1" t="s">
        <v>407</v>
      </c>
      <c r="F32" s="1" t="s">
        <v>351</v>
      </c>
      <c r="G32" s="1" t="s">
        <v>98</v>
      </c>
      <c r="H32" s="1" t="s">
        <v>69</v>
      </c>
      <c r="I32" s="1" t="s">
        <v>15</v>
      </c>
      <c r="J32" s="1" t="s">
        <v>303</v>
      </c>
      <c r="K32" s="1" t="s">
        <v>492</v>
      </c>
      <c r="L32" s="1" t="s">
        <v>275</v>
      </c>
      <c r="M32" s="1" t="s">
        <v>278</v>
      </c>
      <c r="N32" s="3">
        <v>1</v>
      </c>
      <c r="O32" s="3"/>
      <c r="P32" s="3"/>
      <c r="Q32" s="3">
        <v>573</v>
      </c>
      <c r="R32" s="3">
        <v>873</v>
      </c>
      <c r="S32" s="3"/>
      <c r="U32" s="1">
        <v>0.46100000000000002</v>
      </c>
      <c r="W32" s="1" t="s">
        <v>67</v>
      </c>
      <c r="AB32" s="1" t="s">
        <v>54</v>
      </c>
      <c r="AC32" s="2" t="s">
        <v>28</v>
      </c>
      <c r="AD32" s="2" t="s">
        <v>411</v>
      </c>
      <c r="AE32" s="13">
        <v>4.9349999999999996</v>
      </c>
      <c r="AG32" s="13" t="s">
        <v>119</v>
      </c>
      <c r="AH32" s="18">
        <v>0.82399999999999995</v>
      </c>
      <c r="AI32" s="13">
        <v>3.5000000000000003E-2</v>
      </c>
      <c r="AJ32" s="13" t="s">
        <v>121</v>
      </c>
    </row>
    <row r="33" spans="1:77" ht="45" customHeight="1" x14ac:dyDescent="0.2">
      <c r="A33" s="1" t="s">
        <v>93</v>
      </c>
      <c r="B33" s="1" t="s">
        <v>94</v>
      </c>
      <c r="C33" s="1">
        <v>2023</v>
      </c>
      <c r="D33" s="2" t="s">
        <v>95</v>
      </c>
      <c r="E33" s="1" t="s">
        <v>407</v>
      </c>
      <c r="F33" s="1" t="s">
        <v>351</v>
      </c>
      <c r="G33" s="1" t="s">
        <v>98</v>
      </c>
      <c r="H33" s="1" t="s">
        <v>69</v>
      </c>
      <c r="I33" s="1" t="s">
        <v>15</v>
      </c>
      <c r="J33" s="1" t="s">
        <v>303</v>
      </c>
      <c r="K33" s="1" t="s">
        <v>493</v>
      </c>
      <c r="L33" s="1" t="s">
        <v>275</v>
      </c>
      <c r="M33" s="1" t="s">
        <v>278</v>
      </c>
      <c r="N33" s="3">
        <v>1</v>
      </c>
      <c r="O33" s="3"/>
      <c r="P33" s="3"/>
      <c r="Q33" s="3">
        <v>873</v>
      </c>
      <c r="R33" s="3">
        <v>1173</v>
      </c>
      <c r="S33" s="3"/>
      <c r="U33" s="1">
        <v>0.1</v>
      </c>
      <c r="W33" s="1" t="s">
        <v>67</v>
      </c>
      <c r="AB33" s="1" t="s">
        <v>54</v>
      </c>
      <c r="AC33" s="2" t="s">
        <v>28</v>
      </c>
      <c r="AD33" s="2" t="s">
        <v>411</v>
      </c>
      <c r="AE33" s="13">
        <v>210.08699999999999</v>
      </c>
      <c r="AG33" s="13" t="s">
        <v>119</v>
      </c>
      <c r="AH33" s="18">
        <v>1.085</v>
      </c>
      <c r="AI33" s="13">
        <v>6.8000000000000005E-2</v>
      </c>
      <c r="AJ33" s="13" t="s">
        <v>121</v>
      </c>
    </row>
    <row r="34" spans="1:77" ht="45" customHeight="1" x14ac:dyDescent="0.2">
      <c r="A34" s="1" t="s">
        <v>99</v>
      </c>
      <c r="B34" s="1" t="s">
        <v>100</v>
      </c>
      <c r="C34" s="1">
        <v>2019</v>
      </c>
      <c r="D34" s="2" t="s">
        <v>101</v>
      </c>
      <c r="E34" s="1" t="s">
        <v>409</v>
      </c>
      <c r="F34" s="1" t="s">
        <v>102</v>
      </c>
      <c r="G34" s="1" t="s">
        <v>103</v>
      </c>
      <c r="H34" s="1" t="s">
        <v>410</v>
      </c>
      <c r="I34" s="1" t="s">
        <v>293</v>
      </c>
      <c r="J34" s="1" t="s">
        <v>304</v>
      </c>
      <c r="K34" s="1" t="s">
        <v>477</v>
      </c>
      <c r="L34" s="1" t="s">
        <v>275</v>
      </c>
      <c r="M34" s="1" t="s">
        <v>278</v>
      </c>
      <c r="N34" s="3"/>
      <c r="O34" s="3">
        <v>3</v>
      </c>
      <c r="P34" s="3">
        <v>5</v>
      </c>
      <c r="Q34" s="3">
        <v>500</v>
      </c>
      <c r="R34" s="3">
        <v>1300</v>
      </c>
      <c r="S34" s="3">
        <v>4.0000000000000001E-3</v>
      </c>
      <c r="T34" s="1">
        <v>0.122</v>
      </c>
      <c r="V34" s="1" t="s">
        <v>64</v>
      </c>
      <c r="W34" s="1" t="s">
        <v>67</v>
      </c>
      <c r="X34" s="1">
        <v>0</v>
      </c>
      <c r="Y34" s="1">
        <v>6.5</v>
      </c>
      <c r="AA34" s="1" t="s">
        <v>105</v>
      </c>
      <c r="AB34" s="1" t="s">
        <v>54</v>
      </c>
      <c r="AC34" s="2" t="s">
        <v>28</v>
      </c>
      <c r="AD34" s="2" t="s">
        <v>413</v>
      </c>
      <c r="AE34" s="13">
        <v>1483</v>
      </c>
      <c r="AF34" s="13">
        <v>260</v>
      </c>
      <c r="AG34" s="13" t="s">
        <v>119</v>
      </c>
      <c r="AH34" s="18">
        <v>1E-4</v>
      </c>
      <c r="AI34" s="13">
        <v>0.03</v>
      </c>
      <c r="AJ34" s="13" t="s">
        <v>122</v>
      </c>
      <c r="AK34" s="13">
        <v>0.09</v>
      </c>
      <c r="AL34" s="13">
        <v>0.03</v>
      </c>
      <c r="AM34" s="13" t="s">
        <v>120</v>
      </c>
      <c r="AN34" s="13">
        <v>1.1000000000000001</v>
      </c>
      <c r="AO34" s="13">
        <v>0.1</v>
      </c>
      <c r="AP34" s="13" t="s">
        <v>120</v>
      </c>
      <c r="AQ34" s="13">
        <v>1.05</v>
      </c>
      <c r="AR34" s="13">
        <v>0.03</v>
      </c>
      <c r="AS34" s="13" t="s">
        <v>121</v>
      </c>
      <c r="AT34" s="13">
        <v>-0.71</v>
      </c>
      <c r="AU34" s="13">
        <v>0.05</v>
      </c>
      <c r="AV34" s="13" t="s">
        <v>122</v>
      </c>
      <c r="AW34" s="13">
        <v>-0.38</v>
      </c>
      <c r="AX34" s="13">
        <v>7.0000000000000007E-2</v>
      </c>
      <c r="AY34" s="13" t="s">
        <v>122</v>
      </c>
      <c r="AZ34" s="13">
        <v>0.33333333333333331</v>
      </c>
      <c r="BB34" s="13" t="s">
        <v>122</v>
      </c>
    </row>
    <row r="35" spans="1:77" ht="45" customHeight="1" x14ac:dyDescent="0.2">
      <c r="A35" s="1" t="s">
        <v>109</v>
      </c>
      <c r="B35" s="1" t="s">
        <v>108</v>
      </c>
      <c r="C35" s="1">
        <v>2019</v>
      </c>
      <c r="D35" s="2" t="s">
        <v>106</v>
      </c>
      <c r="E35" s="1" t="s">
        <v>409</v>
      </c>
      <c r="F35" s="1" t="s">
        <v>107</v>
      </c>
      <c r="G35" s="1" t="s">
        <v>62</v>
      </c>
      <c r="H35" s="1" t="s">
        <v>82</v>
      </c>
      <c r="I35" s="1" t="s">
        <v>81</v>
      </c>
      <c r="J35" s="1" t="s">
        <v>343</v>
      </c>
      <c r="K35" s="1" t="s">
        <v>110</v>
      </c>
      <c r="L35" s="1" t="s">
        <v>275</v>
      </c>
      <c r="M35" s="1" t="s">
        <v>278</v>
      </c>
      <c r="N35" s="3">
        <v>1</v>
      </c>
      <c r="O35" s="3"/>
      <c r="P35" s="3"/>
      <c r="Q35" s="3">
        <v>573</v>
      </c>
      <c r="R35" s="3">
        <v>973</v>
      </c>
      <c r="S35" s="3">
        <f>85*0.0001</f>
        <v>8.5000000000000006E-3</v>
      </c>
      <c r="T35" s="1">
        <f>300*0.0001</f>
        <v>3.0000000000000002E-2</v>
      </c>
      <c r="W35" s="1" t="s">
        <v>67</v>
      </c>
      <c r="AB35" s="1" t="s">
        <v>54</v>
      </c>
      <c r="AC35" s="2" t="s">
        <v>28</v>
      </c>
      <c r="AE35" s="13">
        <v>3.51</v>
      </c>
      <c r="AF35" s="13">
        <v>0.11</v>
      </c>
      <c r="AG35" s="13" t="s">
        <v>118</v>
      </c>
      <c r="AH35" s="18">
        <v>1.1000000000000001</v>
      </c>
      <c r="AI35" s="13">
        <v>0.04</v>
      </c>
      <c r="AJ35" s="13" t="s">
        <v>120</v>
      </c>
      <c r="AK35" s="13">
        <v>0.84989999999999999</v>
      </c>
      <c r="AL35" s="13">
        <v>1.0359999999999999E-2</v>
      </c>
      <c r="AM35" s="13" t="s">
        <v>121</v>
      </c>
    </row>
    <row r="36" spans="1:77" ht="45" customHeight="1" x14ac:dyDescent="0.2">
      <c r="A36" s="1" t="s">
        <v>109</v>
      </c>
      <c r="B36" s="1" t="s">
        <v>108</v>
      </c>
      <c r="C36" s="1">
        <v>2019</v>
      </c>
      <c r="D36" s="2" t="s">
        <v>106</v>
      </c>
      <c r="E36" s="1" t="s">
        <v>43</v>
      </c>
      <c r="F36" s="1" t="s">
        <v>43</v>
      </c>
      <c r="G36" s="1" t="s">
        <v>62</v>
      </c>
      <c r="H36" s="1" t="s">
        <v>82</v>
      </c>
      <c r="I36" s="1" t="s">
        <v>81</v>
      </c>
      <c r="J36" s="1" t="s">
        <v>343</v>
      </c>
      <c r="K36" s="1" t="s">
        <v>476</v>
      </c>
      <c r="L36" s="1" t="s">
        <v>275</v>
      </c>
      <c r="M36" s="1" t="s">
        <v>278</v>
      </c>
      <c r="N36" s="3">
        <v>1</v>
      </c>
      <c r="O36" s="3"/>
      <c r="P36" s="3"/>
      <c r="Q36" s="3">
        <v>623</v>
      </c>
      <c r="R36" s="3">
        <v>1073</v>
      </c>
      <c r="S36" s="3">
        <v>40</v>
      </c>
      <c r="T36" s="1">
        <v>245</v>
      </c>
      <c r="W36" s="1" t="s">
        <v>67</v>
      </c>
      <c r="AB36" s="1" t="s">
        <v>54</v>
      </c>
      <c r="AC36" s="2" t="s">
        <v>28</v>
      </c>
      <c r="AE36" s="13">
        <v>4.37</v>
      </c>
      <c r="AF36" s="13">
        <v>0.24</v>
      </c>
      <c r="AG36" s="13" t="s">
        <v>118</v>
      </c>
      <c r="AH36" s="18">
        <v>1.07</v>
      </c>
      <c r="AI36" s="13">
        <v>0.09</v>
      </c>
      <c r="AJ36" s="13" t="s">
        <v>120</v>
      </c>
      <c r="AK36" s="13">
        <v>0.93279999999999996</v>
      </c>
      <c r="AL36" s="13">
        <v>2.0729999999999998E-2</v>
      </c>
      <c r="AM36" s="13" t="s">
        <v>121</v>
      </c>
    </row>
    <row r="37" spans="1:77" ht="45" customHeight="1" x14ac:dyDescent="0.2">
      <c r="A37" s="1" t="s">
        <v>114</v>
      </c>
      <c r="B37" s="4" t="s">
        <v>113</v>
      </c>
      <c r="C37" s="1">
        <v>2009</v>
      </c>
      <c r="D37" s="2" t="s">
        <v>115</v>
      </c>
      <c r="E37" s="1" t="s">
        <v>43</v>
      </c>
      <c r="F37" s="1" t="s">
        <v>43</v>
      </c>
      <c r="G37" s="1" t="s">
        <v>62</v>
      </c>
      <c r="H37" s="1" t="s">
        <v>116</v>
      </c>
      <c r="I37" s="1" t="s">
        <v>117</v>
      </c>
      <c r="J37" s="1" t="s">
        <v>305</v>
      </c>
      <c r="K37" s="1" t="s">
        <v>473</v>
      </c>
      <c r="L37" s="1" t="s">
        <v>275</v>
      </c>
      <c r="M37" s="1" t="s">
        <v>278</v>
      </c>
      <c r="N37" s="3"/>
      <c r="O37" s="3">
        <v>4</v>
      </c>
      <c r="P37" s="3">
        <v>16</v>
      </c>
      <c r="Q37" s="3">
        <v>873</v>
      </c>
      <c r="R37" s="3">
        <v>1473</v>
      </c>
      <c r="S37" s="3">
        <v>0</v>
      </c>
      <c r="T37" s="1">
        <v>4.7460000000000002E-2</v>
      </c>
      <c r="V37" s="1" t="s">
        <v>64</v>
      </c>
      <c r="W37" s="1" t="s">
        <v>355</v>
      </c>
      <c r="AB37" s="1" t="s">
        <v>61</v>
      </c>
      <c r="AC37" s="2" t="s">
        <v>28</v>
      </c>
      <c r="AD37" s="2" t="s">
        <v>364</v>
      </c>
      <c r="AE37" s="13">
        <v>1950</v>
      </c>
      <c r="AF37" s="13">
        <v>700</v>
      </c>
      <c r="AG37" s="13" t="s">
        <v>119</v>
      </c>
      <c r="AH37" s="18">
        <v>0.63</v>
      </c>
      <c r="AI37" s="13">
        <v>0.19</v>
      </c>
      <c r="AJ37" s="13" t="s">
        <v>120</v>
      </c>
      <c r="AK37" s="13">
        <v>0.72550000000000003</v>
      </c>
      <c r="AL37" s="13">
        <v>5.1799999999999999E-2</v>
      </c>
      <c r="AM37" s="13" t="s">
        <v>121</v>
      </c>
      <c r="AN37" s="13">
        <v>-0.56999999999999995</v>
      </c>
      <c r="AO37" s="13">
        <v>0.05</v>
      </c>
      <c r="AP37" s="13" t="s">
        <v>129</v>
      </c>
    </row>
    <row r="38" spans="1:77" ht="45" customHeight="1" x14ac:dyDescent="0.2">
      <c r="A38" s="1" t="s">
        <v>114</v>
      </c>
      <c r="B38" s="4" t="s">
        <v>113</v>
      </c>
      <c r="C38" s="1">
        <v>2009</v>
      </c>
      <c r="D38" s="2" t="s">
        <v>115</v>
      </c>
      <c r="E38" s="1" t="s">
        <v>43</v>
      </c>
      <c r="F38" s="1" t="s">
        <v>43</v>
      </c>
      <c r="G38" s="1" t="s">
        <v>62</v>
      </c>
      <c r="H38" s="1" t="s">
        <v>130</v>
      </c>
      <c r="I38" s="1" t="s">
        <v>132</v>
      </c>
      <c r="J38" s="1" t="s">
        <v>305</v>
      </c>
      <c r="K38" s="1" t="s">
        <v>474</v>
      </c>
      <c r="L38" s="1" t="s">
        <v>275</v>
      </c>
      <c r="M38" s="1" t="s">
        <v>278</v>
      </c>
      <c r="N38" s="3"/>
      <c r="O38" s="3"/>
      <c r="P38" s="3"/>
      <c r="Q38" s="3">
        <v>873</v>
      </c>
      <c r="R38" s="3">
        <v>1473</v>
      </c>
      <c r="S38" s="3"/>
      <c r="AB38" s="1" t="s">
        <v>61</v>
      </c>
      <c r="AC38" s="2" t="s">
        <v>28</v>
      </c>
      <c r="AD38" s="2" t="s">
        <v>363</v>
      </c>
      <c r="AE38" s="13">
        <v>1036</v>
      </c>
      <c r="AF38" s="13">
        <v>236</v>
      </c>
      <c r="AG38" s="13" t="s">
        <v>119</v>
      </c>
      <c r="AH38" s="18">
        <v>4.3999999999999997E-2</v>
      </c>
      <c r="AI38" s="13">
        <v>7.0000000000000001E-3</v>
      </c>
      <c r="AJ38" s="13" t="s">
        <v>122</v>
      </c>
      <c r="AK38" s="13">
        <v>1.327</v>
      </c>
      <c r="AL38" s="13">
        <v>6.2190000000000002E-2</v>
      </c>
      <c r="AM38" s="13" t="s">
        <v>121</v>
      </c>
      <c r="AN38" s="13">
        <v>2.5</v>
      </c>
      <c r="AO38" s="13">
        <v>0.48</v>
      </c>
      <c r="AP38" s="13" t="s">
        <v>129</v>
      </c>
    </row>
    <row r="39" spans="1:77" ht="45" customHeight="1" x14ac:dyDescent="0.2">
      <c r="A39" s="1" t="s">
        <v>133</v>
      </c>
      <c r="B39" s="5" t="s">
        <v>134</v>
      </c>
      <c r="C39" s="1">
        <v>2012</v>
      </c>
      <c r="D39" s="2" t="s">
        <v>135</v>
      </c>
      <c r="E39" s="1" t="s">
        <v>43</v>
      </c>
      <c r="F39" s="1" t="s">
        <v>43</v>
      </c>
      <c r="G39" s="1" t="s">
        <v>138</v>
      </c>
      <c r="H39" s="1" t="s">
        <v>131</v>
      </c>
      <c r="I39" s="1" t="s">
        <v>286</v>
      </c>
      <c r="J39" s="1" t="s">
        <v>366</v>
      </c>
      <c r="K39" s="1" t="s">
        <v>475</v>
      </c>
      <c r="L39" s="1" t="s">
        <v>275</v>
      </c>
      <c r="M39" s="1" t="s">
        <v>278</v>
      </c>
      <c r="N39" s="3">
        <v>2</v>
      </c>
      <c r="O39" s="3"/>
      <c r="P39" s="3"/>
      <c r="Q39" s="3">
        <v>873</v>
      </c>
      <c r="R39" s="3">
        <v>1273</v>
      </c>
      <c r="S39" s="3">
        <v>0</v>
      </c>
      <c r="T39" s="1">
        <v>0</v>
      </c>
      <c r="U39" s="1">
        <v>0</v>
      </c>
      <c r="W39" s="1" t="s">
        <v>55</v>
      </c>
      <c r="AB39" s="1" t="s">
        <v>137</v>
      </c>
      <c r="AC39" s="2" t="s">
        <v>28</v>
      </c>
      <c r="AD39" s="2" t="s">
        <v>362</v>
      </c>
      <c r="AE39" s="13">
        <v>2.23</v>
      </c>
      <c r="AF39" s="13">
        <v>6.3E-2</v>
      </c>
      <c r="AG39" s="13" t="s">
        <v>122</v>
      </c>
      <c r="AH39" s="18">
        <v>6.0999999999999999E-2</v>
      </c>
      <c r="AI39" s="13">
        <v>2E-3</v>
      </c>
      <c r="AJ39" s="13" t="s">
        <v>122</v>
      </c>
      <c r="AK39" s="13">
        <v>-6092</v>
      </c>
      <c r="AL39" s="13">
        <v>94</v>
      </c>
      <c r="AM39" s="13" t="s">
        <v>122</v>
      </c>
    </row>
    <row r="40" spans="1:77" customFormat="1" ht="45" customHeight="1" x14ac:dyDescent="0.2">
      <c r="A40" t="s">
        <v>133</v>
      </c>
      <c r="B40" t="s">
        <v>134</v>
      </c>
      <c r="C40">
        <v>2012</v>
      </c>
      <c r="D40" t="s">
        <v>135</v>
      </c>
      <c r="E40" t="s">
        <v>43</v>
      </c>
      <c r="F40" t="s">
        <v>136</v>
      </c>
      <c r="G40" t="s">
        <v>138</v>
      </c>
      <c r="H40" t="s">
        <v>131</v>
      </c>
      <c r="I40" t="s">
        <v>286</v>
      </c>
      <c r="J40" s="1" t="s">
        <v>366</v>
      </c>
      <c r="K40" t="s">
        <v>472</v>
      </c>
      <c r="L40" t="s">
        <v>275</v>
      </c>
      <c r="M40" t="s">
        <v>278</v>
      </c>
      <c r="N40" s="11"/>
      <c r="O40" s="11">
        <v>1</v>
      </c>
      <c r="P40" s="11">
        <v>4</v>
      </c>
      <c r="Q40" s="11">
        <v>873</v>
      </c>
      <c r="R40" s="11">
        <v>1273</v>
      </c>
      <c r="S40" s="11">
        <v>465</v>
      </c>
      <c r="T40">
        <v>465</v>
      </c>
      <c r="U40">
        <v>465</v>
      </c>
      <c r="W40" t="s">
        <v>55</v>
      </c>
      <c r="AB40" t="s">
        <v>137</v>
      </c>
      <c r="AC40" t="s">
        <v>28</v>
      </c>
      <c r="AD40" s="1" t="s">
        <v>361</v>
      </c>
      <c r="AE40" s="15">
        <v>2.27</v>
      </c>
      <c r="AF40" s="15">
        <v>3.2000000000000001E-2</v>
      </c>
      <c r="AG40" s="15" t="s">
        <v>122</v>
      </c>
      <c r="AH40" s="12">
        <v>-7.0999999999999994E-2</v>
      </c>
      <c r="AI40" s="15">
        <v>1E-3</v>
      </c>
      <c r="AJ40" s="15" t="s">
        <v>122</v>
      </c>
      <c r="AK40" s="15">
        <v>-6475</v>
      </c>
      <c r="AL40" s="15">
        <v>48</v>
      </c>
      <c r="AM40" s="15" t="s">
        <v>122</v>
      </c>
      <c r="AN40" s="15"/>
      <c r="AO40" s="15"/>
      <c r="AP40" s="15"/>
      <c r="AQ40" s="15"/>
      <c r="AR40" s="15"/>
      <c r="AS40" s="15"/>
      <c r="AT40" s="15"/>
      <c r="AU40" s="15"/>
      <c r="AV40" s="15"/>
      <c r="AW40" s="15"/>
      <c r="AX40" s="15"/>
      <c r="AY40" s="15"/>
      <c r="AZ40" s="15"/>
      <c r="BA40" s="15"/>
      <c r="BB40" s="15"/>
      <c r="BC40" s="16"/>
      <c r="BD40" s="15"/>
      <c r="BE40" s="15"/>
      <c r="BF40" s="15"/>
      <c r="BG40" s="15"/>
      <c r="BH40" s="15"/>
      <c r="BI40" s="15"/>
      <c r="BJ40" s="15"/>
      <c r="BK40" s="15"/>
      <c r="BL40" s="15"/>
      <c r="BM40" s="15"/>
      <c r="BN40" s="15"/>
      <c r="BO40" s="15"/>
      <c r="BP40" s="15"/>
      <c r="BQ40" s="15"/>
      <c r="BR40" s="15"/>
      <c r="BS40" s="15"/>
      <c r="BT40" s="15"/>
      <c r="BU40" s="11"/>
      <c r="BV40" s="11"/>
      <c r="BX40" s="11"/>
      <c r="BY40" s="11"/>
    </row>
    <row r="41" spans="1:77" ht="45" customHeight="1" x14ac:dyDescent="0.2">
      <c r="A41" s="1" t="s">
        <v>139</v>
      </c>
      <c r="B41" s="5" t="s">
        <v>140</v>
      </c>
      <c r="C41" s="1">
        <v>2013</v>
      </c>
      <c r="D41" s="2" t="s">
        <v>141</v>
      </c>
      <c r="E41" s="1" t="s">
        <v>43</v>
      </c>
      <c r="F41" s="1" t="s">
        <v>43</v>
      </c>
      <c r="G41" s="1" t="s">
        <v>142</v>
      </c>
      <c r="H41" s="1" t="s">
        <v>255</v>
      </c>
      <c r="I41" s="1" t="s">
        <v>143</v>
      </c>
      <c r="J41" s="1" t="s">
        <v>367</v>
      </c>
      <c r="K41" s="1" t="s">
        <v>471</v>
      </c>
      <c r="L41" s="1" t="s">
        <v>275</v>
      </c>
      <c r="M41" s="1" t="s">
        <v>278</v>
      </c>
      <c r="N41" s="3"/>
      <c r="O41" s="3">
        <v>1</v>
      </c>
      <c r="P41" s="3">
        <v>3</v>
      </c>
      <c r="Q41" s="3">
        <v>973</v>
      </c>
      <c r="R41" s="3">
        <v>1273</v>
      </c>
      <c r="S41" s="3">
        <v>0</v>
      </c>
      <c r="T41" s="1">
        <v>0</v>
      </c>
      <c r="U41" s="1">
        <v>0</v>
      </c>
      <c r="V41" s="1" t="s">
        <v>64</v>
      </c>
      <c r="W41" s="1" t="s">
        <v>55</v>
      </c>
      <c r="AB41" s="1" t="s">
        <v>54</v>
      </c>
      <c r="AC41" s="2" t="s">
        <v>28</v>
      </c>
      <c r="AE41" s="13">
        <v>3.11</v>
      </c>
      <c r="AF41" s="13">
        <f>STDEV(3.11,3.06,3.04)</f>
        <v>3.60555127546398E-2</v>
      </c>
      <c r="AG41" s="13" t="s">
        <v>118</v>
      </c>
      <c r="AH41" s="18">
        <v>1.29</v>
      </c>
      <c r="AI41" s="13">
        <v>0.12</v>
      </c>
      <c r="AJ41" s="13" t="s">
        <v>121</v>
      </c>
      <c r="AK41" s="13">
        <v>2.0099999999999998</v>
      </c>
      <c r="AL41" s="13">
        <v>0.56999999999999995</v>
      </c>
      <c r="AM41" s="13" t="s">
        <v>129</v>
      </c>
    </row>
    <row r="42" spans="1:77" ht="45" customHeight="1" x14ac:dyDescent="0.2">
      <c r="A42" s="1" t="s">
        <v>145</v>
      </c>
      <c r="B42" s="1" t="s">
        <v>147</v>
      </c>
      <c r="C42" s="1">
        <v>2008</v>
      </c>
      <c r="D42" s="2" t="s">
        <v>146</v>
      </c>
      <c r="E42" s="1" t="s">
        <v>43</v>
      </c>
      <c r="F42" s="1" t="s">
        <v>352</v>
      </c>
      <c r="G42" s="1" t="s">
        <v>148</v>
      </c>
      <c r="H42" s="1" t="s">
        <v>69</v>
      </c>
      <c r="I42" s="1" t="s">
        <v>15</v>
      </c>
      <c r="J42" s="1" t="s">
        <v>397</v>
      </c>
      <c r="K42" s="1" t="s">
        <v>478</v>
      </c>
      <c r="L42" s="1" t="s">
        <v>275</v>
      </c>
      <c r="M42" s="1" t="s">
        <v>278</v>
      </c>
      <c r="N42" s="3">
        <v>18</v>
      </c>
      <c r="O42" s="3"/>
      <c r="P42" s="3"/>
      <c r="Q42" s="3">
        <v>1000</v>
      </c>
      <c r="R42" s="3">
        <v>1500</v>
      </c>
      <c r="S42" s="3"/>
      <c r="AB42" s="1" t="s">
        <v>61</v>
      </c>
      <c r="AC42" s="2" t="s">
        <v>28</v>
      </c>
      <c r="AD42" s="1" t="s">
        <v>356</v>
      </c>
      <c r="AE42" s="13">
        <v>240</v>
      </c>
      <c r="AG42" s="13" t="s">
        <v>119</v>
      </c>
      <c r="AH42" s="18">
        <v>1.37</v>
      </c>
      <c r="AJ42" s="13" t="s">
        <v>121</v>
      </c>
    </row>
    <row r="43" spans="1:77" ht="45" customHeight="1" x14ac:dyDescent="0.2">
      <c r="A43" s="1" t="s">
        <v>145</v>
      </c>
      <c r="B43" s="1" t="s">
        <v>147</v>
      </c>
      <c r="C43" s="1">
        <v>2008</v>
      </c>
      <c r="D43" s="2" t="s">
        <v>146</v>
      </c>
      <c r="E43" s="1" t="s">
        <v>43</v>
      </c>
      <c r="F43" s="1" t="s">
        <v>352</v>
      </c>
      <c r="G43" s="1" t="s">
        <v>148</v>
      </c>
      <c r="H43" s="1" t="s">
        <v>69</v>
      </c>
      <c r="I43" s="1" t="s">
        <v>15</v>
      </c>
      <c r="J43" s="1" t="s">
        <v>397</v>
      </c>
      <c r="K43" s="1" t="s">
        <v>479</v>
      </c>
      <c r="L43" s="1" t="s">
        <v>275</v>
      </c>
      <c r="M43" s="1" t="s">
        <v>278</v>
      </c>
      <c r="N43" s="3">
        <v>18</v>
      </c>
      <c r="O43" s="3"/>
      <c r="P43" s="3"/>
      <c r="Q43" s="3">
        <v>1600</v>
      </c>
      <c r="R43" s="3">
        <v>1900</v>
      </c>
      <c r="S43" s="3"/>
      <c r="AB43" s="1" t="s">
        <v>61</v>
      </c>
      <c r="AC43" s="2" t="s">
        <v>28</v>
      </c>
      <c r="AD43" s="1" t="s">
        <v>358</v>
      </c>
      <c r="AE43" s="13">
        <v>3.3</v>
      </c>
      <c r="AG43" s="13" t="s">
        <v>118</v>
      </c>
      <c r="AH43" s="18">
        <v>1.63</v>
      </c>
      <c r="AJ43" s="13" t="s">
        <v>121</v>
      </c>
    </row>
    <row r="44" spans="1:77" ht="45" customHeight="1" x14ac:dyDescent="0.2">
      <c r="A44" s="1" t="s">
        <v>145</v>
      </c>
      <c r="B44" s="1" t="s">
        <v>147</v>
      </c>
      <c r="C44" s="1">
        <v>2008</v>
      </c>
      <c r="D44" s="2" t="s">
        <v>146</v>
      </c>
      <c r="E44" s="1" t="s">
        <v>43</v>
      </c>
      <c r="F44" s="1" t="s">
        <v>352</v>
      </c>
      <c r="G44" s="1" t="s">
        <v>148</v>
      </c>
      <c r="H44" s="1" t="s">
        <v>69</v>
      </c>
      <c r="I44" s="1" t="s">
        <v>186</v>
      </c>
      <c r="J44" s="1" t="s">
        <v>397</v>
      </c>
      <c r="K44" s="1" t="s">
        <v>480</v>
      </c>
      <c r="L44" s="1" t="s">
        <v>275</v>
      </c>
      <c r="M44" s="1" t="s">
        <v>278</v>
      </c>
      <c r="N44" s="3">
        <v>18</v>
      </c>
      <c r="O44" s="3"/>
      <c r="P44" s="3"/>
      <c r="Q44" s="3">
        <v>1000</v>
      </c>
      <c r="R44" s="3">
        <v>1900</v>
      </c>
      <c r="S44" s="3"/>
      <c r="AB44" s="1" t="s">
        <v>61</v>
      </c>
      <c r="AC44" s="2" t="s">
        <v>28</v>
      </c>
      <c r="AD44" s="2" t="s">
        <v>359</v>
      </c>
      <c r="AE44" s="13">
        <v>2.9</v>
      </c>
      <c r="AG44" s="13" t="s">
        <v>118</v>
      </c>
      <c r="AH44" s="18">
        <v>1.63</v>
      </c>
      <c r="AJ44" s="13" t="s">
        <v>121</v>
      </c>
      <c r="AK44" s="13">
        <v>180</v>
      </c>
      <c r="AM44" s="13" t="s">
        <v>119</v>
      </c>
      <c r="AN44" s="13">
        <v>1.37</v>
      </c>
      <c r="AP44" s="13" t="s">
        <v>121</v>
      </c>
    </row>
    <row r="45" spans="1:77" ht="45" customHeight="1" x14ac:dyDescent="0.2">
      <c r="A45" s="1" t="s">
        <v>145</v>
      </c>
      <c r="B45" s="1" t="s">
        <v>147</v>
      </c>
      <c r="C45" s="1">
        <v>2008</v>
      </c>
      <c r="D45" s="2" t="s">
        <v>146</v>
      </c>
      <c r="E45" s="1" t="s">
        <v>43</v>
      </c>
      <c r="F45" s="1" t="s">
        <v>353</v>
      </c>
      <c r="G45" s="1" t="s">
        <v>148</v>
      </c>
      <c r="H45" s="1" t="s">
        <v>69</v>
      </c>
      <c r="I45" s="1" t="s">
        <v>15</v>
      </c>
      <c r="J45" s="1" t="s">
        <v>397</v>
      </c>
      <c r="K45" s="1" t="s">
        <v>481</v>
      </c>
      <c r="L45" s="1" t="s">
        <v>275</v>
      </c>
      <c r="M45" s="1" t="s">
        <v>278</v>
      </c>
      <c r="N45" s="3">
        <v>18</v>
      </c>
      <c r="O45" s="3"/>
      <c r="P45" s="3"/>
      <c r="Q45" s="3">
        <v>700</v>
      </c>
      <c r="R45" s="3">
        <v>2000</v>
      </c>
      <c r="S45" s="3"/>
      <c r="AB45" s="1" t="s">
        <v>61</v>
      </c>
      <c r="AC45" s="2" t="s">
        <v>28</v>
      </c>
      <c r="AD45" s="2" t="s">
        <v>360</v>
      </c>
      <c r="AE45" s="13">
        <v>1600</v>
      </c>
      <c r="AG45" s="13" t="s">
        <v>119</v>
      </c>
      <c r="AH45" s="18">
        <v>1.38</v>
      </c>
      <c r="AJ45" s="13" t="s">
        <v>121</v>
      </c>
    </row>
    <row r="46" spans="1:77" ht="45" customHeight="1" x14ac:dyDescent="0.2">
      <c r="A46" s="1" t="s">
        <v>149</v>
      </c>
      <c r="B46" s="1" t="s">
        <v>150</v>
      </c>
      <c r="C46" s="1">
        <v>2018</v>
      </c>
      <c r="D46" s="2" t="s">
        <v>151</v>
      </c>
      <c r="E46" s="1" t="s">
        <v>152</v>
      </c>
      <c r="F46" s="1" t="s">
        <v>153</v>
      </c>
      <c r="G46" s="1" t="s">
        <v>148</v>
      </c>
      <c r="H46" s="1" t="s">
        <v>23</v>
      </c>
      <c r="I46" s="1" t="s">
        <v>158</v>
      </c>
      <c r="J46" s="1" t="s">
        <v>306</v>
      </c>
      <c r="K46" s="1" t="s">
        <v>482</v>
      </c>
      <c r="L46" s="1" t="s">
        <v>275</v>
      </c>
      <c r="M46" s="1" t="s">
        <v>278</v>
      </c>
      <c r="N46" s="3">
        <v>1</v>
      </c>
      <c r="O46" s="3"/>
      <c r="P46" s="3"/>
      <c r="Q46" s="3">
        <v>800</v>
      </c>
      <c r="R46" s="3">
        <v>800</v>
      </c>
      <c r="S46" s="3"/>
      <c r="AC46" s="2" t="s">
        <v>28</v>
      </c>
      <c r="AE46" s="13">
        <v>0.36</v>
      </c>
      <c r="AG46" s="13" t="s">
        <v>122</v>
      </c>
    </row>
    <row r="47" spans="1:77" ht="45" customHeight="1" x14ac:dyDescent="0.2">
      <c r="A47" s="1" t="s">
        <v>149</v>
      </c>
      <c r="B47" s="1" t="s">
        <v>150</v>
      </c>
      <c r="C47" s="1">
        <v>2018</v>
      </c>
      <c r="D47" s="2" t="s">
        <v>151</v>
      </c>
      <c r="E47" s="1" t="s">
        <v>152</v>
      </c>
      <c r="F47" s="1" t="s">
        <v>154</v>
      </c>
      <c r="G47" s="1" t="s">
        <v>148</v>
      </c>
      <c r="H47" s="1" t="s">
        <v>23</v>
      </c>
      <c r="I47" s="1" t="s">
        <v>158</v>
      </c>
      <c r="J47" s="1" t="s">
        <v>306</v>
      </c>
      <c r="K47" s="1" t="s">
        <v>483</v>
      </c>
      <c r="L47" s="1" t="s">
        <v>275</v>
      </c>
      <c r="M47" s="1" t="s">
        <v>278</v>
      </c>
      <c r="N47" s="3">
        <v>1</v>
      </c>
      <c r="O47" s="3"/>
      <c r="P47" s="3"/>
      <c r="Q47" s="3">
        <v>800</v>
      </c>
      <c r="R47" s="3">
        <v>800</v>
      </c>
      <c r="S47" s="3"/>
      <c r="AC47" s="2" t="s">
        <v>28</v>
      </c>
      <c r="AE47" s="13">
        <v>15.33</v>
      </c>
      <c r="AG47" s="13" t="s">
        <v>122</v>
      </c>
    </row>
    <row r="48" spans="1:77" ht="45" customHeight="1" x14ac:dyDescent="0.2">
      <c r="A48" s="1" t="s">
        <v>149</v>
      </c>
      <c r="B48" s="1" t="s">
        <v>150</v>
      </c>
      <c r="C48" s="1">
        <v>2018</v>
      </c>
      <c r="D48" s="2" t="s">
        <v>151</v>
      </c>
      <c r="E48" s="1" t="s">
        <v>152</v>
      </c>
      <c r="F48" s="1" t="s">
        <v>155</v>
      </c>
      <c r="G48" s="1" t="s">
        <v>148</v>
      </c>
      <c r="H48" s="1" t="s">
        <v>23</v>
      </c>
      <c r="I48" s="1" t="s">
        <v>158</v>
      </c>
      <c r="J48" s="1" t="s">
        <v>306</v>
      </c>
      <c r="K48" s="1" t="s">
        <v>484</v>
      </c>
      <c r="L48" s="1" t="s">
        <v>275</v>
      </c>
      <c r="M48" s="1" t="s">
        <v>278</v>
      </c>
      <c r="N48" s="3">
        <v>1</v>
      </c>
      <c r="O48" s="3"/>
      <c r="P48" s="3"/>
      <c r="Q48" s="3">
        <v>800</v>
      </c>
      <c r="R48" s="3">
        <v>800</v>
      </c>
      <c r="S48" s="3"/>
      <c r="AC48" s="2" t="s">
        <v>28</v>
      </c>
      <c r="AE48" s="13">
        <v>2.29</v>
      </c>
      <c r="AG48" s="13" t="s">
        <v>122</v>
      </c>
    </row>
    <row r="49" spans="1:48" ht="45" customHeight="1" x14ac:dyDescent="0.2">
      <c r="A49" s="1" t="s">
        <v>149</v>
      </c>
      <c r="B49" s="1" t="s">
        <v>150</v>
      </c>
      <c r="C49" s="1">
        <v>2018</v>
      </c>
      <c r="D49" s="2" t="s">
        <v>151</v>
      </c>
      <c r="E49" s="1" t="s">
        <v>152</v>
      </c>
      <c r="F49" s="1" t="s">
        <v>156</v>
      </c>
      <c r="G49" s="1" t="s">
        <v>148</v>
      </c>
      <c r="H49" s="1" t="s">
        <v>23</v>
      </c>
      <c r="I49" s="1" t="s">
        <v>158</v>
      </c>
      <c r="J49" s="1" t="s">
        <v>306</v>
      </c>
      <c r="K49" s="1" t="s">
        <v>485</v>
      </c>
      <c r="L49" s="1" t="s">
        <v>275</v>
      </c>
      <c r="M49" s="1" t="s">
        <v>278</v>
      </c>
      <c r="N49" s="3">
        <v>1</v>
      </c>
      <c r="O49" s="3"/>
      <c r="P49" s="3"/>
      <c r="Q49" s="3">
        <v>800</v>
      </c>
      <c r="R49" s="3">
        <v>800</v>
      </c>
      <c r="S49" s="3"/>
      <c r="AC49" s="2" t="s">
        <v>28</v>
      </c>
      <c r="AE49" s="13">
        <v>12.5</v>
      </c>
      <c r="AG49" s="13" t="s">
        <v>122</v>
      </c>
    </row>
    <row r="50" spans="1:48" ht="45" customHeight="1" x14ac:dyDescent="0.2">
      <c r="A50" s="1" t="s">
        <v>149</v>
      </c>
      <c r="B50" s="1" t="s">
        <v>150</v>
      </c>
      <c r="C50" s="1">
        <v>2018</v>
      </c>
      <c r="D50" s="2" t="s">
        <v>151</v>
      </c>
      <c r="E50" s="1" t="s">
        <v>152</v>
      </c>
      <c r="F50" s="1" t="s">
        <v>157</v>
      </c>
      <c r="G50" s="1" t="s">
        <v>148</v>
      </c>
      <c r="H50" s="1" t="s">
        <v>23</v>
      </c>
      <c r="I50" s="1" t="s">
        <v>158</v>
      </c>
      <c r="J50" s="1" t="s">
        <v>306</v>
      </c>
      <c r="K50" s="1" t="s">
        <v>486</v>
      </c>
      <c r="L50" s="1" t="s">
        <v>275</v>
      </c>
      <c r="M50" s="1" t="s">
        <v>278</v>
      </c>
      <c r="N50" s="3">
        <v>1</v>
      </c>
      <c r="O50" s="3"/>
      <c r="P50" s="3"/>
      <c r="Q50" s="3">
        <v>800</v>
      </c>
      <c r="R50" s="3">
        <v>800</v>
      </c>
      <c r="S50" s="3"/>
      <c r="AC50" s="2" t="s">
        <v>28</v>
      </c>
      <c r="AE50" s="13">
        <v>55</v>
      </c>
      <c r="AG50" s="13" t="s">
        <v>122</v>
      </c>
    </row>
    <row r="51" spans="1:48" ht="45" customHeight="1" x14ac:dyDescent="0.2">
      <c r="A51" s="1" t="s">
        <v>149</v>
      </c>
      <c r="B51" s="1" t="s">
        <v>150</v>
      </c>
      <c r="C51" s="1">
        <v>2018</v>
      </c>
      <c r="D51" s="2" t="s">
        <v>151</v>
      </c>
      <c r="E51" s="1" t="s">
        <v>73</v>
      </c>
      <c r="F51" s="1" t="s">
        <v>73</v>
      </c>
      <c r="G51" s="1" t="s">
        <v>148</v>
      </c>
      <c r="H51" s="1" t="s">
        <v>69</v>
      </c>
      <c r="I51" s="1" t="s">
        <v>15</v>
      </c>
      <c r="J51" s="1" t="s">
        <v>306</v>
      </c>
      <c r="K51" s="1" t="s">
        <v>487</v>
      </c>
      <c r="L51" s="1" t="s">
        <v>275</v>
      </c>
      <c r="M51" s="1" t="s">
        <v>278</v>
      </c>
      <c r="N51" s="3">
        <v>1</v>
      </c>
      <c r="O51" s="3"/>
      <c r="P51" s="3"/>
      <c r="Q51" s="3">
        <v>725</v>
      </c>
      <c r="R51" s="3">
        <v>925</v>
      </c>
      <c r="S51" s="3">
        <v>0</v>
      </c>
      <c r="T51" s="1">
        <v>0</v>
      </c>
      <c r="U51" s="1">
        <v>0</v>
      </c>
      <c r="V51" s="1" t="s">
        <v>159</v>
      </c>
      <c r="W51" s="1" t="s">
        <v>55</v>
      </c>
      <c r="AC51" s="2" t="s">
        <v>28</v>
      </c>
      <c r="AE51" s="13">
        <v>37110</v>
      </c>
      <c r="AG51" s="13" t="s">
        <v>119</v>
      </c>
      <c r="AH51" s="18">
        <v>1.4</v>
      </c>
      <c r="AJ51" s="13" t="s">
        <v>121</v>
      </c>
    </row>
    <row r="52" spans="1:48" ht="45" customHeight="1" x14ac:dyDescent="0.2">
      <c r="A52" s="1" t="s">
        <v>149</v>
      </c>
      <c r="B52" s="1" t="s">
        <v>150</v>
      </c>
      <c r="C52" s="1">
        <v>2018</v>
      </c>
      <c r="D52" s="2" t="s">
        <v>151</v>
      </c>
      <c r="E52" s="1" t="s">
        <v>73</v>
      </c>
      <c r="F52" s="1" t="s">
        <v>354</v>
      </c>
      <c r="G52" s="1" t="s">
        <v>148</v>
      </c>
      <c r="H52" s="1" t="s">
        <v>69</v>
      </c>
      <c r="I52" s="1" t="s">
        <v>15</v>
      </c>
      <c r="J52" s="1" t="s">
        <v>306</v>
      </c>
      <c r="K52" s="1" t="s">
        <v>488</v>
      </c>
      <c r="L52" s="1" t="s">
        <v>275</v>
      </c>
      <c r="M52" s="1" t="s">
        <v>278</v>
      </c>
      <c r="N52" s="3">
        <v>1</v>
      </c>
      <c r="O52" s="3"/>
      <c r="P52" s="3"/>
      <c r="Q52" s="3">
        <v>750</v>
      </c>
      <c r="R52" s="3">
        <v>900</v>
      </c>
      <c r="S52" s="3">
        <v>1725</v>
      </c>
      <c r="T52" s="1">
        <v>1843</v>
      </c>
      <c r="V52" s="1" t="s">
        <v>159</v>
      </c>
      <c r="W52" s="1" t="s">
        <v>55</v>
      </c>
      <c r="AC52" s="2" t="s">
        <v>28</v>
      </c>
      <c r="AE52" s="13">
        <v>15.93</v>
      </c>
      <c r="AG52" s="13" t="s">
        <v>119</v>
      </c>
      <c r="AH52" s="18">
        <v>0.59</v>
      </c>
      <c r="AJ52" s="13" t="s">
        <v>121</v>
      </c>
    </row>
    <row r="53" spans="1:48" ht="45" customHeight="1" x14ac:dyDescent="0.2">
      <c r="A53" s="1" t="s">
        <v>160</v>
      </c>
      <c r="B53" s="1" t="s">
        <v>161</v>
      </c>
      <c r="C53" s="1">
        <v>2016</v>
      </c>
      <c r="D53" s="2" t="s">
        <v>162</v>
      </c>
      <c r="E53" s="1" t="s">
        <v>163</v>
      </c>
      <c r="F53" s="1" t="s">
        <v>163</v>
      </c>
      <c r="G53" s="1" t="s">
        <v>142</v>
      </c>
      <c r="H53" s="1" t="s">
        <v>69</v>
      </c>
      <c r="I53" s="1" t="s">
        <v>15</v>
      </c>
      <c r="J53" s="1" t="s">
        <v>307</v>
      </c>
      <c r="K53" s="1" t="s">
        <v>467</v>
      </c>
      <c r="L53" s="1" t="s">
        <v>275</v>
      </c>
      <c r="M53" s="1" t="s">
        <v>279</v>
      </c>
      <c r="N53" s="3">
        <v>1</v>
      </c>
      <c r="O53" s="3"/>
      <c r="P53" s="3"/>
      <c r="Q53" s="3">
        <v>473</v>
      </c>
      <c r="R53" s="3">
        <v>1173</v>
      </c>
      <c r="S53" s="3">
        <v>0.45</v>
      </c>
      <c r="T53" s="1">
        <v>0.45</v>
      </c>
      <c r="V53" s="1" t="s">
        <v>164</v>
      </c>
      <c r="W53" s="1" t="s">
        <v>67</v>
      </c>
      <c r="AB53" s="1" t="s">
        <v>54</v>
      </c>
      <c r="AC53" s="2" t="s">
        <v>273</v>
      </c>
      <c r="AE53" s="13">
        <v>10.15</v>
      </c>
      <c r="AF53" s="13">
        <v>0.22</v>
      </c>
      <c r="AG53" s="13" t="s">
        <v>118</v>
      </c>
      <c r="AH53" s="18">
        <v>2.11</v>
      </c>
      <c r="AI53" s="13">
        <v>3.109E-2</v>
      </c>
      <c r="AJ53" s="13" t="s">
        <v>121</v>
      </c>
    </row>
    <row r="54" spans="1:48" ht="45" customHeight="1" x14ac:dyDescent="0.2">
      <c r="A54" s="1" t="s">
        <v>160</v>
      </c>
      <c r="B54" s="1" t="s">
        <v>161</v>
      </c>
      <c r="C54" s="1">
        <v>2016</v>
      </c>
      <c r="D54" s="2" t="s">
        <v>162</v>
      </c>
      <c r="E54" s="1" t="s">
        <v>163</v>
      </c>
      <c r="F54" s="1" t="s">
        <v>163</v>
      </c>
      <c r="G54" s="1" t="s">
        <v>142</v>
      </c>
      <c r="H54" s="1" t="s">
        <v>69</v>
      </c>
      <c r="I54" s="1" t="s">
        <v>15</v>
      </c>
      <c r="J54" s="1" t="s">
        <v>307</v>
      </c>
      <c r="K54" s="1" t="s">
        <v>468</v>
      </c>
      <c r="L54" s="1" t="s">
        <v>275</v>
      </c>
      <c r="M54" s="1" t="s">
        <v>279</v>
      </c>
      <c r="N54" s="3">
        <v>1</v>
      </c>
      <c r="O54" s="3"/>
      <c r="P54" s="3"/>
      <c r="Q54" s="3">
        <v>473</v>
      </c>
      <c r="R54" s="3">
        <v>1173</v>
      </c>
      <c r="S54" s="3">
        <v>0.45</v>
      </c>
      <c r="T54" s="1">
        <v>0.45</v>
      </c>
      <c r="V54" s="1" t="s">
        <v>164</v>
      </c>
      <c r="W54" s="1" t="s">
        <v>67</v>
      </c>
      <c r="AB54" s="1" t="s">
        <v>54</v>
      </c>
      <c r="AC54" s="2" t="s">
        <v>274</v>
      </c>
      <c r="AE54" s="13">
        <v>8.41</v>
      </c>
      <c r="AF54" s="13">
        <v>0.24</v>
      </c>
      <c r="AG54" s="13" t="s">
        <v>118</v>
      </c>
      <c r="AH54" s="18">
        <v>1.855</v>
      </c>
      <c r="AI54" s="13">
        <v>4.1459999999999997E-2</v>
      </c>
      <c r="AJ54" s="13" t="s">
        <v>121</v>
      </c>
    </row>
    <row r="55" spans="1:48" ht="45" customHeight="1" x14ac:dyDescent="0.2">
      <c r="A55" s="1" t="s">
        <v>160</v>
      </c>
      <c r="B55" s="1" t="s">
        <v>161</v>
      </c>
      <c r="C55" s="1">
        <v>2016</v>
      </c>
      <c r="D55" s="2" t="s">
        <v>162</v>
      </c>
      <c r="E55" s="1" t="s">
        <v>163</v>
      </c>
      <c r="F55" s="1" t="s">
        <v>163</v>
      </c>
      <c r="G55" s="1" t="s">
        <v>142</v>
      </c>
      <c r="H55" s="1" t="s">
        <v>69</v>
      </c>
      <c r="I55" s="1" t="s">
        <v>15</v>
      </c>
      <c r="J55" s="1" t="s">
        <v>307</v>
      </c>
      <c r="K55" s="1" t="s">
        <v>469</v>
      </c>
      <c r="L55" s="1" t="s">
        <v>275</v>
      </c>
      <c r="M55" s="1" t="s">
        <v>279</v>
      </c>
      <c r="N55" s="3">
        <v>1</v>
      </c>
      <c r="O55" s="3"/>
      <c r="P55" s="3"/>
      <c r="Q55" s="3">
        <v>473</v>
      </c>
      <c r="R55" s="3">
        <v>1173</v>
      </c>
      <c r="S55" s="3">
        <v>0.45</v>
      </c>
      <c r="T55" s="1">
        <v>0.45</v>
      </c>
      <c r="V55" s="1" t="s">
        <v>164</v>
      </c>
      <c r="W55" s="1" t="s">
        <v>67</v>
      </c>
      <c r="AB55" s="1" t="s">
        <v>54</v>
      </c>
      <c r="AC55" s="2" t="s">
        <v>271</v>
      </c>
      <c r="AE55" s="13">
        <v>6.09</v>
      </c>
      <c r="AF55" s="13">
        <v>0.34</v>
      </c>
      <c r="AG55" s="13" t="s">
        <v>118</v>
      </c>
      <c r="AH55" s="18">
        <v>1.389</v>
      </c>
      <c r="AI55" s="13">
        <v>5.1819999999999998E-2</v>
      </c>
      <c r="AJ55" s="13" t="s">
        <v>121</v>
      </c>
    </row>
    <row r="56" spans="1:48" ht="45" customHeight="1" x14ac:dyDescent="0.2">
      <c r="A56" s="1" t="s">
        <v>165</v>
      </c>
      <c r="B56" s="1" t="s">
        <v>166</v>
      </c>
      <c r="C56" s="1">
        <v>2012</v>
      </c>
      <c r="D56" s="2" t="s">
        <v>167</v>
      </c>
      <c r="E56" s="1" t="s">
        <v>168</v>
      </c>
      <c r="F56" s="1" t="s">
        <v>168</v>
      </c>
      <c r="G56" s="1" t="s">
        <v>169</v>
      </c>
      <c r="H56" s="1" t="s">
        <v>391</v>
      </c>
      <c r="I56" s="1" t="s">
        <v>289</v>
      </c>
      <c r="J56" s="1" t="s">
        <v>317</v>
      </c>
      <c r="K56" s="1" t="s">
        <v>470</v>
      </c>
      <c r="L56" s="1" t="s">
        <v>275</v>
      </c>
      <c r="M56" s="1" t="s">
        <v>278</v>
      </c>
      <c r="N56" s="3">
        <v>16</v>
      </c>
      <c r="O56" s="3"/>
      <c r="P56" s="3"/>
      <c r="Q56" s="3">
        <v>800</v>
      </c>
      <c r="R56" s="3">
        <v>2000</v>
      </c>
      <c r="S56" s="3">
        <v>0</v>
      </c>
      <c r="T56" s="1">
        <v>0.62</v>
      </c>
      <c r="V56" s="1" t="s">
        <v>64</v>
      </c>
      <c r="W56" s="1" t="s">
        <v>67</v>
      </c>
      <c r="AB56" s="1" t="s">
        <v>61</v>
      </c>
      <c r="AC56" s="2" t="s">
        <v>28</v>
      </c>
      <c r="AD56" s="2" t="s">
        <v>389</v>
      </c>
      <c r="AE56" s="13">
        <v>288</v>
      </c>
      <c r="AF56" s="13">
        <v>38</v>
      </c>
      <c r="AG56" s="13" t="s">
        <v>119</v>
      </c>
      <c r="AH56" s="18">
        <v>1.5</v>
      </c>
      <c r="AI56" s="13">
        <v>0.02</v>
      </c>
      <c r="AJ56" s="13" t="s">
        <v>121</v>
      </c>
      <c r="AK56" s="13">
        <v>25</v>
      </c>
      <c r="AL56" s="13">
        <v>3</v>
      </c>
      <c r="AM56" s="13" t="s">
        <v>119</v>
      </c>
      <c r="AN56" s="13">
        <v>0.83</v>
      </c>
      <c r="AO56" s="13">
        <v>2</v>
      </c>
      <c r="AP56" s="13" t="s">
        <v>121</v>
      </c>
      <c r="AQ56" s="13">
        <v>-0.2</v>
      </c>
      <c r="AR56" s="13">
        <v>0.02</v>
      </c>
      <c r="AS56" s="13" t="s">
        <v>122</v>
      </c>
      <c r="AT56" s="13">
        <v>1</v>
      </c>
      <c r="AV56" s="13" t="s">
        <v>122</v>
      </c>
    </row>
    <row r="57" spans="1:48" ht="45" customHeight="1" x14ac:dyDescent="0.2">
      <c r="A57" s="1" t="s">
        <v>170</v>
      </c>
      <c r="B57" s="1" t="s">
        <v>171</v>
      </c>
      <c r="C57" s="1">
        <v>2018</v>
      </c>
      <c r="D57" s="2" t="s">
        <v>172</v>
      </c>
      <c r="E57" s="1" t="s">
        <v>168</v>
      </c>
      <c r="F57" s="1" t="s">
        <v>168</v>
      </c>
      <c r="G57" s="1" t="s">
        <v>173</v>
      </c>
      <c r="H57" s="1" t="s">
        <v>402</v>
      </c>
      <c r="I57" s="1" t="s">
        <v>393</v>
      </c>
      <c r="J57" s="1" t="s">
        <v>308</v>
      </c>
      <c r="K57" s="1" t="s">
        <v>464</v>
      </c>
      <c r="L57" s="1" t="s">
        <v>275</v>
      </c>
      <c r="M57" s="1" t="s">
        <v>279</v>
      </c>
      <c r="N57" s="3">
        <v>16</v>
      </c>
      <c r="O57" s="3"/>
      <c r="P57" s="3"/>
      <c r="Q57" s="3">
        <v>1000</v>
      </c>
      <c r="R57" s="3">
        <v>1200</v>
      </c>
      <c r="S57" s="3">
        <v>0.9</v>
      </c>
      <c r="T57" s="1">
        <v>2.4</v>
      </c>
      <c r="V57" s="1" t="s">
        <v>174</v>
      </c>
      <c r="W57" s="1" t="s">
        <v>67</v>
      </c>
      <c r="AC57" s="2" t="s">
        <v>271</v>
      </c>
      <c r="AD57" s="2" t="s">
        <v>403</v>
      </c>
      <c r="AE57" s="13">
        <v>0.46605999999999997</v>
      </c>
      <c r="AF57" s="13">
        <v>0.33</v>
      </c>
      <c r="AG57" s="13" t="s">
        <v>118</v>
      </c>
      <c r="AH57" s="18">
        <v>0.77729999999999999</v>
      </c>
      <c r="AI57" s="13">
        <v>6.2190000000000002E-2</v>
      </c>
      <c r="AJ57" s="13" t="s">
        <v>121</v>
      </c>
      <c r="AK57" s="13">
        <v>399</v>
      </c>
      <c r="AL57" s="13">
        <v>311</v>
      </c>
      <c r="AM57" s="13" t="s">
        <v>119</v>
      </c>
      <c r="AN57" s="13" t="s">
        <v>400</v>
      </c>
      <c r="AO57" s="13" t="s">
        <v>401</v>
      </c>
      <c r="AP57" s="13" t="s">
        <v>121</v>
      </c>
    </row>
    <row r="58" spans="1:48" ht="45" customHeight="1" x14ac:dyDescent="0.2">
      <c r="A58" s="1" t="s">
        <v>170</v>
      </c>
      <c r="B58" s="1" t="s">
        <v>171</v>
      </c>
      <c r="C58" s="1">
        <v>2018</v>
      </c>
      <c r="D58" s="2" t="s">
        <v>172</v>
      </c>
      <c r="E58" s="1" t="s">
        <v>168</v>
      </c>
      <c r="F58" s="1" t="s">
        <v>168</v>
      </c>
      <c r="G58" s="1" t="s">
        <v>173</v>
      </c>
      <c r="H58" s="1" t="s">
        <v>402</v>
      </c>
      <c r="I58" s="1" t="s">
        <v>393</v>
      </c>
      <c r="J58" s="1" t="s">
        <v>308</v>
      </c>
      <c r="K58" s="1" t="s">
        <v>465</v>
      </c>
      <c r="L58" s="1" t="s">
        <v>275</v>
      </c>
      <c r="M58" s="1" t="s">
        <v>279</v>
      </c>
      <c r="N58" s="3">
        <v>16</v>
      </c>
      <c r="O58" s="3"/>
      <c r="P58" s="3"/>
      <c r="Q58" s="3">
        <v>1000</v>
      </c>
      <c r="R58" s="3">
        <v>1200</v>
      </c>
      <c r="S58" s="3">
        <v>0.9</v>
      </c>
      <c r="T58" s="1">
        <v>2.4</v>
      </c>
      <c r="V58" s="1" t="s">
        <v>174</v>
      </c>
      <c r="W58" s="1" t="s">
        <v>67</v>
      </c>
      <c r="AC58" s="2" t="s">
        <v>273</v>
      </c>
      <c r="AD58" s="2" t="s">
        <v>403</v>
      </c>
      <c r="AE58" s="13">
        <v>2.7410000000000001</v>
      </c>
      <c r="AF58" s="13">
        <v>0.48</v>
      </c>
      <c r="AG58" s="13" t="s">
        <v>118</v>
      </c>
      <c r="AH58" s="18">
        <v>1.4095</v>
      </c>
      <c r="AI58" s="13">
        <v>0.114</v>
      </c>
      <c r="AJ58" s="13" t="s">
        <v>121</v>
      </c>
      <c r="AK58" s="13">
        <v>399</v>
      </c>
      <c r="AL58" s="13">
        <v>311</v>
      </c>
      <c r="AM58" s="13" t="s">
        <v>119</v>
      </c>
      <c r="AN58" s="13" t="s">
        <v>400</v>
      </c>
      <c r="AO58" s="13" t="s">
        <v>401</v>
      </c>
      <c r="AP58" s="13" t="s">
        <v>121</v>
      </c>
    </row>
    <row r="59" spans="1:48" ht="45" customHeight="1" x14ac:dyDescent="0.2">
      <c r="A59" s="1" t="s">
        <v>170</v>
      </c>
      <c r="B59" s="1" t="s">
        <v>171</v>
      </c>
      <c r="C59" s="1">
        <v>2018</v>
      </c>
      <c r="D59" s="2" t="s">
        <v>172</v>
      </c>
      <c r="E59" s="1" t="s">
        <v>168</v>
      </c>
      <c r="F59" s="1" t="s">
        <v>168</v>
      </c>
      <c r="G59" s="1" t="s">
        <v>173</v>
      </c>
      <c r="H59" s="1" t="s">
        <v>402</v>
      </c>
      <c r="I59" s="1" t="s">
        <v>393</v>
      </c>
      <c r="J59" s="1" t="s">
        <v>308</v>
      </c>
      <c r="K59" s="1" t="s">
        <v>466</v>
      </c>
      <c r="L59" s="1" t="s">
        <v>275</v>
      </c>
      <c r="M59" s="1" t="s">
        <v>279</v>
      </c>
      <c r="N59" s="3">
        <v>16</v>
      </c>
      <c r="O59" s="3"/>
      <c r="P59" s="3"/>
      <c r="Q59" s="3">
        <v>1000</v>
      </c>
      <c r="R59" s="3">
        <v>1200</v>
      </c>
      <c r="S59" s="3">
        <v>0.9</v>
      </c>
      <c r="T59" s="1">
        <v>2.4</v>
      </c>
      <c r="V59" s="1" t="s">
        <v>174</v>
      </c>
      <c r="W59" s="1" t="s">
        <v>67</v>
      </c>
      <c r="AC59" s="2" t="s">
        <v>272</v>
      </c>
      <c r="AD59" s="2" t="s">
        <v>403</v>
      </c>
      <c r="AE59" s="15">
        <v>1.2809999999999999</v>
      </c>
      <c r="AF59" s="13">
        <v>0.6</v>
      </c>
      <c r="AG59" s="13" t="s">
        <v>118</v>
      </c>
      <c r="AH59" s="18">
        <v>1.026</v>
      </c>
      <c r="AI59" s="13">
        <v>0.155</v>
      </c>
      <c r="AJ59" s="13" t="s">
        <v>121</v>
      </c>
      <c r="AK59" s="13">
        <v>399</v>
      </c>
      <c r="AL59" s="13">
        <v>311</v>
      </c>
      <c r="AM59" s="13" t="s">
        <v>119</v>
      </c>
      <c r="AN59" s="13" t="s">
        <v>400</v>
      </c>
      <c r="AO59" s="13" t="s">
        <v>401</v>
      </c>
      <c r="AP59" s="13" t="s">
        <v>121</v>
      </c>
    </row>
    <row r="60" spans="1:48" ht="45" customHeight="1" x14ac:dyDescent="0.2">
      <c r="A60" s="1" t="s">
        <v>176</v>
      </c>
      <c r="B60" s="1" t="s">
        <v>177</v>
      </c>
      <c r="C60" s="1">
        <v>2010</v>
      </c>
      <c r="D60" s="2" t="s">
        <v>178</v>
      </c>
      <c r="E60" s="1" t="s">
        <v>179</v>
      </c>
      <c r="F60" s="1" t="s">
        <v>180</v>
      </c>
      <c r="G60" s="1" t="s">
        <v>181</v>
      </c>
      <c r="H60" s="1" t="s">
        <v>175</v>
      </c>
      <c r="I60" s="1" t="s">
        <v>182</v>
      </c>
      <c r="J60" s="1" t="s">
        <v>309</v>
      </c>
      <c r="K60" s="1" t="s">
        <v>539</v>
      </c>
      <c r="L60" s="1" t="s">
        <v>275</v>
      </c>
      <c r="M60" s="1" t="s">
        <v>278</v>
      </c>
      <c r="N60" s="3">
        <v>1E-4</v>
      </c>
      <c r="O60" s="3"/>
      <c r="P60" s="3"/>
      <c r="Q60" s="3">
        <v>1473</v>
      </c>
      <c r="R60" s="3">
        <v>1673</v>
      </c>
      <c r="S60" s="3"/>
      <c r="AC60" s="2" t="s">
        <v>28</v>
      </c>
      <c r="AE60" s="13">
        <v>9400</v>
      </c>
      <c r="AG60" s="13" t="s">
        <v>119</v>
      </c>
      <c r="AH60" s="18">
        <v>-0.03</v>
      </c>
      <c r="AJ60" s="13" t="s">
        <v>122</v>
      </c>
      <c r="AK60" s="13">
        <v>1.2130000000000001</v>
      </c>
      <c r="AM60" s="13" t="s">
        <v>121</v>
      </c>
    </row>
    <row r="61" spans="1:48" ht="45" customHeight="1" x14ac:dyDescent="0.2">
      <c r="A61" s="1" t="s">
        <v>541</v>
      </c>
      <c r="B61" s="1" t="s">
        <v>183</v>
      </c>
      <c r="C61" s="1">
        <v>1992</v>
      </c>
      <c r="D61" s="4" t="s">
        <v>184</v>
      </c>
      <c r="E61" s="1" t="s">
        <v>65</v>
      </c>
      <c r="F61" s="1" t="s">
        <v>65</v>
      </c>
      <c r="G61" s="1" t="s">
        <v>42</v>
      </c>
      <c r="H61" s="1" t="s">
        <v>185</v>
      </c>
      <c r="I61" s="1" t="s">
        <v>186</v>
      </c>
      <c r="J61" s="1" t="s">
        <v>310</v>
      </c>
      <c r="K61" s="1" t="s">
        <v>463</v>
      </c>
      <c r="L61" s="1" t="s">
        <v>275</v>
      </c>
      <c r="M61" s="1" t="s">
        <v>278</v>
      </c>
      <c r="N61" s="3">
        <v>1E-4</v>
      </c>
      <c r="O61" s="3"/>
      <c r="P61" s="3"/>
      <c r="Q61" s="3">
        <f>720+273</f>
        <v>993</v>
      </c>
      <c r="R61" s="3">
        <f>1500+273</f>
        <v>1773</v>
      </c>
      <c r="S61" s="3"/>
      <c r="AC61" s="2" t="s">
        <v>28</v>
      </c>
      <c r="AE61" s="13">
        <v>2.4020000000000001</v>
      </c>
      <c r="AG61" s="13" t="s">
        <v>118</v>
      </c>
      <c r="AH61" s="18">
        <v>1.6</v>
      </c>
      <c r="AI61" s="13">
        <v>0.02</v>
      </c>
      <c r="AJ61" s="13" t="s">
        <v>121</v>
      </c>
      <c r="AK61" s="13">
        <v>9.17</v>
      </c>
      <c r="AM61" s="13" t="s">
        <v>118</v>
      </c>
      <c r="AN61" s="13">
        <v>4.25</v>
      </c>
      <c r="AP61" s="13" t="s">
        <v>121</v>
      </c>
    </row>
    <row r="62" spans="1:48" ht="45" customHeight="1" x14ac:dyDescent="0.2">
      <c r="A62" t="s">
        <v>188</v>
      </c>
      <c r="B62" s="1" t="s">
        <v>187</v>
      </c>
      <c r="C62" s="1">
        <v>2000</v>
      </c>
      <c r="D62" s="6" t="s">
        <v>13</v>
      </c>
      <c r="E62" s="1" t="s">
        <v>65</v>
      </c>
      <c r="F62" s="1" t="s">
        <v>65</v>
      </c>
      <c r="G62" s="1" t="s">
        <v>142</v>
      </c>
      <c r="H62" s="1" t="s">
        <v>144</v>
      </c>
      <c r="I62" s="1" t="s">
        <v>143</v>
      </c>
      <c r="J62" s="1" t="s">
        <v>311</v>
      </c>
      <c r="K62" s="1" t="s">
        <v>460</v>
      </c>
      <c r="L62" s="1" t="s">
        <v>275</v>
      </c>
      <c r="M62" s="1" t="s">
        <v>279</v>
      </c>
      <c r="N62" s="3"/>
      <c r="O62" s="3">
        <v>4</v>
      </c>
      <c r="P62" s="3">
        <v>10</v>
      </c>
      <c r="Q62" s="3">
        <v>1273</v>
      </c>
      <c r="R62" s="3">
        <v>1673</v>
      </c>
      <c r="S62" s="3"/>
      <c r="AB62" s="1" t="s">
        <v>61</v>
      </c>
      <c r="AC62" s="2" t="s">
        <v>271</v>
      </c>
      <c r="AE62" s="13">
        <v>2.67</v>
      </c>
      <c r="AF62" s="13">
        <v>0.14000000000000001</v>
      </c>
      <c r="AG62" s="13" t="s">
        <v>118</v>
      </c>
      <c r="AH62" s="18">
        <v>1.5</v>
      </c>
      <c r="AI62" s="13">
        <v>0.04</v>
      </c>
      <c r="AJ62" s="13" t="s">
        <v>121</v>
      </c>
      <c r="AK62" s="13">
        <v>0.86</v>
      </c>
      <c r="AL62" s="13">
        <v>0.15</v>
      </c>
      <c r="AM62" s="13" t="s">
        <v>129</v>
      </c>
    </row>
    <row r="63" spans="1:48" ht="45" customHeight="1" x14ac:dyDescent="0.2">
      <c r="A63" t="s">
        <v>188</v>
      </c>
      <c r="B63" s="1" t="s">
        <v>187</v>
      </c>
      <c r="C63" s="1">
        <v>2000</v>
      </c>
      <c r="D63" s="6" t="s">
        <v>13</v>
      </c>
      <c r="E63" s="1" t="s">
        <v>65</v>
      </c>
      <c r="F63" s="1" t="s">
        <v>65</v>
      </c>
      <c r="G63" s="1" t="s">
        <v>142</v>
      </c>
      <c r="H63" s="1" t="s">
        <v>144</v>
      </c>
      <c r="I63" s="1" t="s">
        <v>143</v>
      </c>
      <c r="J63" s="1" t="s">
        <v>311</v>
      </c>
      <c r="K63" s="1" t="s">
        <v>461</v>
      </c>
      <c r="L63" s="1" t="s">
        <v>275</v>
      </c>
      <c r="M63" s="1" t="s">
        <v>279</v>
      </c>
      <c r="N63" s="3"/>
      <c r="O63" s="3">
        <v>4</v>
      </c>
      <c r="P63" s="3">
        <v>10</v>
      </c>
      <c r="Q63" s="3">
        <v>1273</v>
      </c>
      <c r="R63" s="3">
        <v>1673</v>
      </c>
      <c r="S63" s="3"/>
      <c r="AB63" s="1" t="s">
        <v>61</v>
      </c>
      <c r="AC63" s="2" t="s">
        <v>273</v>
      </c>
      <c r="AE63" s="13">
        <v>2.39</v>
      </c>
      <c r="AF63" s="13">
        <v>0.06</v>
      </c>
      <c r="AG63" s="13" t="s">
        <v>118</v>
      </c>
      <c r="AH63" s="18">
        <v>1.17</v>
      </c>
      <c r="AI63" s="13">
        <v>0.04</v>
      </c>
      <c r="AJ63" s="13" t="s">
        <v>121</v>
      </c>
      <c r="AK63" s="13">
        <v>0.96</v>
      </c>
      <c r="AL63" s="13">
        <v>0.06</v>
      </c>
      <c r="AM63" s="13" t="s">
        <v>129</v>
      </c>
    </row>
    <row r="64" spans="1:48" ht="45" customHeight="1" x14ac:dyDescent="0.2">
      <c r="A64" t="s">
        <v>188</v>
      </c>
      <c r="B64" s="1" t="s">
        <v>187</v>
      </c>
      <c r="C64" s="1">
        <v>2000</v>
      </c>
      <c r="D64" s="6" t="s">
        <v>13</v>
      </c>
      <c r="E64" s="1" t="s">
        <v>65</v>
      </c>
      <c r="F64" s="1" t="s">
        <v>65</v>
      </c>
      <c r="G64" s="1" t="s">
        <v>142</v>
      </c>
      <c r="H64" s="1" t="s">
        <v>69</v>
      </c>
      <c r="I64" s="1" t="s">
        <v>15</v>
      </c>
      <c r="J64" s="1" t="s">
        <v>311</v>
      </c>
      <c r="K64" s="1" t="s">
        <v>462</v>
      </c>
      <c r="L64" s="1" t="s">
        <v>275</v>
      </c>
      <c r="M64" s="1" t="s">
        <v>279</v>
      </c>
      <c r="N64" s="3"/>
      <c r="O64" s="3">
        <v>4</v>
      </c>
      <c r="P64" s="3">
        <v>10</v>
      </c>
      <c r="Q64" s="3">
        <v>1273</v>
      </c>
      <c r="R64" s="3">
        <v>1673</v>
      </c>
      <c r="S64" s="3"/>
      <c r="AB64" s="1" t="s">
        <v>61</v>
      </c>
      <c r="AC64" s="2" t="s">
        <v>272</v>
      </c>
      <c r="AE64" s="13">
        <v>3.33</v>
      </c>
      <c r="AF64" s="13">
        <v>0.28000000000000003</v>
      </c>
      <c r="AG64" s="13" t="s">
        <v>118</v>
      </c>
      <c r="AH64" s="18">
        <v>1.79</v>
      </c>
      <c r="AI64" s="13">
        <v>0.08</v>
      </c>
      <c r="AJ64" s="13" t="s">
        <v>121</v>
      </c>
    </row>
    <row r="65" spans="1:77" ht="45" customHeight="1" x14ac:dyDescent="0.2">
      <c r="A65" t="s">
        <v>188</v>
      </c>
      <c r="B65" s="1" t="s">
        <v>187</v>
      </c>
      <c r="C65" s="1">
        <v>2000</v>
      </c>
      <c r="D65" s="6" t="s">
        <v>13</v>
      </c>
      <c r="E65" s="1" t="s">
        <v>65</v>
      </c>
      <c r="F65" s="1" t="s">
        <v>65</v>
      </c>
      <c r="G65" s="1" t="s">
        <v>189</v>
      </c>
      <c r="H65" s="1" t="s">
        <v>144</v>
      </c>
      <c r="I65" s="1" t="s">
        <v>143</v>
      </c>
      <c r="J65" s="1" t="s">
        <v>311</v>
      </c>
      <c r="K65" s="1" t="s">
        <v>459</v>
      </c>
      <c r="L65" s="1" t="s">
        <v>275</v>
      </c>
      <c r="M65" s="1" t="s">
        <v>278</v>
      </c>
      <c r="N65" s="3"/>
      <c r="O65" s="3">
        <v>4</v>
      </c>
      <c r="P65" s="3">
        <v>10</v>
      </c>
      <c r="Q65" s="3">
        <v>1273</v>
      </c>
      <c r="R65" s="3">
        <v>1673</v>
      </c>
      <c r="S65" s="3"/>
      <c r="AB65" s="1" t="s">
        <v>61</v>
      </c>
      <c r="AC65" s="2" t="s">
        <v>28</v>
      </c>
      <c r="AE65" s="13">
        <v>2.69</v>
      </c>
      <c r="AF65" s="13">
        <v>0.15</v>
      </c>
      <c r="AG65" s="13" t="s">
        <v>118</v>
      </c>
      <c r="AH65" s="18">
        <v>1.62</v>
      </c>
      <c r="AI65" s="13">
        <v>0.05</v>
      </c>
      <c r="AJ65" s="13" t="s">
        <v>121</v>
      </c>
      <c r="AK65" s="13">
        <v>0.68</v>
      </c>
      <c r="AL65" s="13">
        <v>0.25</v>
      </c>
      <c r="AM65" s="13" t="s">
        <v>129</v>
      </c>
    </row>
    <row r="66" spans="1:77" customFormat="1" ht="45" customHeight="1" x14ac:dyDescent="0.2">
      <c r="A66" t="s">
        <v>190</v>
      </c>
      <c r="B66" t="s">
        <v>191</v>
      </c>
      <c r="C66">
        <v>2005</v>
      </c>
      <c r="D66" t="s">
        <v>192</v>
      </c>
      <c r="E66" t="s">
        <v>65</v>
      </c>
      <c r="F66" t="s">
        <v>65</v>
      </c>
      <c r="G66" t="s">
        <v>193</v>
      </c>
      <c r="H66" t="s">
        <v>196</v>
      </c>
      <c r="I66" t="s">
        <v>194</v>
      </c>
      <c r="J66" t="s">
        <v>312</v>
      </c>
      <c r="K66" t="s">
        <v>456</v>
      </c>
      <c r="L66" t="s">
        <v>275</v>
      </c>
      <c r="M66" t="s">
        <v>279</v>
      </c>
      <c r="N66" s="11">
        <v>0.4</v>
      </c>
      <c r="O66" s="11"/>
      <c r="P66" s="11"/>
      <c r="Q66" s="11">
        <v>1373</v>
      </c>
      <c r="R66" s="11">
        <v>1573</v>
      </c>
      <c r="S66" s="11"/>
      <c r="AB66" t="s">
        <v>195</v>
      </c>
      <c r="AC66" t="s">
        <v>272</v>
      </c>
      <c r="AE66" s="15">
        <v>0.432</v>
      </c>
      <c r="AF66" s="15">
        <v>0.14699999999999999</v>
      </c>
      <c r="AG66" s="15" t="s">
        <v>119</v>
      </c>
      <c r="AH66" s="12">
        <f>2/11</f>
        <v>0.18181818181818182</v>
      </c>
      <c r="AI66" s="15"/>
      <c r="AJ66" s="15" t="s">
        <v>122</v>
      </c>
      <c r="AK66" s="15">
        <v>0.32200000000000001</v>
      </c>
      <c r="AL66" s="15">
        <v>4.8000000000000001E-2</v>
      </c>
      <c r="AM66" s="15" t="s">
        <v>121</v>
      </c>
      <c r="AN66" s="15">
        <v>1.1900000000000001E-2</v>
      </c>
      <c r="AO66" s="15">
        <v>5.1000000000000004E-3</v>
      </c>
      <c r="AP66" s="15" t="s">
        <v>119</v>
      </c>
      <c r="AQ66" s="15">
        <v>0.32200000000000001</v>
      </c>
      <c r="AR66" s="15">
        <v>4.8000000000000001E-2</v>
      </c>
      <c r="AS66" s="15" t="s">
        <v>121</v>
      </c>
      <c r="AT66" s="15"/>
      <c r="AU66" s="15"/>
      <c r="AV66" s="15"/>
      <c r="AW66" s="15"/>
      <c r="AX66" s="15"/>
      <c r="AY66" s="15"/>
      <c r="AZ66" s="15"/>
      <c r="BA66" s="15"/>
      <c r="BB66" s="15"/>
      <c r="BC66" s="16"/>
      <c r="BD66" s="15"/>
      <c r="BE66" s="15"/>
      <c r="BF66" s="15"/>
      <c r="BG66" s="15"/>
      <c r="BH66" s="15"/>
      <c r="BI66" s="15"/>
      <c r="BJ66" s="15"/>
      <c r="BK66" s="15"/>
      <c r="BL66" s="15"/>
      <c r="BM66" s="15"/>
      <c r="BN66" s="15"/>
      <c r="BO66" s="15"/>
      <c r="BP66" s="15"/>
      <c r="BQ66" s="15"/>
      <c r="BR66" s="15"/>
      <c r="BS66" s="15"/>
      <c r="BT66" s="15"/>
      <c r="BU66" s="11"/>
      <c r="BV66" s="11"/>
      <c r="BX66" s="11"/>
      <c r="BY66" s="11"/>
    </row>
    <row r="67" spans="1:77" customFormat="1" ht="45" customHeight="1" x14ac:dyDescent="0.2">
      <c r="A67" t="s">
        <v>190</v>
      </c>
      <c r="B67" t="s">
        <v>191</v>
      </c>
      <c r="C67">
        <v>2005</v>
      </c>
      <c r="D67" t="s">
        <v>192</v>
      </c>
      <c r="E67" t="s">
        <v>65</v>
      </c>
      <c r="F67" t="s">
        <v>65</v>
      </c>
      <c r="G67" t="s">
        <v>193</v>
      </c>
      <c r="H67" t="s">
        <v>196</v>
      </c>
      <c r="I67" t="s">
        <v>194</v>
      </c>
      <c r="J67" t="s">
        <v>312</v>
      </c>
      <c r="K67" t="s">
        <v>457</v>
      </c>
      <c r="L67" t="s">
        <v>275</v>
      </c>
      <c r="M67" t="s">
        <v>279</v>
      </c>
      <c r="N67" s="11">
        <v>0.4</v>
      </c>
      <c r="O67" s="11"/>
      <c r="P67" s="11"/>
      <c r="Q67" s="11">
        <v>1373</v>
      </c>
      <c r="R67" s="11">
        <v>1573</v>
      </c>
      <c r="S67" s="11"/>
      <c r="AB67" t="s">
        <v>195</v>
      </c>
      <c r="AC67" t="s">
        <v>273</v>
      </c>
      <c r="AE67" s="15">
        <v>2.39</v>
      </c>
      <c r="AF67" s="15">
        <v>0.35</v>
      </c>
      <c r="AG67" s="15" t="s">
        <v>119</v>
      </c>
      <c r="AH67" s="12">
        <f t="shared" ref="AH67:AH68" si="2">2/11</f>
        <v>0.18181818181818182</v>
      </c>
      <c r="AI67" s="15"/>
      <c r="AJ67" s="15" t="s">
        <v>122</v>
      </c>
      <c r="AK67" s="15">
        <v>0.56100000000000005</v>
      </c>
      <c r="AL67" s="15">
        <v>2.1000000000000001E-2</v>
      </c>
      <c r="AM67" s="15" t="s">
        <v>121</v>
      </c>
      <c r="AN67" s="15">
        <v>7.9799999999999996E-2</v>
      </c>
      <c r="AO67" s="15">
        <v>1.47E-2</v>
      </c>
      <c r="AP67" s="15" t="s">
        <v>119</v>
      </c>
      <c r="AQ67" s="15">
        <v>0.56100000000000005</v>
      </c>
      <c r="AR67" s="15">
        <v>2.1000000000000001E-2</v>
      </c>
      <c r="AS67" s="15" t="s">
        <v>121</v>
      </c>
      <c r="AT67" s="15"/>
      <c r="AU67" s="15"/>
      <c r="AV67" s="15"/>
      <c r="AW67" s="15"/>
      <c r="AX67" s="15"/>
      <c r="AY67" s="15"/>
      <c r="AZ67" s="15"/>
      <c r="BA67" s="15"/>
      <c r="BB67" s="15"/>
      <c r="BC67" s="16"/>
      <c r="BD67" s="15"/>
      <c r="BE67" s="15"/>
      <c r="BF67" s="15"/>
      <c r="BG67" s="15"/>
      <c r="BH67" s="15"/>
      <c r="BI67" s="15"/>
      <c r="BJ67" s="15"/>
      <c r="BK67" s="15"/>
      <c r="BL67" s="15"/>
      <c r="BM67" s="15"/>
      <c r="BN67" s="15"/>
      <c r="BO67" s="15"/>
      <c r="BP67" s="15"/>
      <c r="BQ67" s="15"/>
      <c r="BR67" s="15"/>
      <c r="BS67" s="15"/>
      <c r="BT67" s="15"/>
      <c r="BU67" s="11"/>
      <c r="BV67" s="11"/>
      <c r="BX67" s="11"/>
      <c r="BY67" s="11"/>
    </row>
    <row r="68" spans="1:77" customFormat="1" ht="45" customHeight="1" x14ac:dyDescent="0.2">
      <c r="A68" t="s">
        <v>190</v>
      </c>
      <c r="B68" t="s">
        <v>191</v>
      </c>
      <c r="C68">
        <v>2005</v>
      </c>
      <c r="D68" t="s">
        <v>192</v>
      </c>
      <c r="E68" t="s">
        <v>65</v>
      </c>
      <c r="F68" t="s">
        <v>65</v>
      </c>
      <c r="G68" t="s">
        <v>193</v>
      </c>
      <c r="H68" t="s">
        <v>196</v>
      </c>
      <c r="I68" t="s">
        <v>194</v>
      </c>
      <c r="J68" t="s">
        <v>312</v>
      </c>
      <c r="K68" t="s">
        <v>458</v>
      </c>
      <c r="L68" t="s">
        <v>275</v>
      </c>
      <c r="M68" t="s">
        <v>279</v>
      </c>
      <c r="N68" s="11">
        <v>0.4</v>
      </c>
      <c r="O68" s="11"/>
      <c r="P68" s="11"/>
      <c r="Q68" s="11">
        <v>1373</v>
      </c>
      <c r="R68" s="11">
        <v>1573</v>
      </c>
      <c r="S68" s="11"/>
      <c r="AB68" t="s">
        <v>195</v>
      </c>
      <c r="AC68" t="s">
        <v>271</v>
      </c>
      <c r="AE68" s="15">
        <v>15.3</v>
      </c>
      <c r="AF68" s="15">
        <v>2.9</v>
      </c>
      <c r="AG68" s="15" t="s">
        <v>119</v>
      </c>
      <c r="AH68" s="12">
        <f t="shared" si="2"/>
        <v>0.18181818181818182</v>
      </c>
      <c r="AI68" s="15"/>
      <c r="AJ68" s="15" t="s">
        <v>122</v>
      </c>
      <c r="AK68" s="15">
        <v>0.71</v>
      </c>
      <c r="AL68" s="15">
        <v>2.7E-2</v>
      </c>
      <c r="AM68" s="15" t="s">
        <v>121</v>
      </c>
      <c r="AN68" s="15">
        <v>0.29299999999999998</v>
      </c>
      <c r="AO68" s="15">
        <v>7.1999999999999995E-2</v>
      </c>
      <c r="AP68" s="15" t="s">
        <v>119</v>
      </c>
      <c r="AQ68" s="15">
        <v>0.71</v>
      </c>
      <c r="AR68" s="15">
        <v>2.7E-2</v>
      </c>
      <c r="AS68" s="15" t="s">
        <v>121</v>
      </c>
      <c r="AT68" s="15"/>
      <c r="AU68" s="15"/>
      <c r="AV68" s="15"/>
      <c r="AW68" s="15"/>
      <c r="AX68" s="15"/>
      <c r="AY68" s="15"/>
      <c r="AZ68" s="15"/>
      <c r="BA68" s="15"/>
      <c r="BB68" s="15"/>
      <c r="BC68" s="16"/>
      <c r="BD68" s="15"/>
      <c r="BE68" s="15"/>
      <c r="BF68" s="15"/>
      <c r="BG68" s="15"/>
      <c r="BH68" s="15"/>
      <c r="BI68" s="15"/>
      <c r="BJ68" s="15"/>
      <c r="BK68" s="15"/>
      <c r="BL68" s="15"/>
      <c r="BM68" s="15"/>
      <c r="BN68" s="15"/>
      <c r="BO68" s="15"/>
      <c r="BP68" s="15"/>
      <c r="BQ68" s="15"/>
      <c r="BR68" s="15"/>
      <c r="BS68" s="15"/>
      <c r="BT68" s="15"/>
      <c r="BU68" s="11"/>
      <c r="BV68" s="11"/>
      <c r="BX68" s="11"/>
      <c r="BY68" s="11"/>
    </row>
    <row r="69" spans="1:77" customFormat="1" ht="45" customHeight="1" x14ac:dyDescent="0.2">
      <c r="A69" t="s">
        <v>197</v>
      </c>
      <c r="B69" t="s">
        <v>198</v>
      </c>
      <c r="C69">
        <v>2006</v>
      </c>
      <c r="D69" t="s">
        <v>199</v>
      </c>
      <c r="E69" t="s">
        <v>65</v>
      </c>
      <c r="F69" t="s">
        <v>65</v>
      </c>
      <c r="G69" t="s">
        <v>200</v>
      </c>
      <c r="H69" t="s">
        <v>425</v>
      </c>
      <c r="I69" t="s">
        <v>424</v>
      </c>
      <c r="J69" t="s">
        <v>313</v>
      </c>
      <c r="K69" t="s">
        <v>455</v>
      </c>
      <c r="L69" t="s">
        <v>275</v>
      </c>
      <c r="M69" t="s">
        <v>278</v>
      </c>
      <c r="N69" s="11">
        <v>1E-3</v>
      </c>
      <c r="O69" s="11"/>
      <c r="P69" s="11"/>
      <c r="Q69" s="11">
        <v>1273</v>
      </c>
      <c r="R69" s="11">
        <v>1573</v>
      </c>
      <c r="S69" s="11"/>
      <c r="AC69" t="s">
        <v>28</v>
      </c>
      <c r="AE69">
        <v>5.0599999999999997E+24</v>
      </c>
      <c r="AG69" t="s">
        <v>119</v>
      </c>
      <c r="AH69" s="12">
        <v>0.35699999999999998</v>
      </c>
      <c r="AJ69" t="s">
        <v>121</v>
      </c>
      <c r="AK69">
        <v>3.33E+24</v>
      </c>
      <c r="AM69" t="s">
        <v>119</v>
      </c>
      <c r="AN69">
        <v>0.02</v>
      </c>
      <c r="AP69" t="s">
        <v>121</v>
      </c>
      <c r="AQ69">
        <f>1/6</f>
        <v>0.16666666666666666</v>
      </c>
      <c r="AS69" t="s">
        <v>122</v>
      </c>
      <c r="AT69">
        <v>1.22E-5</v>
      </c>
      <c r="AV69" t="s">
        <v>119</v>
      </c>
      <c r="AW69">
        <v>1.05</v>
      </c>
      <c r="AY69" t="s">
        <v>121</v>
      </c>
      <c r="AZ69">
        <v>4.5799999999999999E+26</v>
      </c>
      <c r="BB69" t="s">
        <v>122</v>
      </c>
      <c r="BC69">
        <v>0.752</v>
      </c>
      <c r="BE69" t="s">
        <v>121</v>
      </c>
      <c r="BF69" s="12">
        <v>6.2100000000000003E+30</v>
      </c>
      <c r="BH69" t="s">
        <v>119</v>
      </c>
      <c r="BI69">
        <v>1.83</v>
      </c>
      <c r="BK69" t="s">
        <v>121</v>
      </c>
      <c r="BL69">
        <f>1/6</f>
        <v>0.16666666666666666</v>
      </c>
      <c r="BN69" t="s">
        <v>426</v>
      </c>
      <c r="BO69">
        <f>2*0.00000272</f>
        <v>5.4399999999999996E-6</v>
      </c>
      <c r="BQ69" t="s">
        <v>122</v>
      </c>
      <c r="BR69">
        <v>1.0900000000000001</v>
      </c>
      <c r="BT69" t="s">
        <v>122</v>
      </c>
    </row>
    <row r="70" spans="1:77" ht="45" customHeight="1" x14ac:dyDescent="0.2">
      <c r="A70" s="1" t="s">
        <v>232</v>
      </c>
      <c r="B70" s="1" t="s">
        <v>283</v>
      </c>
      <c r="C70" s="1">
        <v>2006</v>
      </c>
      <c r="D70" s="7" t="s">
        <v>233</v>
      </c>
      <c r="E70" s="1" t="s">
        <v>65</v>
      </c>
      <c r="F70" s="1" t="s">
        <v>65</v>
      </c>
      <c r="G70" s="1" t="s">
        <v>234</v>
      </c>
      <c r="H70" s="1" t="s">
        <v>238</v>
      </c>
      <c r="I70" s="1" t="s">
        <v>237</v>
      </c>
      <c r="J70" s="1" t="s">
        <v>314</v>
      </c>
      <c r="K70" s="1" t="s">
        <v>236</v>
      </c>
      <c r="L70" s="1" t="s">
        <v>275</v>
      </c>
      <c r="M70" s="1" t="s">
        <v>278</v>
      </c>
      <c r="N70" s="11">
        <v>4</v>
      </c>
      <c r="O70" s="3"/>
      <c r="P70" s="3"/>
      <c r="Q70" s="3">
        <v>873</v>
      </c>
      <c r="R70" s="3">
        <v>1273</v>
      </c>
      <c r="S70" s="3">
        <v>0.01</v>
      </c>
      <c r="T70">
        <v>2.7E-2</v>
      </c>
      <c r="V70" s="1" t="s">
        <v>64</v>
      </c>
      <c r="W70" s="1" t="s">
        <v>67</v>
      </c>
      <c r="AB70" t="s">
        <v>235</v>
      </c>
      <c r="AC70" s="2" t="s">
        <v>28</v>
      </c>
      <c r="AE70" s="13">
        <v>2.4</v>
      </c>
      <c r="AG70" s="13" t="s">
        <v>118</v>
      </c>
      <c r="AH70" s="18">
        <v>1.5860000000000001</v>
      </c>
      <c r="AJ70" s="13" t="s">
        <v>121</v>
      </c>
      <c r="AK70" s="13">
        <v>3</v>
      </c>
      <c r="AL70" s="13">
        <v>0.4</v>
      </c>
      <c r="AM70" s="13" t="s">
        <v>118</v>
      </c>
      <c r="AN70" s="13">
        <v>0.62</v>
      </c>
      <c r="AO70" s="13">
        <v>0.15</v>
      </c>
      <c r="AP70" s="13" t="s">
        <v>122</v>
      </c>
      <c r="AQ70" s="13">
        <v>0.90169999999999995</v>
      </c>
      <c r="AR70" s="13">
        <v>5.1819999999999998E-2</v>
      </c>
      <c r="AS70" s="13" t="s">
        <v>121</v>
      </c>
    </row>
    <row r="71" spans="1:77" ht="45" customHeight="1" x14ac:dyDescent="0.2">
      <c r="A71" s="1" t="s">
        <v>240</v>
      </c>
      <c r="B71" s="1" t="s">
        <v>241</v>
      </c>
      <c r="C71" s="1">
        <v>2009</v>
      </c>
      <c r="D71" s="7" t="s">
        <v>242</v>
      </c>
      <c r="E71" s="1" t="s">
        <v>65</v>
      </c>
      <c r="F71" s="1" t="s">
        <v>542</v>
      </c>
      <c r="G71" s="1" t="s">
        <v>239</v>
      </c>
      <c r="H71" s="1" t="s">
        <v>544</v>
      </c>
      <c r="I71" s="1" t="s">
        <v>186</v>
      </c>
      <c r="J71" s="1" t="s">
        <v>315</v>
      </c>
      <c r="K71" s="1" t="s">
        <v>543</v>
      </c>
      <c r="L71" s="1" t="s">
        <v>275</v>
      </c>
      <c r="M71" s="1" t="s">
        <v>278</v>
      </c>
      <c r="N71" s="11">
        <v>10</v>
      </c>
      <c r="O71" s="3"/>
      <c r="P71" s="3"/>
      <c r="Q71" s="11">
        <v>500</v>
      </c>
      <c r="R71" s="11">
        <v>2000</v>
      </c>
      <c r="S71" s="3">
        <v>5.0000000000000001E-3</v>
      </c>
      <c r="T71">
        <v>0.17899999999999999</v>
      </c>
      <c r="V71" s="1" t="s">
        <v>64</v>
      </c>
      <c r="W71" s="1" t="s">
        <v>67</v>
      </c>
      <c r="AB71" s="1" t="s">
        <v>61</v>
      </c>
      <c r="AC71" s="2" t="s">
        <v>28</v>
      </c>
      <c r="AE71" s="13">
        <v>4.7300000000000004</v>
      </c>
      <c r="AF71" s="13">
        <v>0.53</v>
      </c>
      <c r="AG71" s="13" t="s">
        <v>118</v>
      </c>
      <c r="AH71" s="18">
        <v>2.31</v>
      </c>
      <c r="AI71" s="13">
        <v>7.0000000000000007E-2</v>
      </c>
      <c r="AJ71" s="13" t="s">
        <v>121</v>
      </c>
      <c r="AK71" s="13">
        <v>2.98</v>
      </c>
      <c r="AL71" s="13">
        <v>0.85</v>
      </c>
      <c r="AM71" s="13" t="s">
        <v>118</v>
      </c>
      <c r="AN71" s="13">
        <v>1.71</v>
      </c>
      <c r="AO71" s="13">
        <v>0.44</v>
      </c>
      <c r="AP71" s="13" t="s">
        <v>121</v>
      </c>
    </row>
    <row r="72" spans="1:77" ht="45" customHeight="1" x14ac:dyDescent="0.2">
      <c r="A72" s="1" t="s">
        <v>240</v>
      </c>
      <c r="B72" s="1" t="s">
        <v>241</v>
      </c>
      <c r="C72" s="1">
        <v>2009</v>
      </c>
      <c r="D72" s="7" t="s">
        <v>242</v>
      </c>
      <c r="E72" s="1" t="s">
        <v>65</v>
      </c>
      <c r="F72" s="1" t="s">
        <v>65</v>
      </c>
      <c r="G72" s="1" t="s">
        <v>239</v>
      </c>
      <c r="H72" s="1" t="s">
        <v>390</v>
      </c>
      <c r="I72" s="1" t="s">
        <v>288</v>
      </c>
      <c r="J72" s="1" t="s">
        <v>315</v>
      </c>
      <c r="K72" s="1" t="s">
        <v>516</v>
      </c>
      <c r="L72" s="1" t="s">
        <v>275</v>
      </c>
      <c r="M72" s="1" t="s">
        <v>278</v>
      </c>
      <c r="N72" s="11">
        <v>10</v>
      </c>
      <c r="O72" s="3"/>
      <c r="P72" s="3"/>
      <c r="Q72" s="11">
        <v>500</v>
      </c>
      <c r="R72" s="11">
        <v>2000</v>
      </c>
      <c r="S72" s="3">
        <v>5.0000000000000001E-3</v>
      </c>
      <c r="T72">
        <v>0.17899999999999999</v>
      </c>
      <c r="V72" s="1" t="s">
        <v>64</v>
      </c>
      <c r="W72" s="1" t="s">
        <v>67</v>
      </c>
      <c r="AB72" s="1" t="s">
        <v>61</v>
      </c>
      <c r="AC72" s="2" t="s">
        <v>28</v>
      </c>
      <c r="AE72" s="13">
        <v>4.7300000000000004</v>
      </c>
      <c r="AF72" s="13">
        <v>0.53</v>
      </c>
      <c r="AG72" s="13" t="s">
        <v>118</v>
      </c>
      <c r="AH72" s="18">
        <v>2.31</v>
      </c>
      <c r="AI72" s="13">
        <v>7.0000000000000007E-2</v>
      </c>
      <c r="AJ72" s="13" t="s">
        <v>121</v>
      </c>
      <c r="AK72" s="13">
        <v>2.98</v>
      </c>
      <c r="AL72" s="13">
        <v>0.85</v>
      </c>
      <c r="AM72" s="13" t="s">
        <v>118</v>
      </c>
      <c r="AN72" s="13">
        <v>1.71</v>
      </c>
      <c r="AO72" s="13">
        <v>0.44</v>
      </c>
      <c r="AP72" s="13" t="s">
        <v>121</v>
      </c>
      <c r="AQ72" s="13">
        <v>1.9</v>
      </c>
      <c r="AR72" s="13">
        <v>0.44</v>
      </c>
      <c r="AS72" s="13" t="s">
        <v>118</v>
      </c>
      <c r="AT72" s="13">
        <v>0.92</v>
      </c>
      <c r="AU72" s="13">
        <v>0.04</v>
      </c>
      <c r="AV72" s="13" t="s">
        <v>121</v>
      </c>
      <c r="AW72" s="13">
        <v>-0.16</v>
      </c>
      <c r="AX72" s="13">
        <v>0.02</v>
      </c>
      <c r="AY72" s="13" t="s">
        <v>122</v>
      </c>
      <c r="AZ72" s="13">
        <v>0.33333333333333331</v>
      </c>
      <c r="BB72" s="13" t="s">
        <v>122</v>
      </c>
    </row>
    <row r="73" spans="1:77" customFormat="1" ht="45" customHeight="1" x14ac:dyDescent="0.2">
      <c r="A73" t="s">
        <v>243</v>
      </c>
      <c r="B73" t="s">
        <v>244</v>
      </c>
      <c r="C73">
        <v>2012</v>
      </c>
      <c r="D73" t="s">
        <v>245</v>
      </c>
      <c r="E73" t="s">
        <v>65</v>
      </c>
      <c r="F73" t="s">
        <v>65</v>
      </c>
      <c r="G73" t="s">
        <v>239</v>
      </c>
      <c r="H73" t="s">
        <v>246</v>
      </c>
      <c r="I73" t="s">
        <v>291</v>
      </c>
      <c r="J73" t="s">
        <v>316</v>
      </c>
      <c r="K73" t="s">
        <v>517</v>
      </c>
      <c r="L73" t="s">
        <v>275</v>
      </c>
      <c r="M73" t="s">
        <v>278</v>
      </c>
      <c r="N73" s="11"/>
      <c r="O73" s="11">
        <v>5</v>
      </c>
      <c r="P73" s="11">
        <v>18</v>
      </c>
      <c r="Q73" s="11">
        <v>500</v>
      </c>
      <c r="R73" s="11">
        <v>1600</v>
      </c>
      <c r="S73" s="11"/>
      <c r="AB73" t="s">
        <v>61</v>
      </c>
      <c r="AC73" t="s">
        <v>28</v>
      </c>
      <c r="AE73">
        <v>525</v>
      </c>
      <c r="AF73">
        <v>37</v>
      </c>
      <c r="AG73" t="s">
        <v>119</v>
      </c>
      <c r="AH73" s="12">
        <v>1.96</v>
      </c>
      <c r="AI73">
        <v>0.02</v>
      </c>
      <c r="AJ73" t="s">
        <v>121</v>
      </c>
      <c r="AK73">
        <v>-1.49</v>
      </c>
      <c r="AL73">
        <v>0.03</v>
      </c>
      <c r="AM73" t="s">
        <v>122</v>
      </c>
      <c r="AN73">
        <v>-0.01</v>
      </c>
      <c r="AO73">
        <v>0.04</v>
      </c>
      <c r="AP73" t="s">
        <v>129</v>
      </c>
      <c r="AQ73">
        <v>-0.22</v>
      </c>
      <c r="AR73">
        <v>0.34</v>
      </c>
      <c r="AS73" t="s">
        <v>122</v>
      </c>
    </row>
    <row r="74" spans="1:77" customFormat="1" ht="45" customHeight="1" x14ac:dyDescent="0.2">
      <c r="A74" t="s">
        <v>247</v>
      </c>
      <c r="B74" t="s">
        <v>248</v>
      </c>
      <c r="C74">
        <v>2014</v>
      </c>
      <c r="D74" t="s">
        <v>249</v>
      </c>
      <c r="E74" t="s">
        <v>65</v>
      </c>
      <c r="F74" t="s">
        <v>65</v>
      </c>
      <c r="G74" t="s">
        <v>200</v>
      </c>
      <c r="H74" t="s">
        <v>392</v>
      </c>
      <c r="I74" t="s">
        <v>288</v>
      </c>
      <c r="J74" t="s">
        <v>318</v>
      </c>
      <c r="K74" t="s">
        <v>518</v>
      </c>
      <c r="L74" t="s">
        <v>275</v>
      </c>
      <c r="M74" t="s">
        <v>279</v>
      </c>
      <c r="N74" s="11"/>
      <c r="O74" s="11">
        <v>1E-3</v>
      </c>
      <c r="P74" s="11">
        <v>10</v>
      </c>
      <c r="Q74" s="11">
        <v>473</v>
      </c>
      <c r="R74" s="11">
        <v>2000</v>
      </c>
      <c r="S74" s="11">
        <v>0</v>
      </c>
      <c r="T74">
        <v>1500</v>
      </c>
      <c r="V74" t="s">
        <v>250</v>
      </c>
      <c r="W74" t="s">
        <v>55</v>
      </c>
      <c r="AC74" t="s">
        <v>272</v>
      </c>
      <c r="AE74">
        <v>5.92</v>
      </c>
      <c r="AF74">
        <v>1.99</v>
      </c>
      <c r="AG74" t="s">
        <v>118</v>
      </c>
      <c r="AH74" s="12">
        <f>261*0.00008617333262/0.00831446261815324</f>
        <v>2.7050743802388544</v>
      </c>
      <c r="AI74">
        <v>0.49727999999999994</v>
      </c>
      <c r="AJ74" t="s">
        <v>121</v>
      </c>
      <c r="AK74">
        <v>2.19</v>
      </c>
      <c r="AL74">
        <v>1.0900000000000001</v>
      </c>
      <c r="AM74" t="s">
        <v>118</v>
      </c>
      <c r="AN74">
        <f>146*0.00008617333262/0.00831446261815324</f>
        <v>1.5131833697887844</v>
      </c>
      <c r="AO74">
        <v>0.27971999999999997</v>
      </c>
      <c r="AP74" t="s">
        <v>121</v>
      </c>
      <c r="AQ74">
        <v>-1.48</v>
      </c>
      <c r="AR74">
        <v>0.56999999999999995</v>
      </c>
      <c r="AS74" t="s">
        <v>118</v>
      </c>
      <c r="AT74">
        <f>92*0.00008617333262/0.00831446261815324</f>
        <v>0.95351280836005603</v>
      </c>
      <c r="AU74">
        <v>9.323999999999999E-2</v>
      </c>
      <c r="AV74" t="s">
        <v>121</v>
      </c>
      <c r="AW74">
        <f>-2.56*0.00008617333262/0.00831446261815324</f>
        <v>-2.653253031958417E-2</v>
      </c>
      <c r="AX74">
        <f>0.59*0.00008617333262/0.00831446261815324</f>
        <v>6.1149190970916627E-3</v>
      </c>
      <c r="AY74" t="s">
        <v>122</v>
      </c>
      <c r="AZ74">
        <v>0.33333333333333331</v>
      </c>
      <c r="BB74" t="s">
        <v>122</v>
      </c>
    </row>
    <row r="75" spans="1:77" customFormat="1" ht="45" customHeight="1" x14ac:dyDescent="0.2">
      <c r="A75" t="s">
        <v>247</v>
      </c>
      <c r="B75" t="s">
        <v>248</v>
      </c>
      <c r="C75">
        <v>2014</v>
      </c>
      <c r="D75" t="s">
        <v>249</v>
      </c>
      <c r="E75" t="s">
        <v>65</v>
      </c>
      <c r="F75" t="s">
        <v>65</v>
      </c>
      <c r="G75" t="s">
        <v>200</v>
      </c>
      <c r="H75" t="s">
        <v>392</v>
      </c>
      <c r="I75" t="s">
        <v>288</v>
      </c>
      <c r="J75" t="s">
        <v>318</v>
      </c>
      <c r="K75" t="s">
        <v>519</v>
      </c>
      <c r="L75" t="s">
        <v>275</v>
      </c>
      <c r="M75" t="s">
        <v>279</v>
      </c>
      <c r="N75" s="11"/>
      <c r="O75" s="11">
        <v>1E-3</v>
      </c>
      <c r="P75" s="11">
        <v>10</v>
      </c>
      <c r="Q75" s="11">
        <v>473</v>
      </c>
      <c r="R75" s="11">
        <v>2000</v>
      </c>
      <c r="S75" s="11">
        <v>0</v>
      </c>
      <c r="T75">
        <v>1500</v>
      </c>
      <c r="V75" t="s">
        <v>250</v>
      </c>
      <c r="W75" t="s">
        <v>55</v>
      </c>
      <c r="AC75" t="s">
        <v>273</v>
      </c>
      <c r="AE75">
        <v>5.45</v>
      </c>
      <c r="AF75">
        <v>2.0699999999999998</v>
      </c>
      <c r="AG75" t="s">
        <v>118</v>
      </c>
      <c r="AH75" s="12">
        <f>268*0.00008617333262/0.00831446261815324</f>
        <v>2.7776242678314675</v>
      </c>
      <c r="AI75">
        <f>55*0.00008617333262/0.00831446261815324</f>
        <v>0.57003483108481612</v>
      </c>
      <c r="AJ75" t="s">
        <v>121</v>
      </c>
      <c r="AK75">
        <v>2.38</v>
      </c>
      <c r="AL75">
        <v>1.1000000000000001</v>
      </c>
      <c r="AM75" t="s">
        <v>118</v>
      </c>
      <c r="AN75">
        <f>141*0.00008617333262/0.00831446261815324</f>
        <v>1.4613620215083465</v>
      </c>
      <c r="AO75">
        <v>0.21755999999999998</v>
      </c>
      <c r="AP75" t="s">
        <v>121</v>
      </c>
      <c r="AQ75">
        <f>-0.7</f>
        <v>-0.7</v>
      </c>
      <c r="AR75">
        <v>0.99</v>
      </c>
      <c r="AS75" t="s">
        <v>118</v>
      </c>
      <c r="AT75">
        <f>95*0.00008617333262/0.00831446261815324</f>
        <v>0.98460561732831875</v>
      </c>
      <c r="AU75">
        <v>0.13467999999999999</v>
      </c>
      <c r="AV75" t="s">
        <v>121</v>
      </c>
      <c r="AW75">
        <f>-0.88*0.00008617333262/0.00831446261815324</f>
        <v>-9.120557297357057E-3</v>
      </c>
      <c r="AX75">
        <f>0.59*0.00008617333262/0.00831446261815324</f>
        <v>6.1149190970916627E-3</v>
      </c>
      <c r="AY75" t="s">
        <v>122</v>
      </c>
      <c r="AZ75">
        <v>0.33333333333333331</v>
      </c>
      <c r="BB75" t="s">
        <v>122</v>
      </c>
    </row>
    <row r="76" spans="1:77" customFormat="1" ht="45" customHeight="1" x14ac:dyDescent="0.2">
      <c r="A76" t="s">
        <v>247</v>
      </c>
      <c r="B76" t="s">
        <v>248</v>
      </c>
      <c r="C76">
        <v>2014</v>
      </c>
      <c r="D76" t="s">
        <v>249</v>
      </c>
      <c r="E76" t="s">
        <v>65</v>
      </c>
      <c r="F76" t="s">
        <v>65</v>
      </c>
      <c r="G76" t="s">
        <v>200</v>
      </c>
      <c r="H76" t="s">
        <v>392</v>
      </c>
      <c r="I76" t="s">
        <v>288</v>
      </c>
      <c r="J76" t="s">
        <v>318</v>
      </c>
      <c r="K76" t="s">
        <v>520</v>
      </c>
      <c r="L76" t="s">
        <v>275</v>
      </c>
      <c r="M76" t="s">
        <v>279</v>
      </c>
      <c r="N76" s="11"/>
      <c r="O76" s="11">
        <v>1E-3</v>
      </c>
      <c r="P76" s="11">
        <v>10</v>
      </c>
      <c r="Q76" s="11">
        <v>473</v>
      </c>
      <c r="R76" s="11">
        <v>2000</v>
      </c>
      <c r="S76" s="11">
        <v>0</v>
      </c>
      <c r="T76">
        <v>1500</v>
      </c>
      <c r="V76" t="s">
        <v>250</v>
      </c>
      <c r="W76" t="s">
        <v>55</v>
      </c>
      <c r="AC76" t="s">
        <v>271</v>
      </c>
      <c r="AE76">
        <v>4.67</v>
      </c>
      <c r="AF76">
        <v>1.94</v>
      </c>
      <c r="AG76" t="s">
        <v>118</v>
      </c>
      <c r="AH76" s="12">
        <f>234*0.00008617333262/0.00831446261815324</f>
        <v>2.4252390995244903</v>
      </c>
      <c r="AI76">
        <v>0.48691999999999996</v>
      </c>
      <c r="AJ76" t="s">
        <v>121</v>
      </c>
      <c r="AK76">
        <v>2.5099999999999998</v>
      </c>
      <c r="AL76">
        <v>1.06</v>
      </c>
      <c r="AM76" t="s">
        <v>118</v>
      </c>
      <c r="AN76">
        <f>146*0.00008617333262/0.00831446261815324</f>
        <v>1.5131833697887844</v>
      </c>
      <c r="AO76">
        <v>0.24863999999999997</v>
      </c>
      <c r="AP76" t="s">
        <v>121</v>
      </c>
      <c r="AQ76">
        <v>-1.97</v>
      </c>
      <c r="AR76">
        <v>0.69</v>
      </c>
      <c r="AS76" t="s">
        <v>118</v>
      </c>
      <c r="AT76">
        <f>81*0.00008617333262/0.00831446261815324</f>
        <v>0.83950584214309276</v>
      </c>
      <c r="AU76">
        <v>9.323999999999999E-2</v>
      </c>
      <c r="AV76" t="s">
        <v>121</v>
      </c>
      <c r="AW76">
        <f>-1.94*0.00008617333262/0.00831446261815324</f>
        <v>-2.0106683132809874E-2</v>
      </c>
      <c r="AX76">
        <f>0.54*0.00008617333262/0.00831446261815324</f>
        <v>5.5967056142872855E-3</v>
      </c>
      <c r="AY76" t="s">
        <v>122</v>
      </c>
      <c r="AZ76">
        <v>0.33333333333333331</v>
      </c>
      <c r="BB76" t="s">
        <v>122</v>
      </c>
    </row>
    <row r="77" spans="1:77" customFormat="1" ht="45" customHeight="1" x14ac:dyDescent="0.2">
      <c r="A77" t="s">
        <v>247</v>
      </c>
      <c r="B77" t="s">
        <v>248</v>
      </c>
      <c r="C77">
        <v>2014</v>
      </c>
      <c r="D77" t="s">
        <v>249</v>
      </c>
      <c r="E77" t="s">
        <v>65</v>
      </c>
      <c r="F77" t="s">
        <v>65</v>
      </c>
      <c r="G77" t="s">
        <v>200</v>
      </c>
      <c r="H77" t="s">
        <v>392</v>
      </c>
      <c r="I77" t="s">
        <v>288</v>
      </c>
      <c r="J77" t="s">
        <v>318</v>
      </c>
      <c r="K77" t="s">
        <v>521</v>
      </c>
      <c r="L77" t="s">
        <v>275</v>
      </c>
      <c r="M77" t="s">
        <v>279</v>
      </c>
      <c r="N77" s="11"/>
      <c r="O77" s="11">
        <v>1E-3</v>
      </c>
      <c r="P77" s="11">
        <v>10</v>
      </c>
      <c r="Q77" s="11">
        <v>473</v>
      </c>
      <c r="R77" s="11">
        <v>2000</v>
      </c>
      <c r="S77" s="11">
        <v>0</v>
      </c>
      <c r="T77">
        <v>1500</v>
      </c>
      <c r="V77" t="s">
        <v>250</v>
      </c>
      <c r="W77" t="s">
        <v>55</v>
      </c>
      <c r="AC77" t="s">
        <v>272</v>
      </c>
      <c r="AE77">
        <v>5.92</v>
      </c>
      <c r="AF77">
        <v>1.99</v>
      </c>
      <c r="AG77" t="s">
        <v>118</v>
      </c>
      <c r="AH77" s="12">
        <f>261*0.00008617333262/0.00831446261815324</f>
        <v>2.7050743802388544</v>
      </c>
      <c r="AI77">
        <v>0.49727999999999994</v>
      </c>
      <c r="AJ77" t="s">
        <v>121</v>
      </c>
      <c r="AK77">
        <v>2.19</v>
      </c>
      <c r="AL77">
        <v>1.0900000000000001</v>
      </c>
      <c r="AM77" t="s">
        <v>118</v>
      </c>
      <c r="AN77">
        <f>146*0.00008617333262/0.00831446261815324</f>
        <v>1.5131833697887844</v>
      </c>
      <c r="AO77">
        <v>0.27971999999999997</v>
      </c>
      <c r="AP77" t="s">
        <v>121</v>
      </c>
      <c r="AQ77">
        <v>-1.28</v>
      </c>
      <c r="AR77">
        <v>0.56999999999999995</v>
      </c>
      <c r="AS77" t="s">
        <v>118</v>
      </c>
      <c r="AT77">
        <f>92*0.00008617333262/0.00831446261815324</f>
        <v>0.95351280836005603</v>
      </c>
      <c r="AU77">
        <f>9*0.00008617333262/0.00831446261815324</f>
        <v>9.3278426904788089E-2</v>
      </c>
      <c r="AV77" t="s">
        <v>121</v>
      </c>
      <c r="AW77">
        <f>-2.99*0.00008617333262/0.00831446261815324</f>
        <v>-3.0989166271701819E-2</v>
      </c>
      <c r="AX77">
        <f>0.69*0.00008617333262/0.00831446261815324</f>
        <v>7.1513460627004198E-3</v>
      </c>
      <c r="AY77" t="s">
        <v>122</v>
      </c>
      <c r="AZ77">
        <v>0.33333333333333331</v>
      </c>
      <c r="BB77" t="s">
        <v>122</v>
      </c>
    </row>
    <row r="78" spans="1:77" customFormat="1" ht="45" customHeight="1" x14ac:dyDescent="0.2">
      <c r="A78" t="s">
        <v>247</v>
      </c>
      <c r="B78" t="s">
        <v>248</v>
      </c>
      <c r="C78">
        <v>2014</v>
      </c>
      <c r="D78" t="s">
        <v>249</v>
      </c>
      <c r="E78" t="s">
        <v>65</v>
      </c>
      <c r="F78" t="s">
        <v>65</v>
      </c>
      <c r="G78" t="s">
        <v>200</v>
      </c>
      <c r="H78" t="s">
        <v>392</v>
      </c>
      <c r="I78" t="s">
        <v>288</v>
      </c>
      <c r="J78" t="s">
        <v>318</v>
      </c>
      <c r="K78" t="s">
        <v>522</v>
      </c>
      <c r="L78" t="s">
        <v>275</v>
      </c>
      <c r="M78" t="s">
        <v>279</v>
      </c>
      <c r="N78" s="11"/>
      <c r="O78" s="11">
        <v>1E-3</v>
      </c>
      <c r="P78" s="11">
        <v>10</v>
      </c>
      <c r="Q78" s="11">
        <v>473</v>
      </c>
      <c r="R78" s="11">
        <v>2000</v>
      </c>
      <c r="S78" s="11">
        <v>0</v>
      </c>
      <c r="T78">
        <v>1500</v>
      </c>
      <c r="V78" t="s">
        <v>250</v>
      </c>
      <c r="W78" t="s">
        <v>55</v>
      </c>
      <c r="AC78" t="s">
        <v>273</v>
      </c>
      <c r="AE78">
        <v>5.45</v>
      </c>
      <c r="AF78">
        <v>2.0699999999999998</v>
      </c>
      <c r="AG78" t="s">
        <v>118</v>
      </c>
      <c r="AH78" s="12">
        <f>268*0.00008617333262/0.00831446261815324</f>
        <v>2.7776242678314675</v>
      </c>
      <c r="AI78">
        <f>55*0.00008617333262/0.00831446261815324</f>
        <v>0.57003483108481612</v>
      </c>
      <c r="AJ78" t="s">
        <v>121</v>
      </c>
      <c r="AK78">
        <v>2.38</v>
      </c>
      <c r="AL78">
        <v>1.1000000000000001</v>
      </c>
      <c r="AM78" t="s">
        <v>118</v>
      </c>
      <c r="AN78">
        <f>141*0.00008617333262/0.00831446261815324</f>
        <v>1.4613620215083465</v>
      </c>
      <c r="AO78">
        <v>0.21755999999999998</v>
      </c>
      <c r="AP78" t="s">
        <v>121</v>
      </c>
      <c r="AQ78">
        <f>-0.51</f>
        <v>-0.51</v>
      </c>
      <c r="AR78">
        <v>0.99</v>
      </c>
      <c r="AS78" t="s">
        <v>118</v>
      </c>
      <c r="AT78">
        <f>95*0.00008617333262/0.00831446261815324</f>
        <v>0.98460561732831875</v>
      </c>
      <c r="AU78">
        <v>0.13467999999999999</v>
      </c>
      <c r="AV78" t="s">
        <v>121</v>
      </c>
      <c r="AW78">
        <f>-1.03*0.00008617333262/0.00831446261815324</f>
        <v>-1.0675197745770193E-2</v>
      </c>
      <c r="AX78">
        <f>0.69*0.00008617333262/0.00831446261815324</f>
        <v>7.1513460627004198E-3</v>
      </c>
      <c r="AY78" t="s">
        <v>122</v>
      </c>
      <c r="AZ78">
        <v>0.33333333333333331</v>
      </c>
      <c r="BB78" t="s">
        <v>122</v>
      </c>
    </row>
    <row r="79" spans="1:77" customFormat="1" ht="45" customHeight="1" x14ac:dyDescent="0.2">
      <c r="A79" t="s">
        <v>247</v>
      </c>
      <c r="B79" t="s">
        <v>248</v>
      </c>
      <c r="C79">
        <v>2014</v>
      </c>
      <c r="D79" t="s">
        <v>249</v>
      </c>
      <c r="E79" t="s">
        <v>65</v>
      </c>
      <c r="F79" t="s">
        <v>65</v>
      </c>
      <c r="G79" t="s">
        <v>200</v>
      </c>
      <c r="H79" t="s">
        <v>392</v>
      </c>
      <c r="I79" t="s">
        <v>288</v>
      </c>
      <c r="J79" t="s">
        <v>318</v>
      </c>
      <c r="K79" t="s">
        <v>523</v>
      </c>
      <c r="L79" t="s">
        <v>275</v>
      </c>
      <c r="M79" t="s">
        <v>279</v>
      </c>
      <c r="N79" s="11"/>
      <c r="O79" s="11">
        <v>1E-3</v>
      </c>
      <c r="P79" s="11">
        <v>10</v>
      </c>
      <c r="Q79" s="11">
        <v>473</v>
      </c>
      <c r="R79" s="11">
        <v>2000</v>
      </c>
      <c r="S79" s="11">
        <v>0</v>
      </c>
      <c r="T79">
        <v>1500</v>
      </c>
      <c r="V79" t="s">
        <v>250</v>
      </c>
      <c r="W79" t="s">
        <v>55</v>
      </c>
      <c r="AC79" t="s">
        <v>271</v>
      </c>
      <c r="AE79">
        <v>4.67</v>
      </c>
      <c r="AF79">
        <v>1.94</v>
      </c>
      <c r="AG79" t="s">
        <v>118</v>
      </c>
      <c r="AH79" s="12">
        <f>234*0.00008617333262/0.00831446261815324</f>
        <v>2.4252390995244903</v>
      </c>
      <c r="AI79">
        <v>0.48691999999999996</v>
      </c>
      <c r="AJ79" t="s">
        <v>121</v>
      </c>
      <c r="AK79">
        <v>2.5099999999999998</v>
      </c>
      <c r="AL79">
        <v>1.06</v>
      </c>
      <c r="AM79" t="s">
        <v>118</v>
      </c>
      <c r="AN79">
        <f>146*0.00008617333262/0.00831446261815324</f>
        <v>1.5131833697887844</v>
      </c>
      <c r="AO79">
        <v>0.24863999999999997</v>
      </c>
      <c r="AP79" t="s">
        <v>121</v>
      </c>
      <c r="AQ79">
        <v>-1.77</v>
      </c>
      <c r="AR79">
        <v>0.69</v>
      </c>
      <c r="AS79" t="s">
        <v>118</v>
      </c>
      <c r="AT79">
        <f>81*0.00008617333262/0.00831446261815324</f>
        <v>0.83950584214309276</v>
      </c>
      <c r="AU79">
        <v>9.323999999999999E-2</v>
      </c>
      <c r="AV79" t="s">
        <v>121</v>
      </c>
      <c r="AW79">
        <f>-2.25*0.00008617333262/0.00831446261815324</f>
        <v>-2.3319606726197022E-2</v>
      </c>
      <c r="AX79">
        <f>0.55*0.00008617333262/0.00831446261815324</f>
        <v>5.7003483108481606E-3</v>
      </c>
      <c r="AY79" t="s">
        <v>122</v>
      </c>
      <c r="AZ79">
        <v>0.33333333333333331</v>
      </c>
      <c r="BB79" t="s">
        <v>122</v>
      </c>
    </row>
    <row r="80" spans="1:77" ht="45" customHeight="1" x14ac:dyDescent="0.2">
      <c r="A80" s="1" t="s">
        <v>251</v>
      </c>
      <c r="B80" s="1" t="s">
        <v>252</v>
      </c>
      <c r="C80">
        <v>2016</v>
      </c>
      <c r="D80" s="6" t="s">
        <v>253</v>
      </c>
      <c r="E80" s="1" t="s">
        <v>65</v>
      </c>
      <c r="F80" s="1" t="s">
        <v>254</v>
      </c>
      <c r="H80" s="1" t="s">
        <v>264</v>
      </c>
      <c r="I80" s="1" t="s">
        <v>265</v>
      </c>
      <c r="J80" s="1" t="s">
        <v>428</v>
      </c>
      <c r="K80" s="1" t="s">
        <v>524</v>
      </c>
      <c r="L80" s="1" t="s">
        <v>280</v>
      </c>
      <c r="M80" s="1" t="s">
        <v>279</v>
      </c>
      <c r="N80" s="3"/>
      <c r="O80" s="3">
        <v>3.5</v>
      </c>
      <c r="P80" s="3">
        <v>14.9</v>
      </c>
      <c r="Q80" s="11">
        <v>1300</v>
      </c>
      <c r="R80" s="3">
        <v>2100</v>
      </c>
      <c r="S80" s="3"/>
      <c r="T80"/>
      <c r="AB80" s="1" t="s">
        <v>137</v>
      </c>
      <c r="AC80" s="2" t="s">
        <v>272</v>
      </c>
      <c r="AE80" s="13">
        <v>110000</v>
      </c>
      <c r="AF80" s="13">
        <v>60000</v>
      </c>
      <c r="AG80" s="13" t="s">
        <v>119</v>
      </c>
      <c r="AH80" s="18">
        <v>1.75</v>
      </c>
      <c r="AI80" s="13">
        <v>0.23</v>
      </c>
      <c r="AJ80" s="13" t="s">
        <v>121</v>
      </c>
      <c r="AK80" s="13">
        <v>18.600000000000001</v>
      </c>
      <c r="AL80" s="13">
        <v>5.6</v>
      </c>
      <c r="AM80" s="13" t="s">
        <v>129</v>
      </c>
      <c r="AN80" s="13">
        <v>1300000</v>
      </c>
      <c r="AO80" s="13">
        <v>520000</v>
      </c>
      <c r="AP80" s="13" t="s">
        <v>119</v>
      </c>
      <c r="AQ80" s="13">
        <v>3.05</v>
      </c>
      <c r="AR80" s="13">
        <v>0.21</v>
      </c>
      <c r="AS80" s="13" t="s">
        <v>121</v>
      </c>
      <c r="AT80" s="13">
        <v>0.3</v>
      </c>
      <c r="AU80" s="13">
        <v>0.3</v>
      </c>
      <c r="AV80" s="13" t="s">
        <v>129</v>
      </c>
    </row>
    <row r="81" spans="1:51" ht="45" customHeight="1" x14ac:dyDescent="0.2">
      <c r="A81" s="1" t="s">
        <v>251</v>
      </c>
      <c r="B81" s="1" t="s">
        <v>252</v>
      </c>
      <c r="C81">
        <v>2016</v>
      </c>
      <c r="D81" s="6" t="s">
        <v>253</v>
      </c>
      <c r="E81" s="1" t="s">
        <v>65</v>
      </c>
      <c r="F81" s="1" t="s">
        <v>254</v>
      </c>
      <c r="H81" s="1" t="s">
        <v>264</v>
      </c>
      <c r="I81" s="1" t="s">
        <v>265</v>
      </c>
      <c r="J81" s="1" t="s">
        <v>428</v>
      </c>
      <c r="K81" s="1" t="s">
        <v>525</v>
      </c>
      <c r="L81" s="1" t="s">
        <v>280</v>
      </c>
      <c r="M81" s="1" t="s">
        <v>279</v>
      </c>
      <c r="N81" s="3"/>
      <c r="O81" s="3">
        <v>3.5</v>
      </c>
      <c r="P81" s="3">
        <v>14.9</v>
      </c>
      <c r="Q81" s="11">
        <v>1300</v>
      </c>
      <c r="R81" s="3">
        <v>2100</v>
      </c>
      <c r="S81" s="3"/>
      <c r="AB81" s="1" t="s">
        <v>137</v>
      </c>
      <c r="AC81" s="2" t="s">
        <v>273</v>
      </c>
      <c r="AE81" s="13">
        <v>340000</v>
      </c>
      <c r="AF81" s="13">
        <v>3500</v>
      </c>
      <c r="AG81" s="13" t="s">
        <v>119</v>
      </c>
      <c r="AH81" s="18">
        <v>2.38</v>
      </c>
      <c r="AI81" s="13">
        <v>0.11</v>
      </c>
      <c r="AJ81" s="13" t="s">
        <v>121</v>
      </c>
      <c r="AK81" s="13">
        <v>6.9</v>
      </c>
      <c r="AL81" s="13">
        <v>0.5</v>
      </c>
      <c r="AM81" s="13" t="s">
        <v>129</v>
      </c>
      <c r="AN81" s="13">
        <v>11000</v>
      </c>
      <c r="AO81" s="13">
        <v>4000</v>
      </c>
      <c r="AP81" s="13" t="s">
        <v>119</v>
      </c>
      <c r="AQ81" s="13">
        <v>2.23</v>
      </c>
      <c r="AR81" s="13">
        <v>0.06</v>
      </c>
      <c r="AS81" s="13" t="s">
        <v>121</v>
      </c>
      <c r="AT81" s="13">
        <v>-0.8</v>
      </c>
      <c r="AU81" s="13">
        <v>0.3</v>
      </c>
      <c r="AV81" s="13" t="s">
        <v>129</v>
      </c>
    </row>
    <row r="82" spans="1:51" ht="45" customHeight="1" x14ac:dyDescent="0.2">
      <c r="A82" s="1" t="s">
        <v>251</v>
      </c>
      <c r="B82" s="1" t="s">
        <v>252</v>
      </c>
      <c r="C82">
        <v>2016</v>
      </c>
      <c r="D82" s="6" t="s">
        <v>253</v>
      </c>
      <c r="E82" s="1" t="s">
        <v>65</v>
      </c>
      <c r="F82" s="1" t="s">
        <v>254</v>
      </c>
      <c r="H82" s="1" t="s">
        <v>264</v>
      </c>
      <c r="I82" s="1" t="s">
        <v>265</v>
      </c>
      <c r="J82" s="1" t="s">
        <v>428</v>
      </c>
      <c r="K82" s="1" t="s">
        <v>526</v>
      </c>
      <c r="L82" s="1" t="s">
        <v>280</v>
      </c>
      <c r="M82" s="1" t="s">
        <v>279</v>
      </c>
      <c r="N82" s="3"/>
      <c r="O82" s="3">
        <v>3.5</v>
      </c>
      <c r="P82" s="3">
        <v>14.9</v>
      </c>
      <c r="Q82" s="11">
        <v>1300</v>
      </c>
      <c r="R82" s="3">
        <v>2100</v>
      </c>
      <c r="S82" s="3"/>
      <c r="AB82" s="1" t="s">
        <v>137</v>
      </c>
      <c r="AC82" s="2" t="s">
        <v>271</v>
      </c>
      <c r="AE82" s="13">
        <v>10000000</v>
      </c>
      <c r="AF82" s="13">
        <v>1400000</v>
      </c>
      <c r="AG82" s="13" t="s">
        <v>119</v>
      </c>
      <c r="AH82" s="18">
        <v>2.71</v>
      </c>
      <c r="AI82" s="13">
        <v>0.22</v>
      </c>
      <c r="AJ82" s="13" t="s">
        <v>121</v>
      </c>
      <c r="AK82" s="13">
        <v>8.3000000000000007</v>
      </c>
      <c r="AL82" s="13">
        <v>1.7</v>
      </c>
      <c r="AM82" s="13" t="s">
        <v>129</v>
      </c>
      <c r="AN82" s="13">
        <v>1700000</v>
      </c>
      <c r="AO82" s="13">
        <v>190000</v>
      </c>
      <c r="AP82" s="13" t="s">
        <v>119</v>
      </c>
      <c r="AQ82" s="13">
        <v>2.93</v>
      </c>
      <c r="AR82" s="13">
        <v>0.21</v>
      </c>
      <c r="AS82" s="13" t="s">
        <v>121</v>
      </c>
      <c r="AT82" s="13">
        <v>-0.3</v>
      </c>
      <c r="AU82" s="13">
        <v>0.4</v>
      </c>
      <c r="AV82" s="13" t="s">
        <v>129</v>
      </c>
    </row>
    <row r="83" spans="1:51" customFormat="1" ht="45" customHeight="1" x14ac:dyDescent="0.2">
      <c r="A83" t="s">
        <v>257</v>
      </c>
      <c r="B83" t="s">
        <v>258</v>
      </c>
      <c r="C83">
        <v>2017</v>
      </c>
      <c r="D83" t="s">
        <v>256</v>
      </c>
      <c r="E83" t="s">
        <v>65</v>
      </c>
      <c r="F83" t="s">
        <v>65</v>
      </c>
      <c r="G83" t="s">
        <v>142</v>
      </c>
      <c r="H83" t="s">
        <v>429</v>
      </c>
      <c r="I83" t="s">
        <v>349</v>
      </c>
      <c r="J83" t="s">
        <v>319</v>
      </c>
      <c r="K83" t="s">
        <v>527</v>
      </c>
      <c r="L83" t="s">
        <v>281</v>
      </c>
      <c r="M83" t="s">
        <v>279</v>
      </c>
      <c r="N83" s="11">
        <v>2</v>
      </c>
      <c r="O83" s="11"/>
      <c r="P83" s="11"/>
      <c r="Q83" s="11">
        <v>1023</v>
      </c>
      <c r="R83" s="11">
        <v>1173</v>
      </c>
      <c r="S83" s="11">
        <v>74</v>
      </c>
      <c r="T83">
        <v>74</v>
      </c>
      <c r="V83" t="s">
        <v>282</v>
      </c>
      <c r="W83" t="s">
        <v>55</v>
      </c>
      <c r="AB83" t="s">
        <v>54</v>
      </c>
      <c r="AC83" t="s">
        <v>272</v>
      </c>
      <c r="AE83">
        <v>1.8E+42</v>
      </c>
      <c r="AG83" t="s">
        <v>122</v>
      </c>
      <c r="AH83" s="12">
        <v>-0.7</v>
      </c>
      <c r="AI83">
        <v>0.9</v>
      </c>
      <c r="AJ83" t="s">
        <v>118</v>
      </c>
      <c r="AK83">
        <f xml:space="preserve"> 229*0.00008617333262/(0.00831446261815324)</f>
        <v>2.3734177512440522</v>
      </c>
      <c r="AL83">
        <f>18*0.00008617333262/0.00831446261815324</f>
        <v>0.18655685380957618</v>
      </c>
      <c r="AM83" t="s">
        <v>121</v>
      </c>
    </row>
    <row r="84" spans="1:51" customFormat="1" ht="45" customHeight="1" x14ac:dyDescent="0.2">
      <c r="A84" t="s">
        <v>257</v>
      </c>
      <c r="B84" t="s">
        <v>258</v>
      </c>
      <c r="C84">
        <v>2017</v>
      </c>
      <c r="D84" t="s">
        <v>256</v>
      </c>
      <c r="E84" t="s">
        <v>65</v>
      </c>
      <c r="F84" t="s">
        <v>65</v>
      </c>
      <c r="G84" t="s">
        <v>142</v>
      </c>
      <c r="H84" t="s">
        <v>263</v>
      </c>
      <c r="I84" t="s">
        <v>349</v>
      </c>
      <c r="J84" t="s">
        <v>319</v>
      </c>
      <c r="K84" t="s">
        <v>528</v>
      </c>
      <c r="L84" t="s">
        <v>281</v>
      </c>
      <c r="M84" t="s">
        <v>279</v>
      </c>
      <c r="N84" s="11">
        <v>2</v>
      </c>
      <c r="O84" s="11"/>
      <c r="P84" s="11"/>
      <c r="Q84" s="11">
        <v>1023</v>
      </c>
      <c r="R84" s="11">
        <v>1173</v>
      </c>
      <c r="S84" s="11">
        <v>74</v>
      </c>
      <c r="T84">
        <v>74</v>
      </c>
      <c r="V84" t="s">
        <v>282</v>
      </c>
      <c r="W84" t="s">
        <v>55</v>
      </c>
      <c r="AB84" t="s">
        <v>54</v>
      </c>
      <c r="AC84" t="s">
        <v>273</v>
      </c>
      <c r="AE84">
        <v>1.8E+42</v>
      </c>
      <c r="AG84" t="s">
        <v>122</v>
      </c>
      <c r="AH84" s="12">
        <v>-5</v>
      </c>
      <c r="AI84">
        <v>0.9</v>
      </c>
      <c r="AJ84" t="s">
        <v>118</v>
      </c>
      <c r="AK84">
        <f xml:space="preserve"> 172*0.00008617333262/(0.00831446261815324)</f>
        <v>1.7826543808470612</v>
      </c>
      <c r="AL84">
        <f>19*0.00008617333262/0.00831446261815324</f>
        <v>0.19692112346566373</v>
      </c>
      <c r="AM84" t="s">
        <v>121</v>
      </c>
    </row>
    <row r="85" spans="1:51" customFormat="1" ht="45" customHeight="1" x14ac:dyDescent="0.2">
      <c r="A85" t="s">
        <v>257</v>
      </c>
      <c r="B85" t="s">
        <v>258</v>
      </c>
      <c r="C85">
        <v>2017</v>
      </c>
      <c r="D85" t="s">
        <v>256</v>
      </c>
      <c r="E85" t="s">
        <v>65</v>
      </c>
      <c r="F85" t="s">
        <v>65</v>
      </c>
      <c r="G85" t="s">
        <v>142</v>
      </c>
      <c r="H85" t="s">
        <v>263</v>
      </c>
      <c r="I85" t="s">
        <v>349</v>
      </c>
      <c r="J85" t="s">
        <v>319</v>
      </c>
      <c r="K85" t="s">
        <v>529</v>
      </c>
      <c r="L85" t="s">
        <v>281</v>
      </c>
      <c r="M85" t="s">
        <v>279</v>
      </c>
      <c r="N85" s="11">
        <v>2</v>
      </c>
      <c r="O85" s="11"/>
      <c r="P85" s="11"/>
      <c r="Q85" s="11">
        <v>1023</v>
      </c>
      <c r="R85" s="11">
        <v>1173</v>
      </c>
      <c r="S85" s="11">
        <v>74</v>
      </c>
      <c r="T85">
        <v>74</v>
      </c>
      <c r="V85" t="s">
        <v>282</v>
      </c>
      <c r="W85" t="s">
        <v>55</v>
      </c>
      <c r="AB85" t="s">
        <v>54</v>
      </c>
      <c r="AC85" t="s">
        <v>271</v>
      </c>
      <c r="AE85">
        <v>1.8E+42</v>
      </c>
      <c r="AG85" t="s">
        <v>122</v>
      </c>
      <c r="AH85" s="12">
        <v>-3.5</v>
      </c>
      <c r="AI85">
        <v>0.4</v>
      </c>
      <c r="AJ85" t="s">
        <v>118</v>
      </c>
      <c r="AK85">
        <f>188*0.00008617333262/(0.00831446261815324)</f>
        <v>1.9484826953444621</v>
      </c>
      <c r="AL85">
        <f>8*0.00008617333262/0.00831446261815324</f>
        <v>8.2914157248700521E-2</v>
      </c>
      <c r="AM85" t="s">
        <v>121</v>
      </c>
    </row>
    <row r="86" spans="1:51" customFormat="1" ht="45" customHeight="1" x14ac:dyDescent="0.2">
      <c r="A86" t="s">
        <v>259</v>
      </c>
      <c r="B86" t="s">
        <v>260</v>
      </c>
      <c r="C86">
        <v>2019</v>
      </c>
      <c r="D86" t="s">
        <v>261</v>
      </c>
      <c r="E86" t="s">
        <v>65</v>
      </c>
      <c r="F86" t="s">
        <v>65</v>
      </c>
      <c r="G86" t="s">
        <v>142</v>
      </c>
      <c r="H86" t="s">
        <v>262</v>
      </c>
      <c r="I86" t="s">
        <v>266</v>
      </c>
      <c r="J86" t="s">
        <v>320</v>
      </c>
      <c r="K86" t="s">
        <v>530</v>
      </c>
      <c r="L86" t="s">
        <v>281</v>
      </c>
      <c r="M86" t="s">
        <v>278</v>
      </c>
      <c r="N86" s="11"/>
      <c r="O86" s="11">
        <v>3</v>
      </c>
      <c r="P86" s="11">
        <v>13</v>
      </c>
      <c r="Q86" s="11">
        <v>1000</v>
      </c>
      <c r="R86" s="11">
        <v>1300</v>
      </c>
      <c r="S86" s="11">
        <v>136</v>
      </c>
      <c r="T86">
        <v>1648</v>
      </c>
      <c r="V86" t="s">
        <v>64</v>
      </c>
      <c r="W86" t="s">
        <v>55</v>
      </c>
      <c r="AC86" t="s">
        <v>272</v>
      </c>
      <c r="AE86">
        <f>0.25*1.16869306579728E+42</f>
        <v>2.9217326644932E+41</v>
      </c>
      <c r="AG86" t="s">
        <v>122</v>
      </c>
      <c r="AH86" s="12">
        <v>-5</v>
      </c>
      <c r="AI86">
        <v>0.5</v>
      </c>
      <c r="AJ86" t="s">
        <v>118</v>
      </c>
      <c r="AK86">
        <v>0.28000000000000003</v>
      </c>
      <c r="AL86">
        <v>0.03</v>
      </c>
      <c r="AM86" t="s">
        <v>122</v>
      </c>
      <c r="AN86">
        <f>140*0.00008617333262/(0.00831446261815324)</f>
        <v>1.4509977518522592</v>
      </c>
      <c r="AO86">
        <f>11*0.00008617333262/(0.00831446261815324)</f>
        <v>0.11400696621696321</v>
      </c>
      <c r="AP86" t="s">
        <v>121</v>
      </c>
    </row>
    <row r="87" spans="1:51" customFormat="1" ht="45" customHeight="1" x14ac:dyDescent="0.2">
      <c r="A87" t="s">
        <v>259</v>
      </c>
      <c r="B87" t="s">
        <v>260</v>
      </c>
      <c r="C87">
        <v>2019</v>
      </c>
      <c r="D87" t="s">
        <v>261</v>
      </c>
      <c r="E87" t="s">
        <v>65</v>
      </c>
      <c r="F87" t="s">
        <v>65</v>
      </c>
      <c r="G87" t="s">
        <v>142</v>
      </c>
      <c r="H87" t="s">
        <v>262</v>
      </c>
      <c r="I87" t="s">
        <v>266</v>
      </c>
      <c r="J87" t="s">
        <v>320</v>
      </c>
      <c r="K87" t="s">
        <v>531</v>
      </c>
      <c r="L87" t="s">
        <v>281</v>
      </c>
      <c r="M87" t="s">
        <v>278</v>
      </c>
      <c r="N87" s="11"/>
      <c r="O87" s="11">
        <v>3</v>
      </c>
      <c r="P87" s="11">
        <v>13</v>
      </c>
      <c r="Q87" s="11">
        <v>1000</v>
      </c>
      <c r="R87" s="11">
        <v>1300</v>
      </c>
      <c r="S87" s="11">
        <v>136</v>
      </c>
      <c r="T87">
        <v>1648</v>
      </c>
      <c r="V87" t="s">
        <v>64</v>
      </c>
      <c r="W87" t="s">
        <v>55</v>
      </c>
      <c r="AC87" t="s">
        <v>271</v>
      </c>
      <c r="AE87">
        <f>0.25*1.16869306579728E+42</f>
        <v>2.9217326644932E+41</v>
      </c>
      <c r="AG87" t="s">
        <v>122</v>
      </c>
      <c r="AH87" s="12">
        <v>-8.1999999999999993</v>
      </c>
      <c r="AI87">
        <v>0.9</v>
      </c>
      <c r="AJ87" t="s">
        <v>118</v>
      </c>
      <c r="AK87">
        <v>0.55000000000000004</v>
      </c>
      <c r="AL87">
        <v>0.01</v>
      </c>
      <c r="AM87" t="s">
        <v>122</v>
      </c>
      <c r="AN87">
        <f>95*0.00008617333262/(0.00831446261815324)</f>
        <v>0.98460561732831875</v>
      </c>
      <c r="AO87">
        <f>19*0.00008617333262/(0.00831446261815324)</f>
        <v>0.19692112346566373</v>
      </c>
      <c r="AP87" t="s">
        <v>121</v>
      </c>
    </row>
    <row r="88" spans="1:51" s="17" customFormat="1" ht="45" customHeight="1" x14ac:dyDescent="0.2">
      <c r="A88" s="17" t="s">
        <v>267</v>
      </c>
      <c r="B88" s="17" t="s">
        <v>268</v>
      </c>
      <c r="C88" s="17">
        <v>2020</v>
      </c>
      <c r="D88" s="17" t="s">
        <v>269</v>
      </c>
      <c r="E88" s="17" t="s">
        <v>65</v>
      </c>
      <c r="F88" s="17" t="s">
        <v>65</v>
      </c>
      <c r="G88" s="17" t="s">
        <v>62</v>
      </c>
      <c r="H88" s="17" t="s">
        <v>270</v>
      </c>
      <c r="I88" s="17" t="s">
        <v>287</v>
      </c>
      <c r="J88" s="17" t="s">
        <v>321</v>
      </c>
      <c r="K88" s="17" t="s">
        <v>532</v>
      </c>
      <c r="L88" s="17" t="s">
        <v>275</v>
      </c>
      <c r="M88" s="17" t="s">
        <v>279</v>
      </c>
      <c r="N88" s="21"/>
      <c r="O88" s="21">
        <v>2</v>
      </c>
      <c r="P88" s="21">
        <v>10</v>
      </c>
      <c r="Q88" s="21">
        <v>1480</v>
      </c>
      <c r="R88" s="21">
        <v>2180</v>
      </c>
      <c r="S88" s="21">
        <v>18</v>
      </c>
      <c r="T88" s="17">
        <v>580</v>
      </c>
      <c r="V88" s="17" t="s">
        <v>431</v>
      </c>
      <c r="W88" s="17" t="s">
        <v>55</v>
      </c>
      <c r="AB88" s="17" t="s">
        <v>61</v>
      </c>
      <c r="AC88" s="17" t="s">
        <v>272</v>
      </c>
      <c r="AD88" s="17" t="s">
        <v>432</v>
      </c>
      <c r="AE88" s="17">
        <v>9.9</v>
      </c>
      <c r="AF88" s="17">
        <v>0.5</v>
      </c>
      <c r="AG88" s="17" t="s">
        <v>118</v>
      </c>
      <c r="AH88" s="17">
        <v>1.3</v>
      </c>
      <c r="AI88" s="17">
        <v>0.2</v>
      </c>
      <c r="AJ88" s="17" t="s">
        <v>122</v>
      </c>
      <c r="AK88" s="17">
        <f>337*0.00008617333262/(0.00831446261815324)</f>
        <v>3.4927588741015096</v>
      </c>
      <c r="AL88" s="17">
        <f>15*0.00008617333262/(0.00831446261815324)</f>
        <v>0.15546404484131346</v>
      </c>
      <c r="AM88" s="17" t="s">
        <v>121</v>
      </c>
      <c r="AN88" s="17">
        <v>4.2</v>
      </c>
      <c r="AO88" s="17">
        <v>0.4</v>
      </c>
      <c r="AP88" s="17" t="s">
        <v>129</v>
      </c>
      <c r="AQ88" s="17">
        <v>1.48</v>
      </c>
      <c r="AR88" s="17">
        <v>0.2</v>
      </c>
      <c r="AS88" s="17" t="s">
        <v>118</v>
      </c>
      <c r="AT88" s="17">
        <f>117*0.00008617333262/(0.00831446261815324)</f>
        <v>1.2126195497622452</v>
      </c>
      <c r="AU88" s="17">
        <f>13*0.00008617333262/(0.00831446261815324)</f>
        <v>0.13473550552913835</v>
      </c>
      <c r="AV88" s="17" t="s">
        <v>121</v>
      </c>
      <c r="AW88" s="17">
        <v>0.5</v>
      </c>
      <c r="AX88" s="17">
        <v>0.7</v>
      </c>
      <c r="AY88" s="17" t="s">
        <v>129</v>
      </c>
    </row>
    <row r="89" spans="1:51" s="17" customFormat="1" ht="45" customHeight="1" x14ac:dyDescent="0.2">
      <c r="A89" s="17" t="s">
        <v>267</v>
      </c>
      <c r="B89" s="17" t="s">
        <v>268</v>
      </c>
      <c r="C89" s="17">
        <v>2020</v>
      </c>
      <c r="D89" s="17" t="s">
        <v>269</v>
      </c>
      <c r="E89" s="17" t="s">
        <v>65</v>
      </c>
      <c r="F89" s="17" t="s">
        <v>65</v>
      </c>
      <c r="G89" s="17" t="s">
        <v>62</v>
      </c>
      <c r="H89" s="17" t="s">
        <v>270</v>
      </c>
      <c r="I89" s="17" t="s">
        <v>287</v>
      </c>
      <c r="J89" s="17" t="s">
        <v>321</v>
      </c>
      <c r="K89" s="17" t="s">
        <v>533</v>
      </c>
      <c r="L89" s="17" t="s">
        <v>275</v>
      </c>
      <c r="M89" s="17" t="s">
        <v>279</v>
      </c>
      <c r="N89" s="21"/>
      <c r="O89" s="21">
        <v>2</v>
      </c>
      <c r="P89" s="21">
        <v>10</v>
      </c>
      <c r="Q89" s="21">
        <v>1480</v>
      </c>
      <c r="R89" s="21">
        <v>2180</v>
      </c>
      <c r="S89" s="21">
        <v>18</v>
      </c>
      <c r="T89" s="17">
        <v>580</v>
      </c>
      <c r="V89" s="17" t="s">
        <v>431</v>
      </c>
      <c r="W89" s="17" t="s">
        <v>55</v>
      </c>
      <c r="AB89" s="17" t="s">
        <v>61</v>
      </c>
      <c r="AC89" s="17" t="s">
        <v>273</v>
      </c>
      <c r="AD89" s="17" t="s">
        <v>433</v>
      </c>
      <c r="AE89" s="17">
        <v>11.6</v>
      </c>
      <c r="AF89" s="17">
        <v>0.4</v>
      </c>
      <c r="AG89" s="17" t="s">
        <v>118</v>
      </c>
      <c r="AH89" s="17">
        <v>1.3</v>
      </c>
      <c r="AI89" s="17">
        <v>0.2</v>
      </c>
      <c r="AJ89" s="17" t="s">
        <v>122</v>
      </c>
      <c r="AK89" s="17">
        <f>396*0.00008617333262/(0.00831446261815324)</f>
        <v>4.1042507838106754</v>
      </c>
      <c r="AL89" s="17">
        <f>25*0.00008617333262/(0.00831446261815324)</f>
        <v>0.25910674140218909</v>
      </c>
      <c r="AM89" s="17" t="s">
        <v>121</v>
      </c>
      <c r="AN89" s="17">
        <v>3.2</v>
      </c>
      <c r="AO89" s="17">
        <v>0.2</v>
      </c>
      <c r="AP89" s="17" t="s">
        <v>129</v>
      </c>
      <c r="AQ89" s="17">
        <v>2.75</v>
      </c>
      <c r="AR89" s="17">
        <v>0.2</v>
      </c>
      <c r="AS89" s="17" t="s">
        <v>118</v>
      </c>
      <c r="AT89" s="17">
        <f>163*0.00008617333262/(0.00831446261815324)</f>
        <v>1.689375953942273</v>
      </c>
      <c r="AU89" s="17">
        <f>25*0.00008617333262/(0.0083144626181532)</f>
        <v>0.25910674140219037</v>
      </c>
      <c r="AV89" s="17" t="s">
        <v>121</v>
      </c>
      <c r="AW89" s="17">
        <v>-0.2</v>
      </c>
      <c r="AX89" s="17">
        <v>0.2</v>
      </c>
      <c r="AY89" s="17" t="s">
        <v>129</v>
      </c>
    </row>
    <row r="90" spans="1:51" s="17" customFormat="1" ht="45" customHeight="1" x14ac:dyDescent="0.2">
      <c r="A90" s="17" t="s">
        <v>267</v>
      </c>
      <c r="B90" s="17" t="s">
        <v>268</v>
      </c>
      <c r="C90" s="17">
        <v>2020</v>
      </c>
      <c r="D90" s="17" t="s">
        <v>269</v>
      </c>
      <c r="E90" s="17" t="s">
        <v>65</v>
      </c>
      <c r="F90" s="17" t="s">
        <v>65</v>
      </c>
      <c r="G90" s="17" t="s">
        <v>62</v>
      </c>
      <c r="H90" s="17" t="s">
        <v>270</v>
      </c>
      <c r="I90" s="17" t="s">
        <v>287</v>
      </c>
      <c r="J90" s="17" t="s">
        <v>321</v>
      </c>
      <c r="K90" s="17" t="s">
        <v>534</v>
      </c>
      <c r="L90" s="17" t="s">
        <v>275</v>
      </c>
      <c r="M90" s="17" t="s">
        <v>279</v>
      </c>
      <c r="N90" s="21"/>
      <c r="O90" s="21">
        <v>2</v>
      </c>
      <c r="P90" s="21">
        <v>10</v>
      </c>
      <c r="Q90" s="21">
        <v>1480</v>
      </c>
      <c r="R90" s="21">
        <v>2180</v>
      </c>
      <c r="S90" s="21">
        <v>18</v>
      </c>
      <c r="T90" s="17">
        <v>580</v>
      </c>
      <c r="V90" s="17" t="s">
        <v>431</v>
      </c>
      <c r="W90" s="17" t="s">
        <v>55</v>
      </c>
      <c r="AB90" s="17" t="s">
        <v>61</v>
      </c>
      <c r="AC90" s="17" t="s">
        <v>271</v>
      </c>
      <c r="AD90" s="17" t="s">
        <v>430</v>
      </c>
      <c r="AE90" s="17">
        <v>11.78</v>
      </c>
      <c r="AF90" s="17">
        <v>0.4</v>
      </c>
      <c r="AG90" s="17" t="s">
        <v>118</v>
      </c>
      <c r="AH90" s="17">
        <v>1.3</v>
      </c>
      <c r="AI90" s="17">
        <v>0.2</v>
      </c>
      <c r="AJ90" s="17" t="s">
        <v>122</v>
      </c>
      <c r="AK90" s="17">
        <f>385*0.00008617333262/(0.00831446261815324)</f>
        <v>3.9902438175937132</v>
      </c>
      <c r="AL90" s="17">
        <f>15*0.00008617333262/(0.00831446261815324)</f>
        <v>0.15546404484131346</v>
      </c>
      <c r="AM90" s="17" t="s">
        <v>121</v>
      </c>
      <c r="AN90" s="17">
        <v>4.0999999999999996</v>
      </c>
      <c r="AO90" s="17">
        <v>0.4</v>
      </c>
      <c r="AP90" s="17" t="s">
        <v>129</v>
      </c>
      <c r="AQ90" s="17">
        <v>2.72</v>
      </c>
      <c r="AR90" s="17">
        <v>0.3</v>
      </c>
      <c r="AS90" s="17" t="s">
        <v>118</v>
      </c>
      <c r="AT90" s="17">
        <f>139*0.00008617333262/(0.00831446261815324)</f>
        <v>1.4406334821961717</v>
      </c>
      <c r="AU90" s="17">
        <f>13*0.00008617333262/(0.00831446261815324)</f>
        <v>0.13473550552913835</v>
      </c>
      <c r="AV90" s="17" t="s">
        <v>121</v>
      </c>
      <c r="AW90" s="17">
        <v>0.5</v>
      </c>
      <c r="AX90" s="17">
        <v>0.7</v>
      </c>
      <c r="AY90" s="17" t="s">
        <v>129</v>
      </c>
    </row>
    <row r="91" spans="1:51" ht="45" customHeight="1" x14ac:dyDescent="0.2">
      <c r="A91" s="8" t="s">
        <v>323</v>
      </c>
      <c r="B91" s="1" t="s">
        <v>324</v>
      </c>
      <c r="C91" s="1">
        <v>2012</v>
      </c>
      <c r="D91" s="1" t="s">
        <v>325</v>
      </c>
      <c r="E91" s="1" t="s">
        <v>65</v>
      </c>
      <c r="F91" s="1" t="s">
        <v>65</v>
      </c>
      <c r="G91" s="1" t="s">
        <v>62</v>
      </c>
      <c r="H91" s="1" t="s">
        <v>69</v>
      </c>
      <c r="I91" s="1" t="s">
        <v>15</v>
      </c>
      <c r="J91" s="9" t="s">
        <v>406</v>
      </c>
      <c r="K91" s="1" t="s">
        <v>452</v>
      </c>
      <c r="L91" s="1" t="s">
        <v>275</v>
      </c>
      <c r="M91" s="1" t="s">
        <v>279</v>
      </c>
      <c r="N91" s="3">
        <v>0.1</v>
      </c>
      <c r="O91" s="3"/>
      <c r="P91" s="3"/>
      <c r="Q91" s="3">
        <v>473.15</v>
      </c>
      <c r="R91" s="3">
        <v>1073.1500000000001</v>
      </c>
      <c r="S91" s="3">
        <v>35</v>
      </c>
      <c r="T91" s="1">
        <v>40</v>
      </c>
      <c r="V91" t="s">
        <v>329</v>
      </c>
      <c r="W91" s="1" t="s">
        <v>55</v>
      </c>
      <c r="AB91" s="1" t="s">
        <v>54</v>
      </c>
      <c r="AC91" s="2" t="s">
        <v>272</v>
      </c>
      <c r="AE91" s="13">
        <v>0.93</v>
      </c>
      <c r="AF91" s="13">
        <v>0.26</v>
      </c>
      <c r="AG91" s="13" t="s">
        <v>118</v>
      </c>
      <c r="AH91" s="18">
        <v>0.95311999999999997</v>
      </c>
      <c r="AI91" s="13">
        <v>4.1439999999999998E-2</v>
      </c>
      <c r="AJ91" s="13" t="s">
        <v>121</v>
      </c>
    </row>
    <row r="92" spans="1:51" ht="45" customHeight="1" x14ac:dyDescent="0.2">
      <c r="A92" s="8" t="s">
        <v>323</v>
      </c>
      <c r="B92" s="1" t="s">
        <v>324</v>
      </c>
      <c r="C92" s="1">
        <v>2012</v>
      </c>
      <c r="D92" s="1" t="s">
        <v>325</v>
      </c>
      <c r="E92" s="1" t="s">
        <v>65</v>
      </c>
      <c r="F92" s="1" t="s">
        <v>65</v>
      </c>
      <c r="G92" s="1" t="s">
        <v>62</v>
      </c>
      <c r="H92" s="1" t="s">
        <v>69</v>
      </c>
      <c r="I92" s="1" t="s">
        <v>15</v>
      </c>
      <c r="J92" s="9" t="s">
        <v>406</v>
      </c>
      <c r="K92" s="1" t="s">
        <v>453</v>
      </c>
      <c r="L92" s="1" t="s">
        <v>275</v>
      </c>
      <c r="M92" s="1" t="s">
        <v>279</v>
      </c>
      <c r="N92" s="3">
        <v>0.1</v>
      </c>
      <c r="O92" s="3"/>
      <c r="P92" s="3"/>
      <c r="Q92" s="3">
        <v>473.15</v>
      </c>
      <c r="R92" s="3">
        <v>1073.1500000000001</v>
      </c>
      <c r="S92" s="3">
        <v>35</v>
      </c>
      <c r="T92" s="1">
        <v>40</v>
      </c>
      <c r="V92" t="s">
        <v>329</v>
      </c>
      <c r="W92" s="1" t="s">
        <v>55</v>
      </c>
      <c r="AB92" s="1" t="s">
        <v>54</v>
      </c>
      <c r="AC92" s="2" t="s">
        <v>273</v>
      </c>
      <c r="AE92" s="13">
        <v>0.93</v>
      </c>
      <c r="AF92" s="13">
        <v>0.52</v>
      </c>
      <c r="AG92" s="13" t="s">
        <v>118</v>
      </c>
      <c r="AH92" s="18">
        <v>0.95311999999999997</v>
      </c>
      <c r="AI92" s="13">
        <v>7.2520000000000001E-2</v>
      </c>
      <c r="AJ92" s="13" t="s">
        <v>121</v>
      </c>
    </row>
    <row r="93" spans="1:51" ht="45" customHeight="1" x14ac:dyDescent="0.2">
      <c r="A93" s="8" t="s">
        <v>323</v>
      </c>
      <c r="B93" s="1" t="s">
        <v>324</v>
      </c>
      <c r="C93" s="1">
        <v>2012</v>
      </c>
      <c r="D93" s="1" t="s">
        <v>325</v>
      </c>
      <c r="E93" s="1" t="s">
        <v>65</v>
      </c>
      <c r="F93" s="1" t="s">
        <v>65</v>
      </c>
      <c r="G93" s="1" t="s">
        <v>62</v>
      </c>
      <c r="H93" s="1" t="s">
        <v>69</v>
      </c>
      <c r="I93" s="1" t="s">
        <v>15</v>
      </c>
      <c r="J93" s="9" t="s">
        <v>406</v>
      </c>
      <c r="K93" s="1" t="s">
        <v>454</v>
      </c>
      <c r="L93" s="1" t="s">
        <v>275</v>
      </c>
      <c r="M93" s="1" t="s">
        <v>279</v>
      </c>
      <c r="N93" s="3">
        <v>0.1</v>
      </c>
      <c r="O93" s="3"/>
      <c r="P93" s="3"/>
      <c r="Q93" s="3">
        <v>473.15</v>
      </c>
      <c r="R93" s="3">
        <v>1073.1500000000001</v>
      </c>
      <c r="S93" s="3">
        <v>35</v>
      </c>
      <c r="T93" s="1">
        <v>40</v>
      </c>
      <c r="V93" t="s">
        <v>329</v>
      </c>
      <c r="W93" s="1" t="s">
        <v>55</v>
      </c>
      <c r="AB93" s="1" t="s">
        <v>54</v>
      </c>
      <c r="AC93" s="2" t="s">
        <v>271</v>
      </c>
      <c r="AE93" s="13">
        <v>0.38</v>
      </c>
      <c r="AF93" s="13">
        <v>0.47</v>
      </c>
      <c r="AG93" s="13" t="s">
        <v>118</v>
      </c>
      <c r="AH93" s="18">
        <v>0.8702399999999999</v>
      </c>
      <c r="AI93" s="13">
        <v>6.2159999999999993E-2</v>
      </c>
      <c r="AJ93" s="13" t="s">
        <v>121</v>
      </c>
    </row>
    <row r="94" spans="1:51" ht="45" customHeight="1" x14ac:dyDescent="0.2">
      <c r="A94" s="8" t="s">
        <v>323</v>
      </c>
      <c r="B94" s="1" t="s">
        <v>324</v>
      </c>
      <c r="C94" s="1">
        <v>2012</v>
      </c>
      <c r="D94" s="1" t="s">
        <v>325</v>
      </c>
      <c r="E94" s="1" t="s">
        <v>31</v>
      </c>
      <c r="F94" s="1" t="s">
        <v>31</v>
      </c>
      <c r="G94" s="1" t="s">
        <v>62</v>
      </c>
      <c r="H94" s="1" t="s">
        <v>69</v>
      </c>
      <c r="I94" s="1" t="s">
        <v>15</v>
      </c>
      <c r="J94" s="9" t="s">
        <v>406</v>
      </c>
      <c r="K94" s="1" t="s">
        <v>337</v>
      </c>
      <c r="L94" s="1" t="s">
        <v>275</v>
      </c>
      <c r="M94" s="1" t="s">
        <v>279</v>
      </c>
      <c r="N94" s="3">
        <v>0.1</v>
      </c>
      <c r="O94" s="3"/>
      <c r="P94" s="3"/>
      <c r="Q94" s="3">
        <v>473.15</v>
      </c>
      <c r="R94" s="3">
        <v>1073.1500000000001</v>
      </c>
      <c r="S94" s="3">
        <v>655</v>
      </c>
      <c r="T94" s="1">
        <v>690</v>
      </c>
      <c r="V94" s="1" t="s">
        <v>330</v>
      </c>
      <c r="W94" s="1" t="s">
        <v>55</v>
      </c>
      <c r="AB94" s="1" t="s">
        <v>54</v>
      </c>
      <c r="AC94" s="2" t="s">
        <v>272</v>
      </c>
      <c r="AD94" s="2" t="s">
        <v>415</v>
      </c>
      <c r="AE94" s="13">
        <v>0.85</v>
      </c>
      <c r="AF94" s="13">
        <v>7.0000000000000007E-2</v>
      </c>
      <c r="AG94" s="13" t="s">
        <v>118</v>
      </c>
      <c r="AH94" s="18">
        <f>65*0.00008617333262 / 0.00831446261815324</f>
        <v>0.67367752764569178</v>
      </c>
      <c r="AI94" s="13">
        <v>1.0359999999999999E-2</v>
      </c>
      <c r="AJ94" s="13" t="s">
        <v>121</v>
      </c>
    </row>
    <row r="95" spans="1:51" ht="45" customHeight="1" x14ac:dyDescent="0.2">
      <c r="A95" s="8" t="s">
        <v>323</v>
      </c>
      <c r="B95" s="1" t="s">
        <v>324</v>
      </c>
      <c r="C95" s="1">
        <v>2012</v>
      </c>
      <c r="D95" s="1" t="s">
        <v>325</v>
      </c>
      <c r="E95" s="1" t="s">
        <v>31</v>
      </c>
      <c r="F95" s="1" t="s">
        <v>31</v>
      </c>
      <c r="G95" s="1" t="s">
        <v>62</v>
      </c>
      <c r="H95" s="1" t="s">
        <v>69</v>
      </c>
      <c r="I95" s="1" t="s">
        <v>15</v>
      </c>
      <c r="J95" s="9" t="s">
        <v>406</v>
      </c>
      <c r="K95" s="1" t="s">
        <v>338</v>
      </c>
      <c r="L95" s="1" t="s">
        <v>275</v>
      </c>
      <c r="M95" s="1" t="s">
        <v>279</v>
      </c>
      <c r="N95" s="3">
        <v>0.1</v>
      </c>
      <c r="O95" s="3"/>
      <c r="P95" s="3"/>
      <c r="Q95" s="3">
        <v>473.15</v>
      </c>
      <c r="R95" s="3">
        <v>1073.1500000000001</v>
      </c>
      <c r="S95" s="3">
        <v>655</v>
      </c>
      <c r="T95" s="1">
        <v>690</v>
      </c>
      <c r="V95" s="1" t="s">
        <v>330</v>
      </c>
      <c r="W95" s="1" t="s">
        <v>55</v>
      </c>
      <c r="AB95" s="1" t="s">
        <v>54</v>
      </c>
      <c r="AC95" s="2" t="s">
        <v>273</v>
      </c>
      <c r="AD95" s="2" t="s">
        <v>415</v>
      </c>
      <c r="AE95" s="13">
        <v>0.75</v>
      </c>
      <c r="AF95" s="13">
        <v>7.0000000000000007E-2</v>
      </c>
      <c r="AG95" s="13" t="s">
        <v>118</v>
      </c>
      <c r="AH95" s="18">
        <f>63*0.00008617333262 / 0.00831446261815324</f>
        <v>0.65294898833351656</v>
      </c>
      <c r="AI95" s="13">
        <v>1.0359999999999999E-2</v>
      </c>
      <c r="AJ95" s="13" t="s">
        <v>121</v>
      </c>
    </row>
    <row r="96" spans="1:51" ht="45" customHeight="1" x14ac:dyDescent="0.2">
      <c r="A96" s="8" t="s">
        <v>323</v>
      </c>
      <c r="B96" s="1" t="s">
        <v>324</v>
      </c>
      <c r="C96" s="1">
        <v>2012</v>
      </c>
      <c r="D96" s="1" t="s">
        <v>325</v>
      </c>
      <c r="E96" s="1" t="s">
        <v>31</v>
      </c>
      <c r="F96" s="1" t="s">
        <v>31</v>
      </c>
      <c r="G96" s="1" t="s">
        <v>62</v>
      </c>
      <c r="H96" s="1" t="s">
        <v>69</v>
      </c>
      <c r="I96" s="1" t="s">
        <v>15</v>
      </c>
      <c r="J96" s="9" t="s">
        <v>406</v>
      </c>
      <c r="K96" s="1" t="s">
        <v>339</v>
      </c>
      <c r="L96" s="1" t="s">
        <v>275</v>
      </c>
      <c r="M96" s="1" t="s">
        <v>279</v>
      </c>
      <c r="N96" s="3">
        <v>0.1</v>
      </c>
      <c r="O96" s="3"/>
      <c r="P96" s="3"/>
      <c r="Q96" s="3">
        <v>473.15</v>
      </c>
      <c r="R96" s="3">
        <v>1073.1500000000001</v>
      </c>
      <c r="S96" s="3">
        <v>655</v>
      </c>
      <c r="T96" s="1">
        <v>690</v>
      </c>
      <c r="V96" s="1" t="s">
        <v>330</v>
      </c>
      <c r="W96" s="1" t="s">
        <v>55</v>
      </c>
      <c r="AB96" s="1" t="s">
        <v>54</v>
      </c>
      <c r="AC96" s="2" t="s">
        <v>271</v>
      </c>
      <c r="AD96" s="2" t="s">
        <v>415</v>
      </c>
      <c r="AE96" s="13">
        <v>0.72</v>
      </c>
      <c r="AF96" s="13">
        <v>0.08</v>
      </c>
      <c r="AG96" s="13" t="s">
        <v>118</v>
      </c>
      <c r="AH96" s="18">
        <f>62*0.00008617333262 / 0.00831446261815324</f>
        <v>0.64258471867742906</v>
      </c>
      <c r="AI96" s="13">
        <v>1.0359999999999999E-2</v>
      </c>
      <c r="AJ96" s="13" t="s">
        <v>121</v>
      </c>
    </row>
    <row r="97" spans="1:66" ht="45" customHeight="1" x14ac:dyDescent="0.2">
      <c r="A97" s="8" t="s">
        <v>323</v>
      </c>
      <c r="B97" s="1" t="s">
        <v>324</v>
      </c>
      <c r="C97" s="1">
        <v>2012</v>
      </c>
      <c r="D97" s="1" t="s">
        <v>325</v>
      </c>
      <c r="E97" s="1" t="s">
        <v>73</v>
      </c>
      <c r="F97" s="1" t="s">
        <v>73</v>
      </c>
      <c r="G97" s="1" t="s">
        <v>62</v>
      </c>
      <c r="H97" s="1" t="s">
        <v>69</v>
      </c>
      <c r="I97" s="1" t="s">
        <v>15</v>
      </c>
      <c r="J97" s="9" t="s">
        <v>406</v>
      </c>
      <c r="K97" s="1" t="s">
        <v>340</v>
      </c>
      <c r="L97" s="1" t="s">
        <v>275</v>
      </c>
      <c r="M97" s="1" t="s">
        <v>279</v>
      </c>
      <c r="N97" s="3">
        <v>0.1</v>
      </c>
      <c r="O97" s="3"/>
      <c r="P97" s="3"/>
      <c r="Q97" s="3">
        <v>473.15</v>
      </c>
      <c r="R97" s="3">
        <v>1073.1500000000001</v>
      </c>
      <c r="S97" s="3">
        <v>95</v>
      </c>
      <c r="T97" s="1">
        <v>110</v>
      </c>
      <c r="V97" s="1" t="s">
        <v>331</v>
      </c>
      <c r="W97" s="1" t="s">
        <v>55</v>
      </c>
      <c r="AB97" s="1" t="s">
        <v>54</v>
      </c>
      <c r="AC97" s="2" t="s">
        <v>272</v>
      </c>
      <c r="AE97" s="13">
        <v>2.85</v>
      </c>
      <c r="AF97" s="13">
        <v>0.24</v>
      </c>
      <c r="AG97" s="13" t="s">
        <v>118</v>
      </c>
      <c r="AH97" s="18">
        <v>1.28464</v>
      </c>
      <c r="AI97" s="13">
        <v>4.1439999999999998E-2</v>
      </c>
      <c r="AJ97" s="13" t="s">
        <v>121</v>
      </c>
    </row>
    <row r="98" spans="1:66" ht="45" customHeight="1" x14ac:dyDescent="0.2">
      <c r="A98" s="8" t="s">
        <v>323</v>
      </c>
      <c r="B98" s="1" t="s">
        <v>324</v>
      </c>
      <c r="C98" s="1">
        <v>2012</v>
      </c>
      <c r="D98" s="1" t="s">
        <v>325</v>
      </c>
      <c r="E98" s="1" t="s">
        <v>73</v>
      </c>
      <c r="F98" s="1" t="s">
        <v>73</v>
      </c>
      <c r="G98" s="1" t="s">
        <v>62</v>
      </c>
      <c r="H98" s="1" t="s">
        <v>69</v>
      </c>
      <c r="I98" s="1" t="s">
        <v>15</v>
      </c>
      <c r="J98" s="9" t="s">
        <v>406</v>
      </c>
      <c r="K98" s="1" t="s">
        <v>341</v>
      </c>
      <c r="L98" s="1" t="s">
        <v>275</v>
      </c>
      <c r="M98" s="1" t="s">
        <v>279</v>
      </c>
      <c r="N98" s="3">
        <v>0.1</v>
      </c>
      <c r="O98" s="3"/>
      <c r="P98" s="3"/>
      <c r="Q98" s="3">
        <v>473.15</v>
      </c>
      <c r="R98" s="3">
        <v>1073.1500000000001</v>
      </c>
      <c r="S98" s="3">
        <v>95</v>
      </c>
      <c r="T98" s="1">
        <v>110</v>
      </c>
      <c r="V98" s="1" t="s">
        <v>331</v>
      </c>
      <c r="W98" s="1" t="s">
        <v>55</v>
      </c>
      <c r="AB98" s="1" t="s">
        <v>54</v>
      </c>
      <c r="AC98" s="2" t="s">
        <v>273</v>
      </c>
      <c r="AE98" s="13">
        <v>3.97</v>
      </c>
      <c r="AF98" s="13">
        <v>0.22</v>
      </c>
      <c r="AG98" s="13" t="s">
        <v>118</v>
      </c>
      <c r="AH98" s="18">
        <v>1.3468</v>
      </c>
      <c r="AI98" s="13">
        <v>4.1439999999999998E-2</v>
      </c>
      <c r="AJ98" s="13" t="s">
        <v>121</v>
      </c>
    </row>
    <row r="99" spans="1:66" ht="45" customHeight="1" x14ac:dyDescent="0.2">
      <c r="A99" s="8" t="s">
        <v>323</v>
      </c>
      <c r="B99" s="1" t="s">
        <v>324</v>
      </c>
      <c r="C99" s="1">
        <v>2012</v>
      </c>
      <c r="D99" s="1" t="s">
        <v>325</v>
      </c>
      <c r="E99" s="1" t="s">
        <v>73</v>
      </c>
      <c r="F99" s="1" t="s">
        <v>73</v>
      </c>
      <c r="G99" s="1" t="s">
        <v>62</v>
      </c>
      <c r="H99" s="1" t="s">
        <v>69</v>
      </c>
      <c r="I99" s="1" t="s">
        <v>15</v>
      </c>
      <c r="J99" s="9" t="s">
        <v>406</v>
      </c>
      <c r="K99" s="1" t="s">
        <v>342</v>
      </c>
      <c r="L99" s="1" t="s">
        <v>275</v>
      </c>
      <c r="M99" s="1" t="s">
        <v>279</v>
      </c>
      <c r="N99" s="3">
        <v>0.1</v>
      </c>
      <c r="O99" s="3"/>
      <c r="P99" s="3"/>
      <c r="Q99" s="3">
        <v>473.15</v>
      </c>
      <c r="R99" s="3">
        <v>1073.1500000000001</v>
      </c>
      <c r="S99" s="3">
        <v>95</v>
      </c>
      <c r="T99" s="1">
        <v>110</v>
      </c>
      <c r="V99" s="1" t="s">
        <v>331</v>
      </c>
      <c r="W99" s="1" t="s">
        <v>55</v>
      </c>
      <c r="AB99" s="1" t="s">
        <v>54</v>
      </c>
      <c r="AC99" s="2" t="s">
        <v>271</v>
      </c>
      <c r="AE99" s="13">
        <v>2.8</v>
      </c>
      <c r="AF99" s="13">
        <v>0.34</v>
      </c>
      <c r="AG99" s="13" t="s">
        <v>118</v>
      </c>
      <c r="AH99" s="18">
        <v>1.1914</v>
      </c>
      <c r="AI99" s="13">
        <v>5.1799999999999999E-2</v>
      </c>
      <c r="AJ99" s="13" t="s">
        <v>121</v>
      </c>
    </row>
    <row r="100" spans="1:66" ht="45" customHeight="1" x14ac:dyDescent="0.2">
      <c r="A100" s="1" t="s">
        <v>326</v>
      </c>
      <c r="B100" s="1" t="s">
        <v>327</v>
      </c>
      <c r="C100" s="1">
        <v>2011</v>
      </c>
      <c r="D100" s="2" t="s">
        <v>328</v>
      </c>
      <c r="E100" s="1" t="s">
        <v>31</v>
      </c>
      <c r="F100" s="1" t="s">
        <v>31</v>
      </c>
      <c r="G100" s="1" t="s">
        <v>332</v>
      </c>
      <c r="H100" s="1" t="s">
        <v>69</v>
      </c>
      <c r="I100" s="1" t="s">
        <v>15</v>
      </c>
      <c r="J100" s="1" t="s">
        <v>405</v>
      </c>
      <c r="K100" s="1" t="s">
        <v>451</v>
      </c>
      <c r="L100" s="1" t="s">
        <v>275</v>
      </c>
      <c r="M100" s="1" t="s">
        <v>278</v>
      </c>
      <c r="N100" s="3"/>
      <c r="O100" s="3">
        <v>0.6</v>
      </c>
      <c r="P100" s="3">
        <v>1.2</v>
      </c>
      <c r="Q100" s="3">
        <v>523.15</v>
      </c>
      <c r="R100" s="3">
        <v>1273</v>
      </c>
      <c r="S100" s="3">
        <v>0</v>
      </c>
      <c r="T100" s="1">
        <v>0</v>
      </c>
      <c r="V100" s="1" t="s">
        <v>335</v>
      </c>
      <c r="W100" s="1" t="s">
        <v>67</v>
      </c>
      <c r="AB100" s="1" t="s">
        <v>54</v>
      </c>
      <c r="AC100" s="2" t="s">
        <v>28</v>
      </c>
      <c r="AE100" s="13">
        <v>2.16</v>
      </c>
      <c r="AF100" s="13">
        <v>0.27</v>
      </c>
      <c r="AG100" s="13" t="s">
        <v>118</v>
      </c>
      <c r="AH100" s="18">
        <v>1.0338719999999999</v>
      </c>
      <c r="AI100" s="13">
        <v>5.1799999999999999E-2</v>
      </c>
      <c r="AJ100" s="13" t="s">
        <v>121</v>
      </c>
    </row>
    <row r="101" spans="1:66" ht="45" customHeight="1" x14ac:dyDescent="0.2">
      <c r="A101" s="1" t="s">
        <v>326</v>
      </c>
      <c r="B101" s="1" t="s">
        <v>327</v>
      </c>
      <c r="C101" s="1">
        <v>2011</v>
      </c>
      <c r="D101" s="2" t="s">
        <v>328</v>
      </c>
      <c r="E101" s="1" t="s">
        <v>31</v>
      </c>
      <c r="F101" s="1" t="s">
        <v>31</v>
      </c>
      <c r="G101" s="1" t="s">
        <v>333</v>
      </c>
      <c r="H101" s="1" t="s">
        <v>238</v>
      </c>
      <c r="I101" s="1" t="s">
        <v>237</v>
      </c>
      <c r="J101" s="1" t="s">
        <v>405</v>
      </c>
      <c r="K101" s="1" t="s">
        <v>450</v>
      </c>
      <c r="L101" s="1" t="s">
        <v>334</v>
      </c>
      <c r="M101" s="1" t="s">
        <v>278</v>
      </c>
      <c r="N101" s="3"/>
      <c r="O101" s="3">
        <v>0.6</v>
      </c>
      <c r="P101" s="3">
        <v>1.2</v>
      </c>
      <c r="Q101" s="3">
        <v>523.15</v>
      </c>
      <c r="R101" s="3">
        <v>1273</v>
      </c>
      <c r="S101" s="3">
        <f>90*0.0001</f>
        <v>9.0000000000000011E-3</v>
      </c>
      <c r="T101" s="1">
        <f>0.0001*375</f>
        <v>3.7499999999999999E-2</v>
      </c>
      <c r="V101" s="1" t="s">
        <v>335</v>
      </c>
      <c r="W101" s="1" t="s">
        <v>67</v>
      </c>
      <c r="AB101" s="1" t="s">
        <v>54</v>
      </c>
      <c r="AC101" s="2" t="s">
        <v>28</v>
      </c>
      <c r="AE101" s="13">
        <v>2.16</v>
      </c>
      <c r="AF101" s="13">
        <v>0.27</v>
      </c>
      <c r="AG101" s="13" t="s">
        <v>118</v>
      </c>
      <c r="AH101" s="18">
        <v>1.0338719999999999</v>
      </c>
      <c r="AI101" s="13">
        <v>5.1799999999999999E-2</v>
      </c>
      <c r="AJ101" s="13" t="s">
        <v>121</v>
      </c>
      <c r="AK101" s="13" t="s">
        <v>336</v>
      </c>
      <c r="AL101" s="13">
        <v>7.0000000000000007E-2</v>
      </c>
      <c r="AM101" s="13" t="s">
        <v>118</v>
      </c>
      <c r="AN101" s="13">
        <v>1.1299999999999999</v>
      </c>
      <c r="AO101" s="13">
        <v>0.05</v>
      </c>
      <c r="AP101" s="13" t="s">
        <v>122</v>
      </c>
      <c r="AQ101" s="13">
        <v>0.73555999999999999</v>
      </c>
      <c r="AR101" s="13">
        <v>1.0135999999999999E-2</v>
      </c>
      <c r="AS101" s="13" t="s">
        <v>121</v>
      </c>
    </row>
    <row r="102" spans="1:66" ht="45" customHeight="1" x14ac:dyDescent="0.2">
      <c r="A102" s="1" t="s">
        <v>326</v>
      </c>
      <c r="B102" s="1" t="s">
        <v>327</v>
      </c>
      <c r="C102" s="1">
        <v>2011</v>
      </c>
      <c r="D102" s="2" t="s">
        <v>328</v>
      </c>
      <c r="E102" s="1" t="s">
        <v>31</v>
      </c>
      <c r="F102" s="1" t="s">
        <v>31</v>
      </c>
      <c r="G102" s="1" t="s">
        <v>62</v>
      </c>
      <c r="H102" s="1" t="s">
        <v>238</v>
      </c>
      <c r="I102" s="1" t="s">
        <v>237</v>
      </c>
      <c r="J102" s="1" t="s">
        <v>405</v>
      </c>
      <c r="K102" s="1" t="s">
        <v>449</v>
      </c>
      <c r="L102" s="1" t="s">
        <v>334</v>
      </c>
      <c r="M102" s="1" t="s">
        <v>278</v>
      </c>
      <c r="N102" s="3"/>
      <c r="O102" s="3">
        <v>0.6</v>
      </c>
      <c r="P102" s="3">
        <v>1.2</v>
      </c>
      <c r="Q102" s="3">
        <v>523.15</v>
      </c>
      <c r="R102" s="3">
        <v>1273</v>
      </c>
      <c r="S102" s="3">
        <f>0.0001*340</f>
        <v>3.4000000000000002E-2</v>
      </c>
      <c r="T102" s="1">
        <f>0.0001*340</f>
        <v>3.4000000000000002E-2</v>
      </c>
      <c r="V102" s="1" t="s">
        <v>335</v>
      </c>
      <c r="W102" s="1" t="s">
        <v>67</v>
      </c>
      <c r="AB102" s="1" t="s">
        <v>54</v>
      </c>
      <c r="AC102" s="2" t="s">
        <v>28</v>
      </c>
      <c r="AE102" s="13">
        <v>2.16</v>
      </c>
      <c r="AF102" s="13">
        <v>0.27</v>
      </c>
      <c r="AG102" s="13" t="s">
        <v>118</v>
      </c>
      <c r="AH102" s="18">
        <v>1.0338719999999999</v>
      </c>
      <c r="AI102" s="13">
        <v>5.1799999999999999E-2</v>
      </c>
      <c r="AJ102" s="13" t="s">
        <v>121</v>
      </c>
      <c r="AK102" s="13">
        <v>3.74</v>
      </c>
      <c r="AL102" s="13">
        <v>0.21</v>
      </c>
      <c r="AM102" s="13" t="s">
        <v>118</v>
      </c>
      <c r="AN102" s="13">
        <v>1.1299999999999999</v>
      </c>
      <c r="AP102" s="13" t="s">
        <v>122</v>
      </c>
      <c r="AQ102" s="13">
        <v>0.75006399999999995</v>
      </c>
      <c r="AR102" s="13">
        <v>2.0271999999999998E-2</v>
      </c>
      <c r="AS102" s="13" t="s">
        <v>121</v>
      </c>
    </row>
    <row r="103" spans="1:66" ht="45" customHeight="1" x14ac:dyDescent="0.2">
      <c r="A103" s="1" t="s">
        <v>368</v>
      </c>
      <c r="B103" s="1" t="s">
        <v>369</v>
      </c>
      <c r="C103" s="1">
        <v>2011</v>
      </c>
      <c r="D103" s="2" t="s">
        <v>370</v>
      </c>
      <c r="E103" s="1" t="s">
        <v>179</v>
      </c>
      <c r="F103" s="1" t="s">
        <v>371</v>
      </c>
      <c r="G103" s="1" t="s">
        <v>372</v>
      </c>
      <c r="H103" s="1" t="s">
        <v>373</v>
      </c>
      <c r="I103" s="1" t="s">
        <v>374</v>
      </c>
      <c r="J103" s="1" t="s">
        <v>375</v>
      </c>
      <c r="K103" s="1" t="s">
        <v>538</v>
      </c>
      <c r="L103" s="1" t="s">
        <v>275</v>
      </c>
      <c r="M103" s="1" t="s">
        <v>278</v>
      </c>
      <c r="N103" s="3">
        <v>2</v>
      </c>
      <c r="O103" s="3"/>
      <c r="P103" s="3"/>
      <c r="Q103" s="3">
        <v>1473</v>
      </c>
      <c r="R103" s="3">
        <v>1923</v>
      </c>
      <c r="S103" s="3">
        <v>3000</v>
      </c>
      <c r="T103" s="1">
        <v>60000</v>
      </c>
      <c r="V103" s="1" t="s">
        <v>376</v>
      </c>
      <c r="W103" s="1" t="s">
        <v>55</v>
      </c>
      <c r="AC103" s="2" t="s">
        <v>28</v>
      </c>
      <c r="AD103" s="2" t="s">
        <v>377</v>
      </c>
      <c r="AE103" s="13">
        <v>148.6</v>
      </c>
      <c r="AG103" s="13" t="s">
        <v>119</v>
      </c>
      <c r="AH103" s="18">
        <v>0.17079</v>
      </c>
      <c r="AJ103" s="13" t="s">
        <v>121</v>
      </c>
      <c r="AK103" s="13">
        <v>-4.0567000000000001E-4</v>
      </c>
      <c r="AM103" s="13" t="s">
        <v>122</v>
      </c>
      <c r="AN103" s="13">
        <v>0.5</v>
      </c>
      <c r="AP103" s="13" t="s">
        <v>122</v>
      </c>
      <c r="AQ103" s="13">
        <v>1146.8</v>
      </c>
      <c r="AS103" s="13" t="s">
        <v>122</v>
      </c>
    </row>
    <row r="104" spans="1:66" ht="45" customHeight="1" x14ac:dyDescent="0.2">
      <c r="A104" s="1" t="s">
        <v>378</v>
      </c>
      <c r="B104" s="1" t="s">
        <v>379</v>
      </c>
      <c r="C104" s="1">
        <v>2014</v>
      </c>
      <c r="D104" s="2" t="s">
        <v>380</v>
      </c>
      <c r="E104" s="1" t="s">
        <v>179</v>
      </c>
      <c r="F104" s="1" t="s">
        <v>381</v>
      </c>
      <c r="G104" s="1" t="s">
        <v>384</v>
      </c>
      <c r="H104" s="1" t="s">
        <v>387</v>
      </c>
      <c r="I104" s="1" t="s">
        <v>388</v>
      </c>
      <c r="J104" s="1" t="s">
        <v>383</v>
      </c>
      <c r="K104" s="1" t="s">
        <v>382</v>
      </c>
      <c r="L104" s="1" t="s">
        <v>275</v>
      </c>
      <c r="M104" s="1" t="s">
        <v>278</v>
      </c>
      <c r="N104" s="3">
        <v>3</v>
      </c>
      <c r="O104" s="3"/>
      <c r="P104" s="3"/>
      <c r="Q104" s="3">
        <v>1173</v>
      </c>
      <c r="R104" s="3">
        <v>1773</v>
      </c>
      <c r="S104" s="3">
        <v>0</v>
      </c>
      <c r="T104" s="1">
        <v>10</v>
      </c>
      <c r="V104" s="1" t="s">
        <v>386</v>
      </c>
      <c r="W104" s="1" t="s">
        <v>67</v>
      </c>
      <c r="AB104" s="1" t="s">
        <v>385</v>
      </c>
      <c r="AC104" s="2" t="s">
        <v>28</v>
      </c>
      <c r="AE104" s="13">
        <v>88774</v>
      </c>
      <c r="AG104" s="13" t="s">
        <v>119</v>
      </c>
      <c r="AH104" s="18">
        <v>-0.38800000000000001</v>
      </c>
      <c r="AJ104" s="13" t="s">
        <v>122</v>
      </c>
      <c r="AK104" s="13">
        <v>73029</v>
      </c>
      <c r="AM104" s="13" t="s">
        <v>121</v>
      </c>
      <c r="AN104" s="13">
        <v>4.5399999999999999E-5</v>
      </c>
      <c r="AP104" s="13" t="s">
        <v>122</v>
      </c>
      <c r="AQ104" s="13">
        <v>5.5606999999999998</v>
      </c>
      <c r="AS104" s="13" t="s">
        <v>122</v>
      </c>
      <c r="AT104" s="13">
        <v>789166</v>
      </c>
      <c r="AV104" s="13" t="s">
        <v>119</v>
      </c>
      <c r="AW104" s="13">
        <v>-0.18079999999999999</v>
      </c>
      <c r="AY104" s="13" t="s">
        <v>122</v>
      </c>
      <c r="AZ104" s="13">
        <v>32820</v>
      </c>
      <c r="BB104" s="13" t="s">
        <v>121</v>
      </c>
      <c r="BC104" s="14">
        <v>5.5000000000000002E-5</v>
      </c>
      <c r="BE104" s="13" t="s">
        <v>122</v>
      </c>
      <c r="BF104" s="13">
        <v>5.7956000000000003</v>
      </c>
      <c r="BH104" s="13" t="s">
        <v>122</v>
      </c>
    </row>
    <row r="105" spans="1:66" ht="45" customHeight="1" x14ac:dyDescent="0.2">
      <c r="A105" s="10" t="s">
        <v>394</v>
      </c>
      <c r="B105" s="1" t="s">
        <v>395</v>
      </c>
      <c r="C105" s="1">
        <v>2008</v>
      </c>
      <c r="D105" s="2" t="s">
        <v>396</v>
      </c>
      <c r="E105" s="1" t="s">
        <v>168</v>
      </c>
      <c r="F105" s="1" t="s">
        <v>168</v>
      </c>
      <c r="H105" s="1" t="s">
        <v>391</v>
      </c>
      <c r="I105" s="1" t="s">
        <v>289</v>
      </c>
      <c r="J105" s="1" t="s">
        <v>398</v>
      </c>
      <c r="K105" s="1" t="s">
        <v>536</v>
      </c>
      <c r="L105" s="1" t="s">
        <v>275</v>
      </c>
      <c r="M105" s="1" t="s">
        <v>278</v>
      </c>
      <c r="N105" s="3">
        <v>16</v>
      </c>
      <c r="O105" s="3"/>
      <c r="P105" s="3"/>
      <c r="Q105" s="3">
        <v>300</v>
      </c>
      <c r="R105" s="3">
        <v>2000</v>
      </c>
      <c r="S105" s="3">
        <v>0</v>
      </c>
      <c r="T105" s="1">
        <v>1.2</v>
      </c>
      <c r="V105" s="1" t="s">
        <v>64</v>
      </c>
      <c r="W105" s="1" t="s">
        <v>67</v>
      </c>
      <c r="AB105" s="1" t="s">
        <v>399</v>
      </c>
      <c r="AC105" s="2" t="s">
        <v>28</v>
      </c>
      <c r="AE105" s="13">
        <v>399</v>
      </c>
      <c r="AF105" s="13">
        <v>311</v>
      </c>
      <c r="AG105" s="13" t="s">
        <v>119</v>
      </c>
      <c r="AH105" s="18" t="s">
        <v>400</v>
      </c>
      <c r="AI105" s="13" t="s">
        <v>401</v>
      </c>
      <c r="AJ105" s="13" t="s">
        <v>121</v>
      </c>
      <c r="AK105" s="13">
        <v>7.74</v>
      </c>
      <c r="AL105" s="13">
        <v>4.08</v>
      </c>
      <c r="AM105" s="13" t="s">
        <v>119</v>
      </c>
      <c r="AN105" s="13">
        <v>0.68</v>
      </c>
      <c r="AO105" s="13">
        <v>0.03</v>
      </c>
      <c r="AP105" s="13" t="s">
        <v>121</v>
      </c>
      <c r="AQ105" s="13">
        <v>-0.02</v>
      </c>
      <c r="AR105" s="13">
        <v>0.02</v>
      </c>
      <c r="AS105" s="13" t="s">
        <v>122</v>
      </c>
      <c r="AT105" s="13">
        <v>0.33333333333333331</v>
      </c>
      <c r="AV105" s="13" t="s">
        <v>122</v>
      </c>
    </row>
    <row r="106" spans="1:66" ht="45" customHeight="1" x14ac:dyDescent="0.25">
      <c r="A106" s="19" t="s">
        <v>439</v>
      </c>
      <c r="B106" s="1" t="s">
        <v>537</v>
      </c>
      <c r="C106" s="1">
        <v>2015</v>
      </c>
      <c r="D106" s="2" t="s">
        <v>440</v>
      </c>
      <c r="E106" s="1" t="s">
        <v>179</v>
      </c>
      <c r="F106" s="1" t="s">
        <v>371</v>
      </c>
      <c r="G106" s="1" t="s">
        <v>442</v>
      </c>
      <c r="H106" s="1" t="s">
        <v>444</v>
      </c>
      <c r="I106" s="1" t="s">
        <v>445</v>
      </c>
      <c r="J106" s="1" t="s">
        <v>446</v>
      </c>
      <c r="K106" s="1" t="s">
        <v>535</v>
      </c>
      <c r="L106" s="1" t="s">
        <v>275</v>
      </c>
      <c r="M106" s="1" t="s">
        <v>278</v>
      </c>
      <c r="N106" s="3">
        <v>2</v>
      </c>
      <c r="O106" s="3">
        <v>0.5</v>
      </c>
      <c r="P106" s="3">
        <v>2</v>
      </c>
      <c r="Q106" s="3">
        <v>823</v>
      </c>
      <c r="R106" s="3">
        <v>1173</v>
      </c>
      <c r="S106" s="3">
        <v>0.62</v>
      </c>
      <c r="T106" s="1">
        <v>4.1900000000000004</v>
      </c>
      <c r="V106" s="20" t="s">
        <v>443</v>
      </c>
      <c r="W106" s="1" t="s">
        <v>67</v>
      </c>
      <c r="AB106" s="20" t="s">
        <v>441</v>
      </c>
      <c r="AC106" s="2" t="s">
        <v>28</v>
      </c>
      <c r="AD106" s="2" t="s">
        <v>448</v>
      </c>
      <c r="AE106" s="13">
        <v>45</v>
      </c>
      <c r="AF106" s="13">
        <v>5</v>
      </c>
      <c r="AG106" s="13" t="s">
        <v>119</v>
      </c>
      <c r="AH106" s="18">
        <v>0</v>
      </c>
      <c r="AJ106" s="13" t="s">
        <v>447</v>
      </c>
      <c r="AK106" s="13">
        <v>1.1399999999999999</v>
      </c>
      <c r="AL106" s="13">
        <v>7.0000000000000007E-2</v>
      </c>
      <c r="AM106" s="13" t="s">
        <v>121</v>
      </c>
      <c r="AN106" s="13">
        <v>-0.3</v>
      </c>
      <c r="AO106" s="13">
        <v>0.09</v>
      </c>
      <c r="AP106" s="13" t="s">
        <v>122</v>
      </c>
      <c r="AQ106" s="13">
        <v>0.2</v>
      </c>
      <c r="AR106" s="13">
        <v>0.09</v>
      </c>
      <c r="AS106" s="13" t="s">
        <v>122</v>
      </c>
      <c r="AT106" s="13">
        <v>1.43</v>
      </c>
      <c r="AU106" s="13">
        <v>0.15</v>
      </c>
      <c r="AV106" s="13" t="s">
        <v>129</v>
      </c>
      <c r="AW106" s="13">
        <v>30</v>
      </c>
      <c r="AX106" s="13">
        <v>5</v>
      </c>
      <c r="AY106" s="13" t="s">
        <v>119</v>
      </c>
      <c r="AZ106" s="13">
        <v>1.65</v>
      </c>
      <c r="BA106" s="13">
        <v>0.03</v>
      </c>
      <c r="BB106" s="13" t="s">
        <v>426</v>
      </c>
      <c r="BC106" s="13">
        <v>1.1399999999999999</v>
      </c>
      <c r="BD106" s="13">
        <v>7.0000000000000007E-2</v>
      </c>
      <c r="BE106" s="13" t="s">
        <v>121</v>
      </c>
      <c r="BF106" s="13">
        <v>-0.3</v>
      </c>
      <c r="BG106" s="13">
        <v>0.09</v>
      </c>
      <c r="BH106" s="13" t="s">
        <v>122</v>
      </c>
      <c r="BI106" s="13">
        <v>0.2</v>
      </c>
      <c r="BJ106" s="13">
        <v>0.09</v>
      </c>
      <c r="BK106" s="13" t="s">
        <v>122</v>
      </c>
      <c r="BL106" s="13">
        <v>1.43</v>
      </c>
      <c r="BM106" s="13">
        <v>0.15</v>
      </c>
      <c r="BN106" s="13" t="s">
        <v>129</v>
      </c>
    </row>
  </sheetData>
  <hyperlinks>
    <hyperlink ref="D61" r:id="rId1" display="https://doi.org/10.1029/91JB02453" xr:uid="{9DA77ADE-4648-D14F-BFAB-BAA16B3E25E6}"/>
    <hyperlink ref="D62" r:id="rId2" display="https://doi.org/10.1029/1999GL008378" xr:uid="{231586C8-D3CA-B841-9E63-A5837AF1347A}"/>
    <hyperlink ref="D63" r:id="rId3" display="https://doi.org/10.1029/1999GL008378" xr:uid="{587A1BBB-4DC8-DA4D-9389-87DC4A9A72C9}"/>
    <hyperlink ref="D64" r:id="rId4" display="https://doi.org/10.1029/1999GL008378" xr:uid="{4511923F-ACB3-CA40-8E38-D99A4530C2ED}"/>
    <hyperlink ref="D65" r:id="rId5" display="https://doi.org/10.1029/1999GL008378" xr:uid="{0A5CBB8E-24A5-F841-8826-BBFB3BE110D7}"/>
    <hyperlink ref="D73" r:id="rId6" display="https://doi.org/10.1029/2011JB008774" xr:uid="{FD28369E-6DC2-144C-9D6E-0B6935E6BAA5}"/>
    <hyperlink ref="D74" r:id="rId7" display="https://doi.org/10.1002/2014GC005496" xr:uid="{ECD63802-404E-CB40-B168-15A7706644B2}"/>
    <hyperlink ref="D75" r:id="rId8" display="https://doi.org/10.1002/2014GC005496" xr:uid="{41C1DD95-33B1-0742-B20E-7ABE0821D94B}"/>
    <hyperlink ref="D76" r:id="rId9" display="https://doi.org/10.1002/2014GC005496" xr:uid="{2D97BEB1-7CA3-7748-ACB1-7EB116DF3165}"/>
    <hyperlink ref="D80" r:id="rId10" display="https://doi.org/10.1002/2016JB013555" xr:uid="{90862F9A-ADCE-4045-B195-F306237FFEC3}"/>
    <hyperlink ref="D81" r:id="rId11" display="https://doi.org/10.1002/2016JB013555" xr:uid="{769E99AD-F4AA-F543-9D93-1605FC66688B}"/>
    <hyperlink ref="D82" r:id="rId12" display="https://doi.org/10.1002/2016JB013555" xr:uid="{92B19AA2-C385-A64E-AE91-99D7D6705547}"/>
    <hyperlink ref="D86" r:id="rId13" display="https://doi.org/10.1029/2019JB017576" xr:uid="{4BD7993B-7B6F-6C43-BB0A-EF0AE4BF89DA}"/>
    <hyperlink ref="D77" r:id="rId14" display="https://doi.org/10.1002/2014GC005496" xr:uid="{FEDEB40B-4680-AF43-B1AA-9EA1A2E6D141}"/>
    <hyperlink ref="D78" r:id="rId15" display="https://doi.org/10.1002/2014GC005496" xr:uid="{035261FE-FF76-434C-860C-25196CB05384}"/>
    <hyperlink ref="D79" r:id="rId16" display="https://doi.org/10.1002/2014GC005496" xr:uid="{30E83F5F-1010-144D-9483-5166F23A589E}"/>
    <hyperlink ref="D87" r:id="rId17" display="https://doi.org/10.1029/2019JB017576" xr:uid="{7F51686C-3D9D-7043-B359-7717365B7FB2}"/>
  </hyperlinks>
  <pageMargins left="0.7" right="0.7" top="0.75" bottom="0.75" header="0.3" footer="0.3"/>
  <pageSetup orientation="portrait" horizontalDpi="0" verticalDpi="0"/>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publication_database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2023-08-11T18:07:58Z</dcterms:created>
  <dcterms:modified xsi:type="dcterms:W3CDTF">2023-08-28T20:38:19Z</dcterms:modified>
</cp:coreProperties>
</file>