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09"/>
  <workbookPr dateCompatibility="0" defaultThemeVersion="166925"/>
  <mc:AlternateContent xmlns:mc="http://schemas.openxmlformats.org/markup-compatibility/2006">
    <mc:Choice Requires="x15">
      <x15ac:absPath xmlns:x15ac="http://schemas.microsoft.com/office/spreadsheetml/2010/11/ac" url="/Volumes/MT_RESEARCH/2D_Petrology/mineral_conductivity/mineralconductivities/database/"/>
    </mc:Choice>
  </mc:AlternateContent>
  <xr:revisionPtr revIDLastSave="0" documentId="13_ncr:9_{91BFAF5A-7B97-D049-A927-E32CC13F154E}" xr6:coauthVersionLast="47" xr6:coauthVersionMax="47" xr10:uidLastSave="{00000000-0000-0000-0000-000000000000}"/>
  <bookViews>
    <workbookView xWindow="-4060" yWindow="1200" windowWidth="28800" windowHeight="16680" xr2:uid="{EF1EAB3C-7106-8347-9382-DA47A6680CFD}"/>
  </bookViews>
  <sheets>
    <sheet name="publication_database"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IP119" i="1" l="1"/>
  <c r="GQ119" i="1"/>
  <c r="EX119" i="1"/>
  <c r="CY119" i="1"/>
  <c r="BF119" i="1"/>
  <c r="N13" i="1"/>
  <c r="Q13" i="1"/>
  <c r="AX91" i="1"/>
  <c r="AW91" i="1"/>
  <c r="AX90" i="1"/>
  <c r="AW90" i="1"/>
  <c r="AX89" i="1"/>
  <c r="AW89" i="1"/>
  <c r="BG88" i="1"/>
  <c r="BF88" i="1"/>
  <c r="AX88" i="1"/>
  <c r="AW88" i="1"/>
  <c r="AU113" i="1"/>
  <c r="AU112" i="1"/>
  <c r="AT113" i="1"/>
  <c r="AT112" i="1"/>
  <c r="AF112" i="1"/>
  <c r="AE112" i="1"/>
  <c r="AF113" i="1"/>
  <c r="AE113" i="1"/>
  <c r="AQ2" i="1"/>
  <c r="AT28" i="1"/>
  <c r="AT2" i="1"/>
  <c r="AU28" i="1"/>
  <c r="AU41" i="1"/>
  <c r="AU2" i="1"/>
  <c r="R2" i="1"/>
  <c r="Q2" i="1"/>
  <c r="R28" i="1"/>
  <c r="Q28" i="1"/>
  <c r="R41" i="1"/>
  <c r="Q41" i="1"/>
  <c r="BL94" i="1"/>
  <c r="BC94" i="1"/>
  <c r="BF94" i="1"/>
  <c r="AR94" i="1"/>
  <c r="AQ94" i="1"/>
  <c r="AE94" i="1"/>
  <c r="BD94" i="1"/>
  <c r="BG94" i="1"/>
  <c r="BI94" i="1"/>
  <c r="BM94" i="1"/>
  <c r="BO94" i="1"/>
  <c r="BF40" i="1"/>
  <c r="BL40" i="1"/>
  <c r="AF40" i="1"/>
  <c r="AE40" i="1"/>
  <c r="BC40" i="1"/>
  <c r="BD40" i="1"/>
  <c r="BG40" i="1"/>
  <c r="BI40" i="1"/>
  <c r="BM40" i="1"/>
  <c r="BO40" i="1"/>
  <c r="AX35" i="1"/>
  <c r="AW35" i="1"/>
  <c r="AX34" i="1"/>
  <c r="Q40" i="1"/>
  <c r="R94" i="1"/>
  <c r="AK40" i="1"/>
  <c r="AJ40" i="1"/>
  <c r="AK94" i="1"/>
  <c r="R40" i="1"/>
  <c r="AJ94" i="1"/>
  <c r="Q94" i="1"/>
  <c r="BA101" i="1"/>
  <c r="AZ101" i="1"/>
  <c r="BF87" i="1"/>
  <c r="BF86" i="1"/>
  <c r="AW86" i="1"/>
  <c r="BG87" i="1"/>
  <c r="BG86" i="1"/>
  <c r="AX87" i="1"/>
  <c r="AX86" i="1"/>
  <c r="AW87" i="1"/>
  <c r="AW83" i="1"/>
  <c r="AQ85" i="1"/>
  <c r="AQ84" i="1"/>
  <c r="AZ84" i="1"/>
  <c r="BA84" i="1"/>
  <c r="AZ85" i="1"/>
  <c r="BA85" i="1"/>
  <c r="AW82" i="1"/>
  <c r="AW81" i="1"/>
  <c r="AX82" i="1"/>
  <c r="AX83" i="1"/>
  <c r="AX81" i="1"/>
  <c r="CA63" i="1"/>
  <c r="BI75" i="1"/>
  <c r="BG75" i="1"/>
  <c r="BC76" i="1"/>
  <c r="BJ76" i="1"/>
  <c r="BJ75" i="1"/>
  <c r="BJ77" i="1"/>
  <c r="BI77" i="1"/>
  <c r="BI76" i="1"/>
  <c r="BF77" i="1"/>
  <c r="AZ77" i="1"/>
  <c r="AT77" i="1"/>
  <c r="BF76" i="1"/>
  <c r="AZ76" i="1"/>
  <c r="AU76" i="1"/>
  <c r="AT76" i="1"/>
  <c r="BF75" i="1"/>
  <c r="AZ75" i="1"/>
  <c r="AT75" i="1"/>
  <c r="BJ74" i="1"/>
  <c r="BJ73" i="1"/>
  <c r="BJ72" i="1"/>
  <c r="BI74" i="1"/>
  <c r="BI72" i="1"/>
  <c r="BI73" i="1"/>
  <c r="BC73" i="1"/>
  <c r="AZ73" i="1"/>
  <c r="AU73" i="1"/>
  <c r="BF74" i="1"/>
  <c r="BF73" i="1"/>
  <c r="BF72" i="1"/>
  <c r="AZ74" i="1"/>
  <c r="AZ72" i="1"/>
  <c r="AT74" i="1"/>
  <c r="AT73" i="1"/>
  <c r="AT72" i="1"/>
  <c r="BX63" i="1"/>
  <c r="AT60" i="1"/>
  <c r="AT61" i="1"/>
  <c r="AT62" i="1"/>
  <c r="AF98" i="1"/>
  <c r="AT27" i="1"/>
  <c r="AT26" i="1"/>
  <c r="AT25" i="1"/>
  <c r="AF22" i="1"/>
  <c r="AF21" i="1"/>
  <c r="AE22" i="1"/>
  <c r="AE21" i="1"/>
  <c r="AF24" i="1"/>
  <c r="AE24" i="1"/>
  <c r="AQ24" i="1"/>
  <c r="AQ44" i="1"/>
  <c r="AF93" i="1"/>
  <c r="AE93" i="1"/>
  <c r="BC63" i="1" l="1"/>
  <c r="R55" i="1"/>
  <c r="Q55" i="1"/>
  <c r="AR38" i="1" l="1"/>
  <c r="AG49" i="1"/>
  <c r="AG50" i="1"/>
  <c r="AG48" i="1"/>
  <c r="AR23" i="1"/>
  <c r="AQ23" i="1"/>
  <c r="AL101" i="1"/>
  <c r="AG101" i="1"/>
</calcChain>
</file>

<file path=xl/sharedStrings.xml><?xml version="1.0" encoding="utf-8"?>
<sst xmlns="http://purl.oclc.org/ooxml/spreadsheetml/main" count="2684" uniqueCount="846">
  <si>
    <t>Title</t>
  </si>
  <si>
    <t>Author</t>
  </si>
  <si>
    <t>Year</t>
  </si>
  <si>
    <t>DOI</t>
  </si>
  <si>
    <t>The electrical conductivity of upper-mantle rocks: water content in the upper mantle</t>
  </si>
  <si>
    <t>Duojun Wang, Heping Li, Li Yi, Baoping Shi</t>
  </si>
  <si>
    <t>Effect of temperature, pressure and chemical composition on the electrical conductivity of granulite and geophysical implications</t>
  </si>
  <si>
    <t>10.2465/jmps.181107b</t>
  </si>
  <si>
    <t>Wenquin Sun, Dai Lidon, Li Heping, Hu Haiying, Liu Changcai</t>
  </si>
  <si>
    <t>10.1007/s00269-007-0207-1</t>
  </si>
  <si>
    <t>Description</t>
  </si>
  <si>
    <t>Equation Form</t>
  </si>
  <si>
    <t>Eq ID</t>
  </si>
  <si>
    <t>10.1029/1999GL008378</t>
  </si>
  <si>
    <t>orthopyroxene</t>
  </si>
  <si>
    <t>arrhenious_simple</t>
  </si>
  <si>
    <t>Water Min</t>
  </si>
  <si>
    <t>Water Max</t>
  </si>
  <si>
    <t>Water Average</t>
  </si>
  <si>
    <t>Iron Min</t>
  </si>
  <si>
    <t>Iron Max</t>
  </si>
  <si>
    <t>Iron Average</t>
  </si>
  <si>
    <t>Crystal Direction</t>
  </si>
  <si>
    <t>a</t>
  </si>
  <si>
    <t>d</t>
  </si>
  <si>
    <t>e</t>
  </si>
  <si>
    <t>a (Cw)^b exp( -c/kt) exp(X_fe * d/kt)</t>
  </si>
  <si>
    <t>Water units</t>
  </si>
  <si>
    <t>isotropic</t>
  </si>
  <si>
    <t>fO2 buffers used</t>
  </si>
  <si>
    <t>pyroxenite, lherzolite, dunite</t>
  </si>
  <si>
    <t>clinopyroxene</t>
  </si>
  <si>
    <t>illmenite+garnet</t>
  </si>
  <si>
    <t>pervoskite</t>
  </si>
  <si>
    <t>Yousheng Xu and Thomas J. Shankland</t>
  </si>
  <si>
    <t>xu_1999_ill+gt</t>
  </si>
  <si>
    <t>xu_1999_pv</t>
  </si>
  <si>
    <t xml:space="preserve">Electrical conductivity of diopside: Evidence for oxygen vacancies </t>
  </si>
  <si>
    <t>J.Stephen Huebner and Donald E. Voight</t>
  </si>
  <si>
    <t>diopside</t>
  </si>
  <si>
    <t>Sample Type</t>
  </si>
  <si>
    <t>Phase Type</t>
  </si>
  <si>
    <t>natural single crystal</t>
  </si>
  <si>
    <t>garnet</t>
  </si>
  <si>
    <t>arrhenious_log_fO2</t>
  </si>
  <si>
    <t xml:space="preserve">0003-004x/88/ 1112-1235$02.00 </t>
  </si>
  <si>
    <t>Co-Co2 mixture</t>
  </si>
  <si>
    <t>Baohua Zhang, Takashi Yoshino</t>
  </si>
  <si>
    <t>10.1007/s00410-016-1315-z</t>
  </si>
  <si>
    <t>synthetic</t>
  </si>
  <si>
    <t>natural whole rock</t>
  </si>
  <si>
    <t>synthetic powders</t>
  </si>
  <si>
    <t>a exp( -(b + c * P)/kT) + d*Xfe * exp( -(e + f* Xfe^1/3 + P( h + I Xfe)/kT)</t>
  </si>
  <si>
    <t>zhang_2016_opx</t>
  </si>
  <si>
    <t>NNO</t>
  </si>
  <si>
    <t>ppm</t>
  </si>
  <si>
    <t>f</t>
  </si>
  <si>
    <t>h</t>
  </si>
  <si>
    <t>Electrical conductivity of orthopyroxene: Implications for the water content of the asthenosphere</t>
  </si>
  <si>
    <t>10.2183/pjab.85.466</t>
  </si>
  <si>
    <t>Dai Lidong, Karato Shun-ichiro</t>
  </si>
  <si>
    <t>Mo-MoO2</t>
  </si>
  <si>
    <t>single crystals</t>
  </si>
  <si>
    <t>water calibration</t>
  </si>
  <si>
    <t>olivine</t>
  </si>
  <si>
    <t>polycrystalline  aggregates</t>
  </si>
  <si>
    <t>wtpct</t>
  </si>
  <si>
    <t>a exp( -b /kT)+c Cw^d exp( -e /kT)</t>
  </si>
  <si>
    <t>a exp(-b /kT)</t>
  </si>
  <si>
    <t>Electrical conductivity of orthopyroxene and plagioclase in the lower crust</t>
  </si>
  <si>
    <t>Xiaozhi Yang, Hans Keppler, Catherine McCammon, Huaiwei Ni</t>
  </si>
  <si>
    <t>10.1007/s00410-011-0657-9</t>
  </si>
  <si>
    <t>lower crustal ortho</t>
  </si>
  <si>
    <t>Fe3+-rich augite and high electrical conductivity in the deep lithosphere</t>
  </si>
  <si>
    <t>Xiaozhi Yang and Catherine McCammon</t>
  </si>
  <si>
    <t>10.1130/G32725.1</t>
  </si>
  <si>
    <t>augite</t>
  </si>
  <si>
    <t>single crystal and polycrystal</t>
  </si>
  <si>
    <t>water_exponent_arrhenious</t>
  </si>
  <si>
    <t>a Cw^b exp( -c /kT)</t>
  </si>
  <si>
    <t>polycrystalline</t>
  </si>
  <si>
    <t>Electrical conductivity of enstatite as a function of water content: Implications for the electrical structure in the upper mantle</t>
  </si>
  <si>
    <t>Baohua Zhang, Takashi Yoshino, Xiaoping Wu, Takuya Matsuzaki, Shuangming Shan, Tomoo Katsura</t>
  </si>
  <si>
    <t>10.1016/j.epsl.2012.09.020</t>
  </si>
  <si>
    <t>enstatite</t>
  </si>
  <si>
    <t>a exp( -b /kT)+c Cw exp( -(d + e C_w^(1/3) /kT)</t>
  </si>
  <si>
    <t>Granulite +14.79%  biotite</t>
  </si>
  <si>
    <t>Granulite + 8.75% biotite</t>
  </si>
  <si>
    <t>Granulite + 5.49% biotite</t>
  </si>
  <si>
    <t>The electrical conductivity of granite: The role of hydrous accessory minerals and the structure water in major minerals</t>
  </si>
  <si>
    <t>Kui Han, Xinzhuan Guo,  Xuben Wang,  Junfeng Zhang, Sinan Ozaydin, Dewei Li, Simon Martin Clark</t>
  </si>
  <si>
    <t>10.1016/j.tecto.2023.229857</t>
  </si>
  <si>
    <t>Granite QGND</t>
  </si>
  <si>
    <t xml:space="preserve">Granite HGND </t>
  </si>
  <si>
    <t>Powdered natural  rock</t>
  </si>
  <si>
    <t>Electrical Conductivity of Omphacite as a Function of Water Content and Implications for High Conductivity Anomalies in the Dabie-Sulu UHPM Belts and Tibet</t>
  </si>
  <si>
    <t>Baohua Zhang, Chengcheng Zhao, Jianhua Ge, Takashi Yoshino</t>
  </si>
  <si>
    <t>10.1029/2019JB018826</t>
  </si>
  <si>
    <t>glasses</t>
  </si>
  <si>
    <t>synthetic glass</t>
  </si>
  <si>
    <t>Iron units</t>
  </si>
  <si>
    <t>wt \%</t>
  </si>
  <si>
    <t>10.1007/s00410-019-1593-3</t>
  </si>
  <si>
    <t>Liu Hanyong, Zhu Qiao, Yang Xiaozhi</t>
  </si>
  <si>
    <t>Electrical conductivity of OH-bearing omphacite and garnet in eclogite: the quantitative dependence on water content</t>
  </si>
  <si>
    <t xml:space="preserve">Mo–MoO2 </t>
  </si>
  <si>
    <t>Effect of temperature, pressure and iron content on the electrical conductivity of orthopyroxene</t>
  </si>
  <si>
    <t>Lidong Dai, Shun-ichiro Karato</t>
  </si>
  <si>
    <t>Electrical conductivity of pyrope-rich garnet at high temperature and high pressure</t>
  </si>
  <si>
    <t>10.1016/j.pepi.2009.04.002</t>
  </si>
  <si>
    <t>a Cw^b exp( -h +P*V/kT)</t>
  </si>
  <si>
    <t>water_exponent_arrhenious_pressure</t>
  </si>
  <si>
    <t>preexp_log</t>
  </si>
  <si>
    <t>preexp</t>
  </si>
  <si>
    <t>exponent</t>
  </si>
  <si>
    <t>enthalpy</t>
  </si>
  <si>
    <t>const</t>
  </si>
  <si>
    <t>b_uncertainty</t>
  </si>
  <si>
    <t>c_uncertainty</t>
  </si>
  <si>
    <t>d_uncertainty</t>
  </si>
  <si>
    <t>e_uncertainty</t>
  </si>
  <si>
    <t>f_uncertainty</t>
  </si>
  <si>
    <t>h_uncertainty</t>
  </si>
  <si>
    <t>volume</t>
  </si>
  <si>
    <t>A0(1 - B*P) exp( -h +P*V/kT)</t>
  </si>
  <si>
    <t>log10(a + b*log10 fO2 + c/T)</t>
  </si>
  <si>
    <t>arrhenious_preexp_parameterized</t>
  </si>
  <si>
    <t>The effect of chemical composition and oxygen fugacity on the electrical conductivity of dry and hydrous garnet at high temperatures and pressures</t>
  </si>
  <si>
    <t>Lidong Dai, Heping Li, Haiying Hu, Shuangming Shan, Jianjun Jiang, Keshi Hui</t>
  </si>
  <si>
    <t>10.1007/s00410-011-0693-5</t>
  </si>
  <si>
    <t>garnet_hydrous</t>
  </si>
  <si>
    <t>several</t>
  </si>
  <si>
    <t>sintered and single crystal</t>
  </si>
  <si>
    <t>Electrical conductivity of Alm82Py15Grs3 almandine-rich garnet determined by impedance spectroscopy at high temperatures and high pressures</t>
  </si>
  <si>
    <t>Lidong Dai, Heping Li, Haiying Hu, Jianjun Jiang, Keshi Hui,, Shuangming Shan</t>
  </si>
  <si>
    <t>10.1016/j.tecto.2013.07.004</t>
  </si>
  <si>
    <t>single crystal</t>
  </si>
  <si>
    <t>arrhenious_pressure</t>
  </si>
  <si>
    <t>a exp( - (H + PV)/kt)</t>
  </si>
  <si>
    <t>Electrical conductivity of majorite garnet and its implications for electrical structure in the mantle transition zone</t>
  </si>
  <si>
    <t>10.1016/j.pepi.2008.04.009</t>
  </si>
  <si>
    <t xml:space="preserve">Takashi Yoshino, Masayuki Nishi,Takuya Matsuzaki,, Daisuke Yamazaki , Tomoo Katsura </t>
  </si>
  <si>
    <t>synthesized</t>
  </si>
  <si>
    <t>Electrical conductivity of the plagioclase–NaCl–water system and its implication for the high conductivity anomalies in the mid-lower crust of Tibet Plateau</t>
  </si>
  <si>
    <t>Ping Li, Xinzhuan Guo1, Sibo Chen, Chao Wang, Junlong Yang,  Xingfan Zhou,</t>
  </si>
  <si>
    <t>10.1007/s00410-018-1442-9</t>
  </si>
  <si>
    <t>brine</t>
  </si>
  <si>
    <t>plag-water-NaCl_ 1% salinity</t>
  </si>
  <si>
    <t>plag-water-NaCl_25% salinity</t>
  </si>
  <si>
    <t>plag-water-NaCl_10%  salinity</t>
  </si>
  <si>
    <t>albite-water-Nacl_3% salinity</t>
  </si>
  <si>
    <t>albite-water-Nacl_10% salinity</t>
  </si>
  <si>
    <t>single_value</t>
  </si>
  <si>
    <t>Unusually high electrical conductivity of phlogopite: the possible role of fluorine and geophysical implications</t>
  </si>
  <si>
    <t>Yan Li, Xiaozhi Yang, Jin‑Hai Yu1, Yuan‑Feng Cai</t>
  </si>
  <si>
    <t>10.1007/s00410-016-1252-x</t>
  </si>
  <si>
    <t>phlogopite</t>
  </si>
  <si>
    <t>Re-evaluation of electrical conductivity of anhydrous and hydrous wadsleyite</t>
  </si>
  <si>
    <t>Takashi Yoshino, Tomoo Katsura,</t>
  </si>
  <si>
    <t>10.1016/j.epsl.2012.05.023</t>
  </si>
  <si>
    <t>wadsleyite</t>
  </si>
  <si>
    <t>polycrystal aggregates and synthetic aggregates</t>
  </si>
  <si>
    <t>Supercritical fluid in the mantle transition zone deduced from H–D interdiffusion of wadsleyite</t>
  </si>
  <si>
    <t>Wei Sun, Takashi Yoshino, Naoya Sakamoto, Hisayoshi Yurimoto,</t>
  </si>
  <si>
    <t>10.1016/j.epsl.2017.12.032 0012-821X</t>
  </si>
  <si>
    <t>synthesized aggregates</t>
  </si>
  <si>
    <t>a exp(b/kT) fo2^c</t>
  </si>
  <si>
    <t>Time-dependent changes of the electrical conductivity of basaltic melts with redox state</t>
  </si>
  <si>
    <t>A. Pommier, Gaillard, M. Pichavant</t>
  </si>
  <si>
    <t>10.1016/j.gca.2009.12.005</t>
  </si>
  <si>
    <t>basaltic melt</t>
  </si>
  <si>
    <t>melt</t>
  </si>
  <si>
    <t>natural whole rock sample</t>
  </si>
  <si>
    <t>arrhenious_fugacity</t>
  </si>
  <si>
    <t>Steven Constable, Thomas J. Shankland, Al Duba</t>
  </si>
  <si>
    <t>10.1029/91JB02453</t>
  </si>
  <si>
    <t>a exp(-b /kT) + b exp(-c /kT)</t>
  </si>
  <si>
    <t>arrhenious_simple+arrhenious_simple</t>
  </si>
  <si>
    <t xml:space="preserve">Yousheng Xu,  Shankland, A.G. Duba </t>
  </si>
  <si>
    <t xml:space="preserve">Pressure effect on electrical conductivity of mantle olivine </t>
  </si>
  <si>
    <t>polycrystal average</t>
  </si>
  <si>
    <t>Anisotropy of electrical conductivity in dry olivine</t>
  </si>
  <si>
    <t>Wyatt L. Du Frane, Jeffery J. Roberts, Daniel A. Toffelmier,and James A. Tyburczy</t>
  </si>
  <si>
    <t>10.1029/2005GL023879</t>
  </si>
  <si>
    <t>single crystal olivine</t>
  </si>
  <si>
    <t>arrhenious_fugacity+arrhenious_simple</t>
  </si>
  <si>
    <t>CO2:CO</t>
  </si>
  <si>
    <t>afO2^b exp(c/kT) + d exp(e/kT)</t>
  </si>
  <si>
    <t>SEO3: A new model of olivine electrical conductivity</t>
  </si>
  <si>
    <t>Steven Constable</t>
  </si>
  <si>
    <t>10.1111/j.1365-246X.2006.03041.x</t>
  </si>
  <si>
    <t>reanalysis</t>
  </si>
  <si>
    <t>g</t>
  </si>
  <si>
    <t>g_uncertainty</t>
  </si>
  <si>
    <t>h_description</t>
  </si>
  <si>
    <t>c_description</t>
  </si>
  <si>
    <t>d_description</t>
  </si>
  <si>
    <t>e_description</t>
  </si>
  <si>
    <t>f_description</t>
  </si>
  <si>
    <t>g_description</t>
  </si>
  <si>
    <t>i</t>
  </si>
  <si>
    <t>i_uncertainty</t>
  </si>
  <si>
    <t>i_description</t>
  </si>
  <si>
    <t>j</t>
  </si>
  <si>
    <t>j_uncertainty</t>
  </si>
  <si>
    <t>j_description</t>
  </si>
  <si>
    <t>k</t>
  </si>
  <si>
    <t>k_uncertainty</t>
  </si>
  <si>
    <t>k_description</t>
  </si>
  <si>
    <t>L</t>
  </si>
  <si>
    <t>L_uncertainty</t>
  </si>
  <si>
    <t>L_description</t>
  </si>
  <si>
    <t>m</t>
  </si>
  <si>
    <t>m_uncertainty</t>
  </si>
  <si>
    <t>m_description</t>
  </si>
  <si>
    <t>n</t>
  </si>
  <si>
    <t>n_uncertainty</t>
  </si>
  <si>
    <t>n_description</t>
  </si>
  <si>
    <t>O</t>
  </si>
  <si>
    <t>O_description</t>
  </si>
  <si>
    <t>p</t>
  </si>
  <si>
    <t>p_uncertainty</t>
  </si>
  <si>
    <t>p_description</t>
  </si>
  <si>
    <t>The effect of water on the electrical conductivity of olivine</t>
  </si>
  <si>
    <t xml:space="preserve">10.1038/nature05256 </t>
  </si>
  <si>
    <t>synthetic sinter</t>
  </si>
  <si>
    <t xml:space="preserve">Ni–NiO </t>
  </si>
  <si>
    <t>wang_06_ol</t>
  </si>
  <si>
    <t>arrhenious_simple+water_exponent_arrhenious</t>
  </si>
  <si>
    <t>a exp(-b /kT)+c Cw^d exp( -e /kT)</t>
  </si>
  <si>
    <t>synthetic aggregate</t>
  </si>
  <si>
    <t xml:space="preserve">The effect of water on the electrical conductivity of olivine aggregates and its implications for the electrical structure of the upper mantle </t>
  </si>
  <si>
    <t xml:space="preserve">Takashi Yoshino, Takuya Matsuzaki, Anton Shatskiy, Tomoo Katsura </t>
  </si>
  <si>
    <t xml:space="preserve">10.1016/j.epsl.2009.09.032 </t>
  </si>
  <si>
    <t>Effect of temperature, pressure and iron content on the electrical conductivity of olivine and its high-pressure polymorphs</t>
  </si>
  <si>
    <t>Takashi Yoshino, Akira Shimojuku, Shuanming Shan, Xinzhuan Guo, Daisuke Yamazaki, Eiji Ito, Yuji Higo, Ken-ichi Funakoshi</t>
  </si>
  <si>
    <t>10.1029/2011JB008774</t>
  </si>
  <si>
    <t>a X_fe exp( -(b - c* Xfe^1/3 + P( d - e Xfe)/kT)</t>
  </si>
  <si>
    <t>Toward a unified hydrous olivine electrical conductivity law</t>
  </si>
  <si>
    <t>Emmanuel Gardés, Fabrice Gaillard, Pascal Tarits</t>
  </si>
  <si>
    <t>10.1002/2014GC005496</t>
  </si>
  <si>
    <t>Pressure dependence of electrical conductivity in forsterite</t>
  </si>
  <si>
    <t>Takashi Yoshino, Baohua Zhang, Brandon Rhymer, Chengcheng Zhao, Hongzhan Fei</t>
  </si>
  <si>
    <t>10.1002/2016JB013555</t>
  </si>
  <si>
    <t>forsterite</t>
  </si>
  <si>
    <t>a exp( - (b + Pc)/kt)</t>
  </si>
  <si>
    <t>10.1038/s41598-017-05113-6</t>
  </si>
  <si>
    <t>Hydrogen self-diffusion in single crystal olivine and electrical conductivity of the Earth’s mantle</t>
  </si>
  <si>
    <t>Davide Novella, Benjamin Jacobsen, Peter K. Weber, James A. Tyburczy, Frederick J. Ryerson, &amp; Wyatt L. Du Frane</t>
  </si>
  <si>
    <t>H-D Interdiffusion in Single-Crystal Olivine: Implications for Electrical Conductivity in the Upper Mantle</t>
  </si>
  <si>
    <t>Wei Sun, Takashi Yoshino, Minami Kuroda, Naoya Sakamoto, Hisayoshi Yurimoto</t>
  </si>
  <si>
    <t>10.1029/2019JB017576</t>
  </si>
  <si>
    <t>a Cw^(1+b) exp( c/kT)/kT</t>
  </si>
  <si>
    <t xml:space="preserve">C_h exp( a - b/(ln(10)RT))/kT </t>
  </si>
  <si>
    <t>a exp( - (b + Pc)/kt) + e exp( - (f + Pg)/kt)</t>
  </si>
  <si>
    <t>arrhenious_pressure+arrhenious_pressure</t>
  </si>
  <si>
    <t>nerst_einstien_3</t>
  </si>
  <si>
    <t>The Effect of Water on Ionic Conductivity in Olivine</t>
  </si>
  <si>
    <t>Hongzhan Fei , Dmitry Druzhbin, and Tomoo Katsura</t>
  </si>
  <si>
    <t>10.1029/2019JB019313</t>
  </si>
  <si>
    <t>a Cw^b exp(-(c + Pd)/kT)/T + e exp( - (f + Pg)/kt)</t>
  </si>
  <si>
    <t>[001]</t>
  </si>
  <si>
    <t>[100]</t>
  </si>
  <si>
    <t>[010]</t>
  </si>
  <si>
    <t>[110]</t>
  </si>
  <si>
    <t>full fit</t>
  </si>
  <si>
    <t>Complete or Partial Fit</t>
  </si>
  <si>
    <t>Composite or single</t>
  </si>
  <si>
    <t>single</t>
  </si>
  <si>
    <t>composite</t>
  </si>
  <si>
    <t>ionic</t>
  </si>
  <si>
    <t>proton</t>
  </si>
  <si>
    <t>Duojun Wang, Mainak Mookherjee, Yousheng Xu, Shun-ichiro Karato</t>
  </si>
  <si>
    <t>a_uncertainty</t>
  </si>
  <si>
    <t>arrhenious_logfO2_2</t>
  </si>
  <si>
    <t>water_exponent_arrhenious_pressure_invT + arrhenious_pressure</t>
  </si>
  <si>
    <t>arrhenious_simple+arrhenious_simple+water_preexp_enthalpy_arrhenious</t>
  </si>
  <si>
    <t>arrhenious_simple+water_preexp_enthalpy_arrhenious</t>
  </si>
  <si>
    <t>arrhenious_pressure+iron_preexp_enthalpy_arrhenious</t>
  </si>
  <si>
    <t>iron_preexp_enthalpy_arrhenious</t>
  </si>
  <si>
    <t>iron_water_arrhenious1</t>
  </si>
  <si>
    <t>iron_water_arrhenious2</t>
  </si>
  <si>
    <t>Entry ID</t>
  </si>
  <si>
    <t>Publication ID</t>
  </si>
  <si>
    <t>wang2008</t>
  </si>
  <si>
    <t>xu1999</t>
  </si>
  <si>
    <t>HuebnerVoight1988</t>
  </si>
  <si>
    <t>ZhangYoshino2016</t>
  </si>
  <si>
    <t>YangMcCammon2012</t>
  </si>
  <si>
    <t>Zhang2012</t>
  </si>
  <si>
    <t>Sun2019a</t>
  </si>
  <si>
    <t>Han2023</t>
  </si>
  <si>
    <t>Zhang2019</t>
  </si>
  <si>
    <t>DaiKarato2009b</t>
  </si>
  <si>
    <t>Li2018</t>
  </si>
  <si>
    <t>Li2016</t>
  </si>
  <si>
    <t>Sun2018</t>
  </si>
  <si>
    <t>Pommier2010</t>
  </si>
  <si>
    <t>Constable1992</t>
  </si>
  <si>
    <t>xu2000</t>
  </si>
  <si>
    <t>DuFrane2005</t>
  </si>
  <si>
    <t>Constable2006</t>
  </si>
  <si>
    <t>Wang2006</t>
  </si>
  <si>
    <t>Yoshino2009</t>
  </si>
  <si>
    <t>Yoshino2012b</t>
  </si>
  <si>
    <t>Yoshino2012a</t>
  </si>
  <si>
    <t>Gardes2014</t>
  </si>
  <si>
    <t>Novella2017</t>
  </si>
  <si>
    <t>Sun2019b</t>
  </si>
  <si>
    <t>Fei2020</t>
  </si>
  <si>
    <t>DaiKarato2009a</t>
  </si>
  <si>
    <t>Orientation-related electrical conductivity of hydrous olivine, clinopyroxene and plagioclase and implications for the structure of the lower continental crust and uppermost mantle</t>
  </si>
  <si>
    <t>Xiaozhi Yang</t>
  </si>
  <si>
    <t>10.1016/j.epsl.2011.11.011</t>
  </si>
  <si>
    <t>Effect of water on the electrical conductivity of lower crustal clinopyroxene</t>
  </si>
  <si>
    <t>Xiaozhi Yang, Hans Keppler, Catherine McCammon, Huaiwei Ni, Qunke Xia,2 and Qicheng Fan3</t>
  </si>
  <si>
    <t>10.1029/2010JB008010</t>
  </si>
  <si>
    <t>Johnson and Rossman (2003)</t>
  </si>
  <si>
    <t>dry</t>
  </si>
  <si>
    <t>wet</t>
  </si>
  <si>
    <t>partial</t>
  </si>
  <si>
    <t>yang_12b_cpx[100]</t>
  </si>
  <si>
    <t>yang_12b_cpx[010]</t>
  </si>
  <si>
    <t>yang_12b_cpx[001]</t>
  </si>
  <si>
    <t>yang_12b_plag[100]</t>
  </si>
  <si>
    <t>yang_12b_plag[010]</t>
  </si>
  <si>
    <t>yang_12b_plag[001]</t>
  </si>
  <si>
    <t>Liu2019</t>
  </si>
  <si>
    <t>a_description</t>
  </si>
  <si>
    <t>b_description</t>
  </si>
  <si>
    <t>O_uncertainty</t>
  </si>
  <si>
    <t>b</t>
  </si>
  <si>
    <t>c</t>
  </si>
  <si>
    <t>nerst_einstein_2</t>
  </si>
  <si>
    <t>10**(a - b/kT + c log(fo2))</t>
  </si>
  <si>
    <t>Granite QGNP wet</t>
  </si>
  <si>
    <t xml:space="preserve"> pyr-ol majorite</t>
  </si>
  <si>
    <t>morb majorite</t>
  </si>
  <si>
    <t>data table specifies simga0 as 340, but the graph requires a sigma of 240 to match the data</t>
  </si>
  <si>
    <t>Fitting Comments</t>
  </si>
  <si>
    <t>data table specifies simga0 as 2762, but the graph requires a sigma of log10(sigma0)=3.3 to match the data</t>
  </si>
  <si>
    <t>mixed high-low mechanisms. Preexp adjusted to match graph</t>
  </si>
  <si>
    <t>preexp increased upwards to match graph. Publication lists 1254</t>
  </si>
  <si>
    <t xml:space="preserve">Eqn only works if offset temp by +120, increments by 60, T goes up to 1473, and fO2 is multiplied by 0.7. </t>
  </si>
  <si>
    <t>Eqn only works if offset temp + 110, ends at 1375, incremebts by 60, and fO2 is multiplied by 0.8</t>
  </si>
  <si>
    <t>Plot says its for 8 Gpa but equation works only when P=5</t>
  </si>
  <si>
    <t>Electrical conductivity of orthopyroxene and its high pressure phases</t>
  </si>
  <si>
    <t>Dai_gt_2012</t>
  </si>
  <si>
    <t>Dai_gt_2013</t>
  </si>
  <si>
    <t>Electrical conductivity of hydrous basaltic melts: implications for partial melting in the upper mantle</t>
  </si>
  <si>
    <t>Huaiwei Ni,  Hans Keppler, Harald Behrens</t>
  </si>
  <si>
    <t>10.1007/s00410-011-0617-4</t>
  </si>
  <si>
    <t>hydrous basaltic melt</t>
  </si>
  <si>
    <t>synthetic oxide glass</t>
  </si>
  <si>
    <t>a exp( - (b - c Cw^d)/k(T-e))</t>
  </si>
  <si>
    <t>vft_wet</t>
  </si>
  <si>
    <t>NiH2011</t>
  </si>
  <si>
    <t>Karl Fischer Titration</t>
  </si>
  <si>
    <t>mathed parameterization to fit the VFT in exponential form</t>
  </si>
  <si>
    <t>The electrical conductivity during incipient melting in the oceanic low-velocity zone</t>
  </si>
  <si>
    <t>David Sifré, Emmanuel Gardés, Malcolm Massuyeau, Leila Hashim, Saswata Hier-Majumder, Fabrice Gaillard</t>
  </si>
  <si>
    <t>10.1038/nature13245</t>
  </si>
  <si>
    <t>hydrous and CO2 melt</t>
  </si>
  <si>
    <t>sifre_14_carb_h_basalt</t>
  </si>
  <si>
    <t>Sif2014</t>
  </si>
  <si>
    <t>mixture</t>
  </si>
  <si>
    <t>C-Co2</t>
  </si>
  <si>
    <t>Flash 2000 Thermo-Fischer</t>
  </si>
  <si>
    <t>exp [{a exp(bCw) +c}h + i] exp(  -{a exp(bCw) +c}/kT)+exp [{d exp(eCw) +f}j + k] exp(  -d exp(eCw) +f}/kT)</t>
  </si>
  <si>
    <t>linked_arrhenious_wet+linked_arrhenious_co2</t>
  </si>
  <si>
    <t>only works when the small polaron conduction enthalpy is set to 1.5 and the water exponent in proton conduction is one</t>
  </si>
  <si>
    <t>a exp(-b /kT)+c exp(-d /kT)+eCw exp( -(f + g C_w^(h) /kT)</t>
  </si>
  <si>
    <t>a exp( -b /kT)+c Cw exp( -(d + e C_w^(h) /kT)</t>
  </si>
  <si>
    <t>a exp(-b /kT)+c exp( -d /kT)+eCw exp( -(f + g C_w^(h) /kT)</t>
  </si>
  <si>
    <t>nerst_einstein1+arrhenious_simple</t>
  </si>
  <si>
    <t>Dry mantle transition zone inferred from the conductivity of wadsleyite and ringwoodite</t>
  </si>
  <si>
    <t>Takashi Yoshino, Geeth Manthilake, Takuya Matsuzaki,  Tomoo Katsura</t>
  </si>
  <si>
    <t>doi:10.1038/nature06427</t>
  </si>
  <si>
    <t>Yoshino2008a</t>
  </si>
  <si>
    <t>Yoshino2008b</t>
  </si>
  <si>
    <t>Mo–MoO2</t>
  </si>
  <si>
    <t>1.49</t>
  </si>
  <si>
    <t>0.1</t>
  </si>
  <si>
    <t>a exp(b/kT) Ch /kT</t>
  </si>
  <si>
    <t>actual preexp had to be adjusted downwards slightly to match conductivity figures. Preexp also contains adjustment factors not given in publication. Enthalpy also converted to EV and adjusted to match diffusion graph</t>
  </si>
  <si>
    <t>Yang2011a</t>
  </si>
  <si>
    <t>Yang2011b</t>
  </si>
  <si>
    <t>Yang2012</t>
  </si>
  <si>
    <t>granite</t>
  </si>
  <si>
    <t>granulite</t>
  </si>
  <si>
    <t>a (X_fe+b)^c Cw^d exp( (-e- f(X_fe+b)- gCw^(h))/kT)</t>
  </si>
  <si>
    <t>Unrealistic preexp values. Values matched when using them in a non log way. Water values correspond to mass  loss attributed to water between ~700 and 900k</t>
  </si>
  <si>
    <t>Unrealistic preexp values. Values matched when using them in a non log way and when removing -0.5 log10 units from this row.Water values correspond to mass  loss attributed to water between ~700 and 900k</t>
  </si>
  <si>
    <t xml:space="preserve">had to add a miniscule amount of iron (1e-4) to make equation stable in 'iron free' realms. Eqn also doesn't match publication exactly. </t>
  </si>
  <si>
    <t>original exponent is 0.94. Better correspondence is had with 0.97</t>
  </si>
  <si>
    <t>preexp increased upwards to match graph.</t>
  </si>
  <si>
    <t>Experimental Study on the Electrical Conductivity of Orthopyroxene at High Temperature and High Pressure under Different Oxygen Fugacities</t>
  </si>
  <si>
    <t>Dai Lidong, Li Heping, Liu Congqiang,Shan Shuangming, Cui Tongdi, and Su Genli</t>
  </si>
  <si>
    <t>10.1111/j.1755-6724.2005.tb00935.x</t>
  </si>
  <si>
    <t>a exp( -b +Pc /kT)</t>
  </si>
  <si>
    <t>Dai2005</t>
  </si>
  <si>
    <t xml:space="preserve"> </t>
  </si>
  <si>
    <t xml:space="preserve">used an activation volume of 3.9 instead of 0.03 to fit figure. Reduced activation energy to 1.68 as well. </t>
  </si>
  <si>
    <t>had to adjust preexp log upwards by 0.2 for first mechanism. Second mechanism had to be adjusted downward 0.4 log units in the preexp. The second enthalpy also needed adjustment</t>
  </si>
  <si>
    <t>seo3_term+seo3_term</t>
  </si>
  <si>
    <t>e0*[a∗exp(b/kT) + c∗exp(d/kT)fO2∧e]∗f∗exp(g/kT)+e0*[h∗exp(i/kT) + j∗exp(k/kT)fO2∧l]∗m∗exp(n/kT)</t>
  </si>
  <si>
    <t>exp</t>
  </si>
  <si>
    <t>adjusted preexp A1 downward by 0.1 and A2 down by .75 log units</t>
  </si>
  <si>
    <t>Yoshino2016</t>
  </si>
  <si>
    <t xml:space="preserve">a C_h q^2 (b exp(-h/kT))/kT </t>
  </si>
  <si>
    <t>may be inaccurate at high (&gt;200 ppm) water contents.</t>
  </si>
  <si>
    <t>sigma2 reduced by 0.02 to conform to low temp trends. May be inaccurate at high water contents (&gt;100 ppm)</t>
  </si>
  <si>
    <t>sigma1 increased by 0.02 and sigma2 increased by 0.07</t>
  </si>
  <si>
    <t>Pressure Average</t>
  </si>
  <si>
    <t>Pressure Min</t>
  </si>
  <si>
    <t>Pressure Max</t>
  </si>
  <si>
    <t>Temp Min</t>
  </si>
  <si>
    <t>Temp Max</t>
  </si>
  <si>
    <t>Electrical conductivity of hydrous natural basalts at high temperatures and pressures</t>
  </si>
  <si>
    <t>https://doi.org/10.1016/j.jappgeo.2014.12.007</t>
  </si>
  <si>
    <t>Ni–NiO</t>
  </si>
  <si>
    <t>natural basalts</t>
  </si>
  <si>
    <t>SIMS</t>
  </si>
  <si>
    <t>a Cw^b exp( -(c + d C_w^(e) + Pf)/kT)+g Cw^h exp( -(i + j C_w^(k) + PL)/kT)</t>
  </si>
  <si>
    <t>water_preexp_enthalpy_pressure+water_preexp_enthalpy_pressure</t>
  </si>
  <si>
    <t>Dai2015</t>
  </si>
  <si>
    <t>water_exp</t>
  </si>
  <si>
    <t>original equation doesn't include a volume term. Adjusting the alpha to 0.3, and fiddling with the preexponentail constants gets something pretty close to the publication graph that includes pressure.</t>
  </si>
  <si>
    <t>yang_11b_nat_cpx</t>
  </si>
  <si>
    <t>yang_11b_wet_cpx</t>
  </si>
  <si>
    <t>yang_11b_dry_cpx</t>
  </si>
  <si>
    <t>yang_12b_ol[100]</t>
  </si>
  <si>
    <t>yang_12b_ol[010]</t>
  </si>
  <si>
    <t>yang_12b_ol[001]</t>
  </si>
  <si>
    <t>SEO3_ol</t>
  </si>
  <si>
    <t>dF_05_ol[100]</t>
  </si>
  <si>
    <t>dF_05_ol[010]</t>
  </si>
  <si>
    <t>dF_05_ol[001]</t>
  </si>
  <si>
    <t>xu_2000_poly_ol</t>
  </si>
  <si>
    <t>xu_2000_ol[001]</t>
  </si>
  <si>
    <t>xu_2000_ol[010]</t>
  </si>
  <si>
    <t>xu_2000_ol[100]</t>
  </si>
  <si>
    <t>SEO2_ol</t>
  </si>
  <si>
    <t>sun_18_wads[001]</t>
  </si>
  <si>
    <t>sun_18_wads[010]</t>
  </si>
  <si>
    <t>sun_18_wads[100]</t>
  </si>
  <si>
    <t>yL_16_phlogopite[010]</t>
  </si>
  <si>
    <t>yL_16_phlogopite[110]</t>
  </si>
  <si>
    <t>yL_16_phlogopite[001]</t>
  </si>
  <si>
    <t>yk_12_wads</t>
  </si>
  <si>
    <t>dai_13_alm_dry_gt</t>
  </si>
  <si>
    <t>dai_12_wet_gt</t>
  </si>
  <si>
    <t>dai_09_wet_gt</t>
  </si>
  <si>
    <t>dai_09_dry_gt</t>
  </si>
  <si>
    <t>dai_12_dry_gt</t>
  </si>
  <si>
    <t>Liu_19_gt</t>
  </si>
  <si>
    <t>ys_08_lowT_mj_gt</t>
  </si>
  <si>
    <t>ys_08_highT_mj_gt</t>
  </si>
  <si>
    <t>ys_08_mixedT_mj_gt</t>
  </si>
  <si>
    <t>ys_08_morb_mj_gt</t>
  </si>
  <si>
    <t>Li_18_1%plg_brine</t>
  </si>
  <si>
    <t>Li_18_25%plg_brine</t>
  </si>
  <si>
    <t>Li_18_10%plg_brine</t>
  </si>
  <si>
    <t>Li_18_3%alb_brine</t>
  </si>
  <si>
    <t>Li_18_10%alb_brine</t>
  </si>
  <si>
    <t>Li_18_dry_plag</t>
  </si>
  <si>
    <t>Li_18_wet_plag</t>
  </si>
  <si>
    <t>han_23_HD_granite</t>
  </si>
  <si>
    <t>han_23_QD_low_granite</t>
  </si>
  <si>
    <t>han_23_QD_high_granite</t>
  </si>
  <si>
    <t>han_23_QP_low_granite</t>
  </si>
  <si>
    <t>han_23_QP_high_granite</t>
  </si>
  <si>
    <t>zh_2012_ortho</t>
  </si>
  <si>
    <t>sun_19_ds15_2_granulite</t>
  </si>
  <si>
    <t>sun_19_ds16_2_granulite</t>
  </si>
  <si>
    <t>sun_19_ds16_1_low_granulite</t>
  </si>
  <si>
    <t>sun_19_ds16_1_high_granulite</t>
  </si>
  <si>
    <t>sun_19_ds17_2_low_granulite</t>
  </si>
  <si>
    <t>sun_19_ds17_2_high_granulite</t>
  </si>
  <si>
    <t>sun_19_ds17_3_low_granulite</t>
  </si>
  <si>
    <t>sun_19_ds17_3_high_granulite</t>
  </si>
  <si>
    <t>xu_1999_opx</t>
  </si>
  <si>
    <t>xu_1999_cpx</t>
  </si>
  <si>
    <t>huebner88_dk7_cpx[100]</t>
  </si>
  <si>
    <t>huebner88_dk7_cpx[010]</t>
  </si>
  <si>
    <t>huebner88_dk7_cpx[001]</t>
  </si>
  <si>
    <t>huebner88_mal_cpx[100]</t>
  </si>
  <si>
    <t>huebner88_mal_cpx[010]</t>
  </si>
  <si>
    <t>d_2005_opx</t>
  </si>
  <si>
    <t>dk_2009_opx</t>
  </si>
  <si>
    <t>dk_2009_ol</t>
  </si>
  <si>
    <t>yang_11a_opx</t>
  </si>
  <si>
    <t>yang_11a_plag</t>
  </si>
  <si>
    <t>ymcc_12_wet_cpx</t>
  </si>
  <si>
    <t>ty_09_ol</t>
  </si>
  <si>
    <t>ty_12_ol</t>
  </si>
  <si>
    <t>gar_14_bell_ol[100]</t>
  </si>
  <si>
    <t>gar_14_bell_ol[010]</t>
  </si>
  <si>
    <t>gar_14_bell_ol[001]</t>
  </si>
  <si>
    <t>gar_14_withers_ol[100]</t>
  </si>
  <si>
    <t>gar_14_withers_ol[010]</t>
  </si>
  <si>
    <t>gar_14_withers_ol[001]</t>
  </si>
  <si>
    <t>y_16_ol[100]</t>
  </si>
  <si>
    <t>y_16_ol[010]</t>
  </si>
  <si>
    <t>y_16_ol[001]</t>
  </si>
  <si>
    <t>nv_17_ol[100]</t>
  </si>
  <si>
    <t>nv_17_ol[010]</t>
  </si>
  <si>
    <t>nv_17_ol[001]</t>
  </si>
  <si>
    <t>sun_19ol[100]</t>
  </si>
  <si>
    <t>sun_19ol[001]</t>
  </si>
  <si>
    <t>fei_20_ol[100]</t>
  </si>
  <si>
    <t>fei_20_ol[010]</t>
  </si>
  <si>
    <t>fei_20_ol[001]</t>
  </si>
  <si>
    <t>dai_15_basalt</t>
  </si>
  <si>
    <t>y_08_wads</t>
  </si>
  <si>
    <t>nih_11_basalt_hydrous</t>
  </si>
  <si>
    <t>pom_10b_basalt</t>
  </si>
  <si>
    <t>ymcc_12_dry_cpx</t>
  </si>
  <si>
    <t xml:space="preserve">The Electrical Conductivity of an Isotropic Olivine Mantle </t>
  </si>
  <si>
    <t>olivine dry</t>
  </si>
  <si>
    <t>ty_09_dry_ol</t>
  </si>
  <si>
    <t>a exp(-b /kT)+c exp(-d /kT)</t>
  </si>
  <si>
    <t>peridotite</t>
  </si>
  <si>
    <t>wang_08_per</t>
  </si>
  <si>
    <t>Electrical conductivity of omphacite and garnet indicates limited deep water recycling by crust subduction</t>
  </si>
  <si>
    <t>https://doi.org/10.1016/j.epsl.2021.116784</t>
  </si>
  <si>
    <t>hydrous iron oomphacite with garnet</t>
  </si>
  <si>
    <t>sintered natural material</t>
  </si>
  <si>
    <t>Liu2021</t>
  </si>
  <si>
    <t>molar weight, MgO normalized</t>
  </si>
  <si>
    <t>Ni-NiO</t>
  </si>
  <si>
    <t>iron preexp</t>
  </si>
  <si>
    <t>hydrous garnet</t>
  </si>
  <si>
    <t>Liu_21_gt</t>
  </si>
  <si>
    <t>Fitted curves don't match data trends. Linear fits are probably not from fitted equations. New constants fit the slopes but are about 0.1-0.2 log units misfit at lower water contents. Overpredicts at low water contents.</t>
  </si>
  <si>
    <t>Lidong Dai, Jianjun Jiang, Heping Li, Haiying Hu, Keshi Hui</t>
  </si>
  <si>
    <t>Hanyong Liu, Kai Zhang, Jannick Ingrin, Xiaozhi Yang </t>
  </si>
  <si>
    <t>iron_offset</t>
  </si>
  <si>
    <t>a (X_fe+b)^c Cw^d exp( -(e+ f(X_fe+b)^g+hCw^(i))/kT)</t>
  </si>
  <si>
    <t>4085*10</t>
  </si>
  <si>
    <t>preexp had to go up by x42 to work</t>
  </si>
  <si>
    <t>total_frac</t>
  </si>
  <si>
    <t>omphacite</t>
  </si>
  <si>
    <t>zhang_19_omph</t>
  </si>
  <si>
    <t>Liu_19_omph</t>
  </si>
  <si>
    <t>Liu_21_omph</t>
  </si>
  <si>
    <t>could not match equation exactly but found constants which match data closer than graph</t>
  </si>
  <si>
    <t>Electrical conductivity of dry lower crustal rocks</t>
  </si>
  <si>
    <t>K. A. Kariya and T. J. Shankland</t>
  </si>
  <si>
    <t>https://doi.org/10.1190/1.1441407</t>
  </si>
  <si>
    <t xml:space="preserve">granite </t>
  </si>
  <si>
    <t>a exp(-b/kT)</t>
  </si>
  <si>
    <t>Karia1983</t>
  </si>
  <si>
    <t>ks_83_granite</t>
  </si>
  <si>
    <t>gabbro</t>
  </si>
  <si>
    <t>basalt</t>
  </si>
  <si>
    <t>ks_83_gabbro</t>
  </si>
  <si>
    <t>ks_83_basalt</t>
  </si>
  <si>
    <t>had to multiply the eV's by about ~2.28-2.3 to match publication values</t>
  </si>
  <si>
    <t>None</t>
  </si>
  <si>
    <t>had to multiply the eV's by about ~2.28-2.3 to match publication values.</t>
  </si>
  <si>
    <t>Effect of Temperature, Pressure, and Chemical Composition on the Electrical Conductivity of Schist: Implications for Electrical Structures under the Tibetan Plateau</t>
  </si>
  <si>
    <t>Wenqing Sun, Lidong Dai, Heping Li, Haiying Hu, Changcai Liu, and Mengqi Wang</t>
  </si>
  <si>
    <t>doi:10.3390/ma12060961</t>
  </si>
  <si>
    <t>schist</t>
  </si>
  <si>
    <t>natural samples</t>
  </si>
  <si>
    <t>Sun2019c</t>
  </si>
  <si>
    <t>sun_19_schist_ds18</t>
  </si>
  <si>
    <t>sun_19_schist_ds20</t>
  </si>
  <si>
    <t>N-NO</t>
  </si>
  <si>
    <t>nan</t>
  </si>
  <si>
    <t xml:space="preserve">a Cw^b exp(-(c + Pd)/kT)/T </t>
  </si>
  <si>
    <t>fei_20_ol_ionic[100]</t>
  </si>
  <si>
    <t>fei_20_ol_ionic[010]</t>
  </si>
  <si>
    <t>fei_20_ol_ionic[001]</t>
  </si>
  <si>
    <t>water_exponent_arrhenious_pressure_invT</t>
  </si>
  <si>
    <t xml:space="preserve">water_exponent_arrhenious_pressure_invT </t>
  </si>
  <si>
    <t>paterson (1982)</t>
  </si>
  <si>
    <t>stochimetric</t>
  </si>
  <si>
    <t>Libowitzky and rossman (1996)</t>
  </si>
  <si>
    <t>katayama et al. (2006) </t>
  </si>
  <si>
    <t>withers (2012)</t>
  </si>
  <si>
    <t>bell (1995)</t>
  </si>
  <si>
    <t>bell (2003)</t>
  </si>
  <si>
    <t>kovács (2008)</t>
  </si>
  <si>
    <t>Electrical conductivity of NaCl-bearing aqueous fluids to 600 C and 1 Gpa</t>
  </si>
  <si>
    <t>Ryosuke Sinmyo and Hans Keppler</t>
  </si>
  <si>
    <t>doi:10.1007/s00410-016-1323-z</t>
  </si>
  <si>
    <t>NaCl-H2O brine</t>
  </si>
  <si>
    <t>synthetic brine</t>
  </si>
  <si>
    <t>a + b/T + c log(NaCl) + d log(rho) + log(e + f*rho + g/T + h/T^2)</t>
  </si>
  <si>
    <t>brinePTdependence</t>
  </si>
  <si>
    <t>sk2017</t>
  </si>
  <si>
    <t>sk17_brine</t>
  </si>
  <si>
    <t>Does not Fit below 400 k well. Used the IAPWS95 water standard for density</t>
  </si>
  <si>
    <t>Electrical Conductivity of NaCl-Bearing Aqueous Fluids to 900 °C and 5 GPa</t>
  </si>
  <si>
    <t>Haihao Guo, Hans Keppler</t>
  </si>
  <si>
    <t>https://doi.org/10.1029/2018JB016658</t>
  </si>
  <si>
    <t>gk2019</t>
  </si>
  <si>
    <t>gk19_brine</t>
  </si>
  <si>
    <t>does not fit as well below 1GPa and 575 k</t>
  </si>
  <si>
    <t>"SIGMELTS": A web portal for electrical conductivity calculations in geosciences</t>
  </si>
  <si>
    <t>A. Pommier, E. Le-Trong</t>
  </si>
  <si>
    <t>10.1016/j.cageo.2011.01.002</t>
  </si>
  <si>
    <t>silicate melt</t>
  </si>
  <si>
    <t>empirical fit</t>
  </si>
  <si>
    <t>a exp(-b/kT), but more complicated. See notes</t>
  </si>
  <si>
    <t>multiple</t>
  </si>
  <si>
    <t>Lots of adjustments needed to work with eV and non-log standards</t>
  </si>
  <si>
    <t>enthalpy-standard-state</t>
  </si>
  <si>
    <t>na2o1</t>
  </si>
  <si>
    <t>na2o2</t>
  </si>
  <si>
    <t>na2o3</t>
  </si>
  <si>
    <t>na2o4</t>
  </si>
  <si>
    <t>activation volume</t>
  </si>
  <si>
    <t>enthalpy_water</t>
  </si>
  <si>
    <t>sigma_c</t>
  </si>
  <si>
    <t>sigma_sio2</t>
  </si>
  <si>
    <t>sigma_T</t>
  </si>
  <si>
    <t>sigma_P</t>
  </si>
  <si>
    <t>sigma_log_water</t>
  </si>
  <si>
    <t>sigma_na2o</t>
  </si>
  <si>
    <t>sigma_water</t>
  </si>
  <si>
    <t>enthalpy_mult</t>
  </si>
  <si>
    <t>lower_silica</t>
  </si>
  <si>
    <t>upper_silica</t>
  </si>
  <si>
    <t>q</t>
  </si>
  <si>
    <t>q_uncertainty</t>
  </si>
  <si>
    <t>q_description</t>
  </si>
  <si>
    <t>r</t>
  </si>
  <si>
    <t>r_uncertainty</t>
  </si>
  <si>
    <t>r_description</t>
  </si>
  <si>
    <t>s</t>
  </si>
  <si>
    <t>s_uncertainty</t>
  </si>
  <si>
    <t>s_description</t>
  </si>
  <si>
    <t>t</t>
  </si>
  <si>
    <t>t_uncertainty</t>
  </si>
  <si>
    <t>t_description</t>
  </si>
  <si>
    <t>u</t>
  </si>
  <si>
    <t>u_uncertainty</t>
  </si>
  <si>
    <t>u_description</t>
  </si>
  <si>
    <t>v</t>
  </si>
  <si>
    <t>v_uncertainty</t>
  </si>
  <si>
    <t>v_description</t>
  </si>
  <si>
    <t>w</t>
  </si>
  <si>
    <t>w_uncertainty</t>
  </si>
  <si>
    <t>w_description</t>
  </si>
  <si>
    <t>x</t>
  </si>
  <si>
    <t>x_uncertainty</t>
  </si>
  <si>
    <t>x_description</t>
  </si>
  <si>
    <t>y</t>
  </si>
  <si>
    <t>y_uncertainty</t>
  </si>
  <si>
    <t>y_description</t>
  </si>
  <si>
    <t>z</t>
  </si>
  <si>
    <t>z_uncertainty</t>
  </si>
  <si>
    <t>z_description</t>
  </si>
  <si>
    <t>aa</t>
  </si>
  <si>
    <t>aa_uncertainty</t>
  </si>
  <si>
    <t>aa_description</t>
  </si>
  <si>
    <t>ab</t>
  </si>
  <si>
    <t>ab_uncertainty</t>
  </si>
  <si>
    <t>ab_description</t>
  </si>
  <si>
    <t>ac</t>
  </si>
  <si>
    <t>ac_uncertainty</t>
  </si>
  <si>
    <t>ac_description</t>
  </si>
  <si>
    <t>ad</t>
  </si>
  <si>
    <t>ad_uncertainty</t>
  </si>
  <si>
    <t>ad_description</t>
  </si>
  <si>
    <t>ae</t>
  </si>
  <si>
    <t>ae_uncertainty</t>
  </si>
  <si>
    <t>ae_description</t>
  </si>
  <si>
    <t>af</t>
  </si>
  <si>
    <t>af_uncertainty</t>
  </si>
  <si>
    <t>af_description</t>
  </si>
  <si>
    <t>ag</t>
  </si>
  <si>
    <t>ag_uncertainty</t>
  </si>
  <si>
    <t>ag_description</t>
  </si>
  <si>
    <t>ah</t>
  </si>
  <si>
    <t>ah_uncertainty</t>
  </si>
  <si>
    <t>ah_description</t>
  </si>
  <si>
    <t>ai</t>
  </si>
  <si>
    <t>ai_uncertainty</t>
  </si>
  <si>
    <t>ai_description</t>
  </si>
  <si>
    <t>aj</t>
  </si>
  <si>
    <t>aj_uncertainty</t>
  </si>
  <si>
    <t>aj_description</t>
  </si>
  <si>
    <t>ak</t>
  </si>
  <si>
    <t>ak_uncertainty</t>
  </si>
  <si>
    <t>ak_description</t>
  </si>
  <si>
    <t>al</t>
  </si>
  <si>
    <t>al_uncertainty</t>
  </si>
  <si>
    <t>al_description</t>
  </si>
  <si>
    <t>am</t>
  </si>
  <si>
    <t>am_uncertainty</t>
  </si>
  <si>
    <t>am_description</t>
  </si>
  <si>
    <t>an</t>
  </si>
  <si>
    <t>an_uncertainty</t>
  </si>
  <si>
    <t>an_description</t>
  </si>
  <si>
    <t>ao</t>
  </si>
  <si>
    <t>ao_uncertainty</t>
  </si>
  <si>
    <t>ao_description</t>
  </si>
  <si>
    <t>ap</t>
  </si>
  <si>
    <t>ap_uncertainty</t>
  </si>
  <si>
    <t>ap_description</t>
  </si>
  <si>
    <t>aq</t>
  </si>
  <si>
    <t>aq_uncertainty</t>
  </si>
  <si>
    <t>aq_description</t>
  </si>
  <si>
    <t>ar</t>
  </si>
  <si>
    <t>ar_uncertainty</t>
  </si>
  <si>
    <t>ar_description</t>
  </si>
  <si>
    <t>as</t>
  </si>
  <si>
    <t>as_uncertainty</t>
  </si>
  <si>
    <t>as_description</t>
  </si>
  <si>
    <t>at</t>
  </si>
  <si>
    <t>at_uncertainty</t>
  </si>
  <si>
    <t>at_description</t>
  </si>
  <si>
    <t>au</t>
  </si>
  <si>
    <t>au_uncertainty</t>
  </si>
  <si>
    <t>au_description</t>
  </si>
  <si>
    <t>av</t>
  </si>
  <si>
    <t>av_uncertainty</t>
  </si>
  <si>
    <t>av_description</t>
  </si>
  <si>
    <t>aw</t>
  </si>
  <si>
    <t>aw_uncertainty</t>
  </si>
  <si>
    <t>aw_description</t>
  </si>
  <si>
    <t>ax</t>
  </si>
  <si>
    <t>ax_uncertainty</t>
  </si>
  <si>
    <t>ax_description</t>
  </si>
  <si>
    <t>ay</t>
  </si>
  <si>
    <t>ay_uncertainty</t>
  </si>
  <si>
    <t>ay_description</t>
  </si>
  <si>
    <t>az</t>
  </si>
  <si>
    <t>az_uncertainty</t>
  </si>
  <si>
    <t>az_description</t>
  </si>
  <si>
    <t>ba</t>
  </si>
  <si>
    <t>ba_uncertainty</t>
  </si>
  <si>
    <t>ba_description</t>
  </si>
  <si>
    <t>bb</t>
  </si>
  <si>
    <t>bb_uncertainty</t>
  </si>
  <si>
    <t>bb_description</t>
  </si>
  <si>
    <t>bc</t>
  </si>
  <si>
    <t>bc_uncertainty</t>
  </si>
  <si>
    <t>bc_description</t>
  </si>
  <si>
    <t>bd</t>
  </si>
  <si>
    <t>bd_uncertainty</t>
  </si>
  <si>
    <t>bd_description</t>
  </si>
  <si>
    <t>be</t>
  </si>
  <si>
    <t>be_uncertainty</t>
  </si>
  <si>
    <t>be_description</t>
  </si>
  <si>
    <t>bf</t>
  </si>
  <si>
    <t>bf_uncertainty</t>
  </si>
  <si>
    <t>bf_description</t>
  </si>
  <si>
    <t>bg</t>
  </si>
  <si>
    <t>bg_uncertainty</t>
  </si>
  <si>
    <t>bg_description</t>
  </si>
  <si>
    <t>bh</t>
  </si>
  <si>
    <t>bh_uncertainty</t>
  </si>
  <si>
    <t>bh_description</t>
  </si>
  <si>
    <t>bi</t>
  </si>
  <si>
    <t>bi_uncertainty</t>
  </si>
  <si>
    <t>bi_description</t>
  </si>
  <si>
    <t>bj</t>
  </si>
  <si>
    <t>bj_uncertainty</t>
  </si>
  <si>
    <t>bj_description</t>
  </si>
  <si>
    <t>bk</t>
  </si>
  <si>
    <t>bk_uncertainty</t>
  </si>
  <si>
    <t>bk_description</t>
  </si>
  <si>
    <t>bl</t>
  </si>
  <si>
    <t>bl_uncertainty</t>
  </si>
  <si>
    <t>bl_description</t>
  </si>
  <si>
    <t>bm</t>
  </si>
  <si>
    <t>bm_uncertainty</t>
  </si>
  <si>
    <t>bm_description</t>
  </si>
  <si>
    <t>bn</t>
  </si>
  <si>
    <t>bn_uncertainty</t>
  </si>
  <si>
    <t>bn_description</t>
  </si>
  <si>
    <t>bo</t>
  </si>
  <si>
    <t>bo_uncertainty</t>
  </si>
  <si>
    <t>bo_description</t>
  </si>
  <si>
    <t>bp</t>
  </si>
  <si>
    <t>bp_uncertainty</t>
  </si>
  <si>
    <t>bp_description</t>
  </si>
  <si>
    <t>bq</t>
  </si>
  <si>
    <t>bq_uncertainty</t>
  </si>
  <si>
    <t>bq_description</t>
  </si>
  <si>
    <t>br</t>
  </si>
  <si>
    <t>br_uncertainty</t>
  </si>
  <si>
    <t>br_description</t>
  </si>
  <si>
    <t>bs</t>
  </si>
  <si>
    <t>bs_uncertainty</t>
  </si>
  <si>
    <t>bs_description</t>
  </si>
  <si>
    <t>bt</t>
  </si>
  <si>
    <t>bt_uncertainty</t>
  </si>
  <si>
    <t>bt_description</t>
  </si>
  <si>
    <t>bu</t>
  </si>
  <si>
    <t>bu_uncertainty</t>
  </si>
  <si>
    <t>bu_description</t>
  </si>
  <si>
    <t>bv</t>
  </si>
  <si>
    <t>bv_uncertainty</t>
  </si>
  <si>
    <t>bv_description</t>
  </si>
  <si>
    <t>bw</t>
  </si>
  <si>
    <t>bw_uncertainty</t>
  </si>
  <si>
    <t>bw_description</t>
  </si>
  <si>
    <t>bx</t>
  </si>
  <si>
    <t>bx_uncertainty</t>
  </si>
  <si>
    <t>bx_description</t>
  </si>
  <si>
    <t>by</t>
  </si>
  <si>
    <t>by_uncertainty</t>
  </si>
  <si>
    <t>by_description</t>
  </si>
  <si>
    <t>bz</t>
  </si>
  <si>
    <t>bz_uncertainty</t>
  </si>
  <si>
    <t>bz_description</t>
  </si>
  <si>
    <t>ca</t>
  </si>
  <si>
    <t>cb_uncertainty</t>
  </si>
  <si>
    <t>ca_uncertainty</t>
  </si>
  <si>
    <t>ca_description</t>
  </si>
  <si>
    <t>cb</t>
  </si>
  <si>
    <t>cb_description</t>
  </si>
  <si>
    <t>cd</t>
  </si>
  <si>
    <t>cd_uncertainty</t>
  </si>
  <si>
    <t>cd_description</t>
  </si>
  <si>
    <t>SigPomm2011</t>
  </si>
  <si>
    <t>sigmelts_11_melt_a</t>
  </si>
  <si>
    <t>hydrous silicate melt</t>
  </si>
  <si>
    <t>(exp(a*ln(Cw) + b) * exp(-(c*ln(Cw) +d + e*P)/kT)</t>
  </si>
  <si>
    <t>sigmelts_lowwater+sigmelts_lowwater+sigmelts_lowwater</t>
  </si>
  <si>
    <t>sigmelts_highwater</t>
  </si>
  <si>
    <t>sigmelts_11_melt_b</t>
  </si>
  <si>
    <t>ln water_preexp</t>
  </si>
  <si>
    <t>ln_water_enthalpy</t>
  </si>
  <si>
    <t>sigma_ln_water</t>
  </si>
  <si>
    <t>CO2 Min</t>
  </si>
  <si>
    <t>CO2 Max</t>
  </si>
  <si>
    <t>CO2 Average</t>
  </si>
  <si>
    <t>Nacl Min</t>
  </si>
  <si>
    <t>Nacl Max</t>
  </si>
  <si>
    <t>Nacl average</t>
  </si>
  <si>
    <t>Na2O min</t>
  </si>
  <si>
    <t>Na2O max</t>
  </si>
  <si>
    <t>SiO2 min</t>
  </si>
  <si>
    <t>SiO2 max</t>
  </si>
  <si>
    <t>Na2O average</t>
  </si>
  <si>
    <t>SiO2 average</t>
  </si>
  <si>
    <t>plagioclase</t>
  </si>
  <si>
    <t>wet plagioclase</t>
  </si>
  <si>
    <t xml:space="preserve">1/3 exponent set to stdev of 1e-9 to act as precise value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</si>
</sst>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E+00"/>
    <numFmt numFmtId="165" formatCode="0.00000E+00"/>
  </numFmts>
  <fonts count="4" x14ac:knownFonts="1">
    <font>
      <sz val="12"/>
      <color theme="1"/>
      <name val="Calibri"/>
      <family val="2"/>
      <scheme val="minor"/>
    </font>
    <font>
      <sz val="12"/>
      <color rgb="FF006100"/>
      <name val="Calibri"/>
      <family val="2"/>
      <scheme val="minor"/>
    </font>
    <font>
      <sz val="12"/>
      <color rgb="FF9C5700"/>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9" tint="0.59999389629810485"/>
        <bgColor indexed="64"/>
      </patternFill>
    </fill>
  </fills>
  <borders count="1">
    <border>
      <start/>
      <end/>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4">
    <xf numFmtId="0" fontId="0" fillId="0" borderId="0" xfId="0"/>
    <xf numFmtId="0" fontId="2" fillId="3" borderId="0" xfId="2" applyAlignment="1">
      <alignment wrapText="1"/>
    </xf>
    <xf numFmtId="49" fontId="2" fillId="3" borderId="0" xfId="2" applyNumberFormat="1" applyAlignment="1">
      <alignment wrapText="1"/>
    </xf>
    <xf numFmtId="2" fontId="2" fillId="3" borderId="0" xfId="2" applyNumberFormat="1" applyAlignment="1">
      <alignment wrapText="1"/>
    </xf>
    <xf numFmtId="11" fontId="2" fillId="3" borderId="0" xfId="2" applyNumberFormat="1" applyAlignment="1">
      <alignment horizontal="right" wrapText="1"/>
    </xf>
    <xf numFmtId="164" fontId="2" fillId="3" borderId="0" xfId="2" applyNumberFormat="1" applyAlignment="1">
      <alignment wrapText="1"/>
    </xf>
    <xf numFmtId="164" fontId="2" fillId="3" borderId="0" xfId="2" applyNumberFormat="1" applyAlignment="1">
      <alignment horizontal="right" wrapText="1"/>
    </xf>
    <xf numFmtId="0" fontId="2" fillId="3" borderId="0" xfId="2"/>
    <xf numFmtId="165" fontId="2" fillId="3" borderId="0" xfId="2" applyNumberFormat="1" applyAlignment="1">
      <alignment horizontal="right" wrapText="1"/>
    </xf>
    <xf numFmtId="165" fontId="2" fillId="3" borderId="0" xfId="2" applyNumberFormat="1" applyAlignment="1">
      <alignment wrapText="1"/>
    </xf>
    <xf numFmtId="11" fontId="2" fillId="3" borderId="0" xfId="2" applyNumberFormat="1" applyAlignment="1">
      <alignment wrapText="1"/>
    </xf>
    <xf numFmtId="0" fontId="0" fillId="0" borderId="0" xfId="0" applyAlignment="1">
      <alignment wrapText="1"/>
    </xf>
    <xf numFmtId="49" fontId="0" fillId="0" borderId="0" xfId="0" applyNumberFormat="1" applyAlignment="1">
      <alignment wrapText="1"/>
    </xf>
    <xf numFmtId="164" fontId="0" fillId="0" borderId="0" xfId="0" applyNumberFormat="1" applyAlignment="1">
      <alignment horizontal="right" wrapText="1"/>
    </xf>
    <xf numFmtId="11" fontId="0" fillId="0" borderId="0" xfId="0" applyNumberFormat="1" applyAlignment="1">
      <alignment wrapText="1"/>
    </xf>
    <xf numFmtId="164" fontId="0" fillId="0" borderId="0" xfId="0" applyNumberFormat="1" applyAlignment="1">
      <alignment wrapText="1"/>
    </xf>
    <xf numFmtId="11" fontId="0" fillId="0" borderId="0" xfId="0" applyNumberFormat="1" applyAlignment="1">
      <alignment horizontal="right" wrapText="1"/>
    </xf>
    <xf numFmtId="165" fontId="0" fillId="0" borderId="0" xfId="0" applyNumberFormat="1" applyAlignment="1">
      <alignment horizontal="right" wrapText="1"/>
    </xf>
    <xf numFmtId="165" fontId="0" fillId="0" borderId="0" xfId="0" applyNumberFormat="1" applyAlignment="1">
      <alignment wrapText="1"/>
    </xf>
    <xf numFmtId="2" fontId="0" fillId="0" borderId="0" xfId="0" applyNumberFormat="1" applyAlignment="1">
      <alignment wrapText="1"/>
    </xf>
    <xf numFmtId="0" fontId="0" fillId="4" borderId="0" xfId="0" applyFill="1" applyAlignment="1">
      <alignment wrapText="1"/>
    </xf>
    <xf numFmtId="49" fontId="0" fillId="4" borderId="0" xfId="0" applyNumberFormat="1" applyFill="1" applyAlignment="1">
      <alignment wrapText="1"/>
    </xf>
    <xf numFmtId="164" fontId="0" fillId="4" borderId="0" xfId="0" applyNumberFormat="1" applyFill="1" applyAlignment="1">
      <alignment horizontal="right" wrapText="1"/>
    </xf>
    <xf numFmtId="11" fontId="0" fillId="4" borderId="0" xfId="0" applyNumberFormat="1" applyFill="1" applyAlignment="1">
      <alignment wrapText="1"/>
    </xf>
    <xf numFmtId="164" fontId="0" fillId="4" borderId="0" xfId="0" applyNumberFormat="1" applyFill="1" applyAlignment="1">
      <alignment wrapText="1"/>
    </xf>
    <xf numFmtId="11" fontId="0" fillId="4" borderId="0" xfId="0" applyNumberFormat="1" applyFill="1" applyAlignment="1">
      <alignment horizontal="right" wrapText="1"/>
    </xf>
    <xf numFmtId="165" fontId="0" fillId="4" borderId="0" xfId="0" applyNumberFormat="1" applyFill="1" applyAlignment="1">
      <alignment horizontal="right" wrapText="1"/>
    </xf>
    <xf numFmtId="165" fontId="0" fillId="4" borderId="0" xfId="0" applyNumberFormat="1" applyFill="1" applyAlignment="1">
      <alignment wrapText="1"/>
    </xf>
    <xf numFmtId="2" fontId="0" fillId="4" borderId="0" xfId="0" applyNumberFormat="1" applyFill="1" applyAlignment="1">
      <alignment wrapText="1"/>
    </xf>
    <xf numFmtId="0" fontId="0" fillId="2" borderId="0" xfId="1" applyFont="1" applyAlignment="1">
      <alignment wrapText="1"/>
    </xf>
    <xf numFmtId="49" fontId="0" fillId="2" borderId="0" xfId="1" applyNumberFormat="1" applyFont="1" applyAlignment="1">
      <alignment wrapText="1"/>
    </xf>
    <xf numFmtId="2" fontId="0" fillId="2" borderId="0" xfId="1" applyNumberFormat="1" applyFont="1" applyAlignment="1">
      <alignment wrapText="1"/>
    </xf>
    <xf numFmtId="164" fontId="0" fillId="2" borderId="0" xfId="1" applyNumberFormat="1" applyFont="1" applyAlignment="1">
      <alignment horizontal="right" wrapText="1"/>
    </xf>
    <xf numFmtId="11" fontId="0" fillId="2" borderId="0" xfId="1" applyNumberFormat="1" applyFont="1" applyAlignment="1">
      <alignment wrapText="1"/>
    </xf>
    <xf numFmtId="164" fontId="0" fillId="2" borderId="0" xfId="1" applyNumberFormat="1" applyFont="1" applyAlignment="1">
      <alignment wrapText="1"/>
    </xf>
    <xf numFmtId="11" fontId="0" fillId="2" borderId="0" xfId="1" applyNumberFormat="1" applyFont="1" applyAlignment="1">
      <alignment horizontal="right" wrapText="1"/>
    </xf>
    <xf numFmtId="165" fontId="0" fillId="2" borderId="0" xfId="1" applyNumberFormat="1" applyFont="1" applyAlignment="1">
      <alignment horizontal="right" wrapText="1"/>
    </xf>
    <xf numFmtId="165" fontId="0" fillId="2" borderId="0" xfId="1" applyNumberFormat="1" applyFont="1" applyAlignment="1">
      <alignment wrapText="1"/>
    </xf>
    <xf numFmtId="0" fontId="0" fillId="2" borderId="0" xfId="1" applyFont="1"/>
    <xf numFmtId="0" fontId="0" fillId="3" borderId="0" xfId="2" applyFont="1" applyAlignment="1">
      <alignment wrapText="1"/>
    </xf>
    <xf numFmtId="49" fontId="0" fillId="3" borderId="0" xfId="2" applyNumberFormat="1" applyFont="1" applyAlignment="1">
      <alignment wrapText="1"/>
    </xf>
    <xf numFmtId="2" fontId="0" fillId="3" borderId="0" xfId="2" applyNumberFormat="1" applyFont="1" applyAlignment="1">
      <alignment wrapText="1"/>
    </xf>
    <xf numFmtId="164" fontId="0" fillId="3" borderId="0" xfId="2" applyNumberFormat="1" applyFont="1" applyAlignment="1">
      <alignment horizontal="right" wrapText="1"/>
    </xf>
    <xf numFmtId="11" fontId="0" fillId="3" borderId="0" xfId="2" applyNumberFormat="1" applyFont="1" applyAlignment="1">
      <alignment wrapText="1"/>
    </xf>
    <xf numFmtId="164" fontId="0" fillId="3" borderId="0" xfId="2" applyNumberFormat="1" applyFont="1" applyAlignment="1">
      <alignment wrapText="1"/>
    </xf>
    <xf numFmtId="11" fontId="0" fillId="3" borderId="0" xfId="2" applyNumberFormat="1" applyFont="1" applyAlignment="1">
      <alignment horizontal="right" wrapText="1"/>
    </xf>
    <xf numFmtId="165" fontId="0" fillId="3" borderId="0" xfId="2" applyNumberFormat="1" applyFont="1" applyAlignment="1">
      <alignment horizontal="right" wrapText="1"/>
    </xf>
    <xf numFmtId="165" fontId="0" fillId="3" borderId="0" xfId="2" applyNumberFormat="1" applyFont="1" applyAlignment="1">
      <alignment wrapText="1"/>
    </xf>
    <xf numFmtId="0" fontId="0" fillId="2" borderId="0" xfId="1" applyNumberFormat="1" applyFont="1" applyAlignment="1">
      <alignment wrapText="1"/>
    </xf>
    <xf numFmtId="0" fontId="0" fillId="2" borderId="0" xfId="1" applyFont="1" applyAlignment="1">
      <alignment vertical="center"/>
    </xf>
    <xf numFmtId="0" fontId="0" fillId="3" borderId="0" xfId="2" applyFont="1"/>
    <xf numFmtId="2" fontId="0" fillId="3" borderId="0" xfId="2" applyNumberFormat="1" applyFont="1"/>
    <xf numFmtId="164" fontId="0" fillId="3" borderId="0" xfId="2" applyNumberFormat="1" applyFont="1" applyAlignment="1">
      <alignment horizontal="right"/>
    </xf>
    <xf numFmtId="11" fontId="0" fillId="3" borderId="0" xfId="2" applyNumberFormat="1" applyFont="1"/>
    <xf numFmtId="164" fontId="0" fillId="3" borderId="0" xfId="2" applyNumberFormat="1" applyFont="1"/>
    <xf numFmtId="11" fontId="0" fillId="3" borderId="0" xfId="2" applyNumberFormat="1" applyFont="1" applyAlignment="1">
      <alignment horizontal="right"/>
    </xf>
    <xf numFmtId="164" fontId="0" fillId="3" borderId="0" xfId="2" applyNumberFormat="1" applyFont="1" applyAlignment="1"/>
    <xf numFmtId="165" fontId="0" fillId="3" borderId="0" xfId="2" applyNumberFormat="1" applyFont="1" applyAlignment="1">
      <alignment horizontal="right"/>
    </xf>
    <xf numFmtId="165" fontId="0" fillId="3" borderId="0" xfId="2" applyNumberFormat="1" applyFont="1"/>
    <xf numFmtId="49" fontId="0" fillId="2" borderId="0" xfId="1" applyNumberFormat="1" applyFont="1"/>
    <xf numFmtId="2" fontId="0" fillId="2" borderId="0" xfId="1" applyNumberFormat="1" applyFont="1"/>
    <xf numFmtId="164" fontId="0" fillId="2" borderId="0" xfId="1" applyNumberFormat="1" applyFont="1" applyAlignment="1">
      <alignment horizontal="right"/>
    </xf>
    <xf numFmtId="11" fontId="0" fillId="2" borderId="0" xfId="1" applyNumberFormat="1" applyFont="1"/>
    <xf numFmtId="164" fontId="0" fillId="2" borderId="0" xfId="1" applyNumberFormat="1" applyFont="1"/>
    <xf numFmtId="11" fontId="0" fillId="2" borderId="0" xfId="1" applyNumberFormat="1" applyFont="1" applyAlignment="1">
      <alignment horizontal="right"/>
    </xf>
    <xf numFmtId="164" fontId="0" fillId="2" borderId="0" xfId="1" applyNumberFormat="1" applyFont="1" applyAlignment="1"/>
    <xf numFmtId="165" fontId="0" fillId="2" borderId="0" xfId="1" applyNumberFormat="1" applyFont="1" applyAlignment="1">
      <alignment horizontal="right"/>
    </xf>
    <xf numFmtId="165" fontId="0" fillId="2" borderId="0" xfId="1" applyNumberFormat="1" applyFont="1"/>
    <xf numFmtId="0" fontId="0" fillId="2" borderId="0" xfId="1" applyFont="1" applyAlignment="1">
      <alignment horizontal="right"/>
    </xf>
    <xf numFmtId="0" fontId="0" fillId="2" borderId="0" xfId="1" applyFont="1" applyAlignment="1"/>
    <xf numFmtId="0" fontId="0" fillId="4" borderId="0" xfId="1" applyFont="1" applyFill="1" applyAlignment="1">
      <alignment wrapText="1"/>
    </xf>
    <xf numFmtId="0" fontId="0" fillId="4" borderId="0" xfId="2" applyFont="1" applyFill="1" applyAlignment="1">
      <alignment wrapText="1"/>
    </xf>
    <xf numFmtId="2" fontId="0" fillId="0" borderId="0" xfId="0" applyNumberFormat="1"/>
    <xf numFmtId="49" fontId="0" fillId="3" borderId="0" xfId="2" applyNumberFormat="1" applyFont="1"/>
    <xf numFmtId="0" fontId="3" fillId="2" borderId="0" xfId="1" applyFont="1" applyAlignment="1">
      <alignment wrapText="1"/>
    </xf>
    <xf numFmtId="49" fontId="3" fillId="2" borderId="0" xfId="1" applyNumberFormat="1" applyFont="1" applyAlignment="1">
      <alignment wrapText="1"/>
    </xf>
    <xf numFmtId="164" fontId="3" fillId="2" borderId="0" xfId="1" applyNumberFormat="1" applyFont="1" applyAlignment="1">
      <alignment horizontal="right" wrapText="1"/>
    </xf>
    <xf numFmtId="11" fontId="3" fillId="2" borderId="0" xfId="1" applyNumberFormat="1" applyFont="1" applyAlignment="1">
      <alignment wrapText="1"/>
    </xf>
    <xf numFmtId="11" fontId="3" fillId="2" borderId="0" xfId="1" applyNumberFormat="1" applyFont="1" applyAlignment="1">
      <alignment horizontal="right" wrapText="1"/>
    </xf>
    <xf numFmtId="164" fontId="3" fillId="2" borderId="0" xfId="1" applyNumberFormat="1" applyFont="1" applyAlignment="1">
      <alignment wrapText="1"/>
    </xf>
    <xf numFmtId="165" fontId="3" fillId="2" borderId="0" xfId="1" applyNumberFormat="1" applyFont="1" applyAlignment="1">
      <alignment horizontal="right" wrapText="1"/>
    </xf>
    <xf numFmtId="165" fontId="3" fillId="2" borderId="0" xfId="1" applyNumberFormat="1" applyFont="1" applyAlignment="1">
      <alignment wrapText="1"/>
    </xf>
    <xf numFmtId="2" fontId="3" fillId="2" borderId="0" xfId="1" applyNumberFormat="1" applyFont="1" applyAlignment="1">
      <alignment wrapText="1"/>
    </xf>
    <xf numFmtId="2" fontId="3" fillId="2" borderId="0" xfId="1" applyNumberFormat="1" applyFont="1" applyAlignment="1">
      <alignment horizontal="righ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doi.org/10.1002/2014GC005496" TargetMode="External"/><Relationship Id="rId13" Type="http://purl.oclc.org/ooxml/officeDocument/relationships/hyperlink" Target="https://doi.org/10.1029/2019JB017576" TargetMode="External"/><Relationship Id="rId3" Type="http://purl.oclc.org/ooxml/officeDocument/relationships/hyperlink" Target="https://doi.org/10.1029/1999GL008378" TargetMode="External"/><Relationship Id="rId7" Type="http://purl.oclc.org/ooxml/officeDocument/relationships/hyperlink" Target="https://doi.org/10.1002/2014GC005496" TargetMode="External"/><Relationship Id="rId12" Type="http://purl.oclc.org/ooxml/officeDocument/relationships/hyperlink" Target="https://doi.org/10.1002/2016JB013555" TargetMode="External"/><Relationship Id="rId17" Type="http://purl.oclc.org/ooxml/officeDocument/relationships/hyperlink" Target="https://doi.org/10.1029/2019JB017576" TargetMode="External"/><Relationship Id="rId2" Type="http://purl.oclc.org/ooxml/officeDocument/relationships/hyperlink" Target="https://doi.org/10.1029/1999GL008378" TargetMode="External"/><Relationship Id="rId16" Type="http://purl.oclc.org/ooxml/officeDocument/relationships/hyperlink" Target="https://doi.org/10.1002/2014GC005496" TargetMode="External"/><Relationship Id="rId1" Type="http://purl.oclc.org/ooxml/officeDocument/relationships/hyperlink" Target="https://doi.org/10.1029/91JB02453" TargetMode="External"/><Relationship Id="rId6" Type="http://purl.oclc.org/ooxml/officeDocument/relationships/hyperlink" Target="https://doi.org/10.1029/2011JB008774" TargetMode="External"/><Relationship Id="rId11" Type="http://purl.oclc.org/ooxml/officeDocument/relationships/hyperlink" Target="https://doi.org/10.1002/2016JB013555" TargetMode="External"/><Relationship Id="rId5" Type="http://purl.oclc.org/ooxml/officeDocument/relationships/hyperlink" Target="https://doi.org/10.1029/1999GL008378" TargetMode="External"/><Relationship Id="rId15" Type="http://purl.oclc.org/ooxml/officeDocument/relationships/hyperlink" Target="https://doi.org/10.1002/2014GC005496" TargetMode="External"/><Relationship Id="rId10" Type="http://purl.oclc.org/ooxml/officeDocument/relationships/hyperlink" Target="https://doi.org/10.1002/2016JB013555" TargetMode="External"/><Relationship Id="rId4" Type="http://purl.oclc.org/ooxml/officeDocument/relationships/hyperlink" Target="https://doi.org/10.1029/1999GL008378" TargetMode="External"/><Relationship Id="rId9" Type="http://purl.oclc.org/ooxml/officeDocument/relationships/hyperlink" Target="https://doi.org/10.1002/2014GC005496" TargetMode="External"/><Relationship Id="rId14" Type="http://purl.oclc.org/ooxml/officeDocument/relationships/hyperlink" Target="https://doi.org/10.1002/2014GC005496"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978F-7647-614D-922C-AF7479B592B3}">
  <dimension ref="A1:JY120"/>
  <sheetViews>
    <sheetView tabSelected="1" topLeftCell="BA69" workbookViewId="0">
      <selection activeCell="AP72" sqref="AP72"/>
    </sheetView>
  </sheetViews>
  <sheetFormatPr baseColWidth="10" defaultRowHeight="45" customHeight="1" x14ac:dyDescent="0.2"/>
  <cols>
    <col min="1" max="1" width="20.83203125" style="11" customWidth="1"/>
    <col min="2" max="2" width="32.83203125" style="11" customWidth="1"/>
    <col min="3" max="3" width="11.1640625" style="11" bestFit="1" customWidth="1"/>
    <col min="4" max="4" width="13.5" style="12" customWidth="1"/>
    <col min="5" max="5" width="22.83203125" style="11" customWidth="1"/>
    <col min="6" max="6" width="24" style="11" customWidth="1"/>
    <col min="7" max="7" width="14" style="11" customWidth="1"/>
    <col min="8" max="8" width="48.83203125" style="11" customWidth="1"/>
    <col min="9" max="9" width="57.5" style="11" customWidth="1"/>
    <col min="10" max="10" width="21.1640625" style="11" customWidth="1"/>
    <col min="11" max="11" width="44.83203125" style="11" customWidth="1"/>
    <col min="12" max="13" width="18.1640625" style="11" customWidth="1"/>
    <col min="14" max="14" width="15" style="11" customWidth="1"/>
    <col min="15" max="15" width="13.83203125" style="11" customWidth="1"/>
    <col min="16" max="16" width="12.5" style="11" customWidth="1"/>
    <col min="17" max="18" width="11.1640625" style="11" bestFit="1" customWidth="1"/>
    <col min="19" max="30" width="11.1640625" style="11" customWidth="1"/>
    <col min="31" max="32" width="11.1640625" style="11" bestFit="1" customWidth="1"/>
    <col min="33" max="33" width="11" style="11" bestFit="1" customWidth="1"/>
    <col min="34" max="34" width="23.33203125" style="11" customWidth="1"/>
    <col min="35" max="35" width="10.83203125" style="11"/>
    <col min="36" max="37" width="11.6640625" style="11" bestFit="1" customWidth="1"/>
    <col min="38" max="38" width="34.6640625" style="11" bestFit="1" customWidth="1"/>
    <col min="39" max="39" width="11.1640625" style="11" bestFit="1" customWidth="1"/>
    <col min="40" max="40" width="12.5" style="11" bestFit="1" customWidth="1"/>
    <col min="41" max="41" width="10.1640625" style="12" bestFit="1" customWidth="1"/>
    <col min="42" max="42" width="26.6640625" style="12" customWidth="1"/>
    <col min="43" max="43" width="31.6640625" style="13" bestFit="1" customWidth="1"/>
    <col min="44" max="44" width="11" style="14" bestFit="1" customWidth="1"/>
    <col min="45" max="45" width="18" style="12" customWidth="1"/>
    <col min="46" max="46" width="12.1640625" style="16" bestFit="1" customWidth="1"/>
    <col min="47" max="47" width="10.5" style="13" bestFit="1" customWidth="1"/>
    <col min="48" max="48" width="19.5" style="12" customWidth="1"/>
    <col min="49" max="49" width="14.1640625" style="15" customWidth="1"/>
    <col min="50" max="50" width="11.33203125" style="15" bestFit="1" customWidth="1"/>
    <col min="51" max="51" width="10.83203125" style="12"/>
    <col min="52" max="52" width="11.5" style="13" bestFit="1" customWidth="1"/>
    <col min="53" max="53" width="11.33203125" style="13" bestFit="1" customWidth="1"/>
    <col min="54" max="54" width="10.83203125" style="15"/>
    <col min="55" max="55" width="15.6640625" style="17" customWidth="1"/>
    <col min="56" max="56" width="11.33203125" style="13" bestFit="1" customWidth="1"/>
    <col min="57" max="57" width="10.83203125" style="15"/>
    <col min="58" max="58" width="12.5" style="17" bestFit="1" customWidth="1"/>
    <col min="59" max="59" width="11.33203125" style="13" bestFit="1" customWidth="1"/>
    <col min="60" max="60" width="10.83203125" style="15"/>
    <col min="61" max="61" width="11.5" style="13" bestFit="1" customWidth="1"/>
    <col min="62" max="62" width="11.33203125" style="13" bestFit="1" customWidth="1"/>
    <col min="63" max="63" width="10.83203125" style="15"/>
    <col min="64" max="64" width="14.5" style="18" customWidth="1"/>
    <col min="65" max="65" width="11.33203125" style="15" bestFit="1" customWidth="1"/>
    <col min="66" max="66" width="10.83203125" style="15"/>
    <col min="67" max="67" width="11.5" style="13" bestFit="1" customWidth="1"/>
    <col min="68" max="69" width="10.83203125" style="15"/>
    <col min="70" max="70" width="16.5" style="15" customWidth="1"/>
    <col min="71" max="72" width="10.83203125" style="15"/>
    <col min="73" max="73" width="11.5" style="15" bestFit="1" customWidth="1"/>
    <col min="74" max="75" width="10.83203125" style="15"/>
    <col min="76" max="76" width="12.1640625" style="15" bestFit="1" customWidth="1"/>
    <col min="77" max="78" width="10.83203125" style="15"/>
    <col min="79" max="79" width="12.33203125" style="15" bestFit="1" customWidth="1"/>
    <col min="80" max="81" width="10.83203125" style="15"/>
    <col min="82" max="82" width="11.33203125" style="15" bestFit="1" customWidth="1"/>
    <col min="83" max="84" width="10.83203125" style="15"/>
    <col min="85" max="85" width="11" style="19" bestFit="1" customWidth="1"/>
    <col min="86" max="86" width="10.83203125" style="19"/>
    <col min="87" max="87" width="10.83203125" style="11"/>
    <col min="88" max="88" width="11.1640625" style="19" bestFit="1" customWidth="1"/>
    <col min="89" max="89" width="10.83203125" style="19"/>
    <col min="90" max="90" width="10.83203125" style="11"/>
    <col min="91" max="91" width="11" style="11" bestFit="1" customWidth="1"/>
    <col min="92" max="93" width="10.83203125" style="11"/>
    <col min="94" max="94" width="11" style="11" bestFit="1" customWidth="1"/>
    <col min="95" max="96" width="10.83203125" style="11"/>
    <col min="97" max="97" width="11" style="11" bestFit="1" customWidth="1"/>
    <col min="98" max="99" width="10.83203125" style="11"/>
    <col min="100" max="100" width="11" style="11" bestFit="1" customWidth="1"/>
    <col min="101" max="102" width="10.83203125" style="11"/>
    <col min="103" max="103" width="11" style="11" bestFit="1" customWidth="1"/>
    <col min="104" max="105" width="10.83203125" style="11"/>
    <col min="106" max="106" width="11" style="11" bestFit="1" customWidth="1"/>
    <col min="107" max="108" width="10.83203125" style="11"/>
    <col min="109" max="109" width="11" style="11" bestFit="1" customWidth="1"/>
    <col min="110" max="111" width="10.83203125" style="11"/>
    <col min="112" max="112" width="11" style="11" bestFit="1" customWidth="1"/>
    <col min="113" max="114" width="10.83203125" style="11"/>
    <col min="115" max="115" width="11" style="11" bestFit="1" customWidth="1"/>
    <col min="116" max="117" width="10.83203125" style="11"/>
    <col min="118" max="118" width="11" style="11" bestFit="1" customWidth="1"/>
    <col min="119" max="120" width="10.83203125" style="11"/>
    <col min="121" max="121" width="11" style="11" bestFit="1" customWidth="1"/>
    <col min="122" max="123" width="10.83203125" style="11"/>
    <col min="124" max="124" width="11.33203125" style="11" bestFit="1" customWidth="1"/>
    <col min="125" max="126" width="10.83203125" style="11"/>
    <col min="127" max="127" width="11" style="11" bestFit="1" customWidth="1"/>
    <col min="128" max="129" width="10.83203125" style="11"/>
    <col min="130" max="130" width="11" style="11" bestFit="1" customWidth="1"/>
    <col min="131" max="132" width="10.83203125" style="11"/>
    <col min="133" max="133" width="11" style="11" bestFit="1" customWidth="1"/>
    <col min="134" max="135" width="10.83203125" style="11"/>
    <col min="136" max="136" width="11" style="11" bestFit="1" customWidth="1"/>
    <col min="137" max="138" width="10.83203125" style="11"/>
    <col min="139" max="139" width="11" style="11" bestFit="1" customWidth="1"/>
    <col min="140" max="141" width="10.83203125" style="11"/>
    <col min="142" max="142" width="11" style="11" bestFit="1" customWidth="1"/>
    <col min="143" max="144" width="10.83203125" style="11"/>
    <col min="145" max="145" width="11" style="11" bestFit="1" customWidth="1"/>
    <col min="146" max="147" width="10.83203125" style="11"/>
    <col min="148" max="148" width="11" style="11" bestFit="1" customWidth="1"/>
    <col min="149" max="150" width="10.83203125" style="11"/>
    <col min="151" max="151" width="11" style="19" bestFit="1" customWidth="1"/>
    <col min="152" max="153" width="10.83203125" style="11"/>
    <col min="154" max="154" width="11" style="19" bestFit="1" customWidth="1"/>
    <col min="155" max="156" width="10.83203125" style="11"/>
    <col min="157" max="157" width="11" style="19" bestFit="1" customWidth="1"/>
    <col min="158" max="159" width="10.83203125" style="11"/>
    <col min="160" max="160" width="11" style="19" bestFit="1" customWidth="1"/>
    <col min="161" max="162" width="10.83203125" style="11"/>
    <col min="163" max="163" width="11" style="11" bestFit="1" customWidth="1"/>
    <col min="164" max="165" width="10.83203125" style="11"/>
    <col min="166" max="166" width="11" style="11" bestFit="1" customWidth="1"/>
    <col min="167" max="168" width="10.83203125" style="11"/>
    <col min="169" max="169" width="11" style="11" bestFit="1" customWidth="1"/>
    <col min="170" max="171" width="10.83203125" style="11"/>
    <col min="172" max="172" width="11" style="11" bestFit="1" customWidth="1"/>
    <col min="173" max="174" width="10.83203125" style="11"/>
    <col min="175" max="175" width="11" style="19" bestFit="1" customWidth="1"/>
    <col min="176" max="177" width="10.83203125" style="11"/>
    <col min="178" max="178" width="11" style="11" bestFit="1" customWidth="1"/>
    <col min="179" max="180" width="10.83203125" style="11"/>
    <col min="181" max="181" width="11" style="11" bestFit="1" customWidth="1"/>
    <col min="182" max="183" width="10.83203125" style="11"/>
    <col min="184" max="184" width="11" style="11" bestFit="1" customWidth="1"/>
    <col min="185" max="186" width="10.83203125" style="11"/>
    <col min="187" max="187" width="11" style="11" bestFit="1" customWidth="1"/>
    <col min="188" max="189" width="10.83203125" style="11"/>
    <col min="190" max="190" width="11" style="11" bestFit="1" customWidth="1"/>
    <col min="191" max="192" width="10.83203125" style="11"/>
    <col min="193" max="193" width="11" style="11" bestFit="1" customWidth="1"/>
    <col min="194" max="195" width="10.83203125" style="11"/>
    <col min="196" max="196" width="11" style="19" bestFit="1" customWidth="1"/>
    <col min="197" max="198" width="10.83203125" style="11"/>
    <col min="199" max="199" width="11" style="19" bestFit="1" customWidth="1"/>
    <col min="200" max="201" width="10.83203125" style="11"/>
    <col min="202" max="202" width="11" style="19" bestFit="1" customWidth="1"/>
    <col min="203" max="204" width="10.83203125" style="11"/>
    <col min="205" max="205" width="11" style="19" bestFit="1" customWidth="1"/>
    <col min="206" max="207" width="10.83203125" style="11"/>
    <col min="208" max="208" width="11" style="11" bestFit="1" customWidth="1"/>
    <col min="209" max="210" width="10.83203125" style="11"/>
    <col min="211" max="211" width="11" style="11" bestFit="1" customWidth="1"/>
    <col min="212" max="213" width="10.83203125" style="11"/>
    <col min="214" max="214" width="11" style="11" bestFit="1" customWidth="1"/>
    <col min="215" max="216" width="10.83203125" style="11"/>
    <col min="217" max="217" width="11" style="11" bestFit="1" customWidth="1"/>
    <col min="218" max="219" width="10.83203125" style="11"/>
    <col min="220" max="220" width="11" style="14" bestFit="1" customWidth="1"/>
    <col min="221" max="222" width="10.83203125" style="11"/>
    <col min="223" max="223" width="11" style="11" bestFit="1" customWidth="1"/>
    <col min="224" max="225" width="10.83203125" style="11"/>
    <col min="226" max="226" width="11" style="11" bestFit="1" customWidth="1"/>
    <col min="227" max="228" width="10.83203125" style="11"/>
    <col min="229" max="229" width="11" style="11" bestFit="1" customWidth="1"/>
    <col min="230" max="231" width="10.83203125" style="11"/>
    <col min="232" max="232" width="11" style="11" bestFit="1" customWidth="1"/>
    <col min="233" max="234" width="10.83203125" style="11"/>
    <col min="235" max="235" width="11" style="11" bestFit="1" customWidth="1"/>
    <col min="236" max="237" width="10.83203125" style="11"/>
    <col min="238" max="238" width="11" style="11" bestFit="1" customWidth="1"/>
    <col min="239" max="240" width="10.83203125" style="11"/>
    <col min="241" max="241" width="11" style="11" bestFit="1" customWidth="1"/>
    <col min="242" max="243" width="10.83203125" style="11"/>
    <col min="244" max="244" width="11" style="11" bestFit="1" customWidth="1"/>
    <col min="245" max="246" width="10.83203125" style="11"/>
    <col min="247" max="247" width="11" style="11" bestFit="1" customWidth="1"/>
    <col min="248" max="249" width="10.83203125" style="11"/>
    <col min="250" max="250" width="11" style="11" bestFit="1" customWidth="1"/>
    <col min="251" max="252" width="10.83203125" style="11"/>
    <col min="253" max="253" width="11" style="11" bestFit="1" customWidth="1"/>
    <col min="254" max="255" width="10.83203125" style="11"/>
    <col min="256" max="256" width="11" style="11" bestFit="1" customWidth="1"/>
    <col min="257" max="258" width="10.83203125" style="11"/>
    <col min="259" max="259" width="11" style="11" bestFit="1" customWidth="1"/>
    <col min="260" max="261" width="10.83203125" style="11"/>
    <col min="262" max="262" width="11" style="11" bestFit="1" customWidth="1"/>
    <col min="263" max="264" width="10.83203125" style="11"/>
    <col min="265" max="265" width="11" style="11" bestFit="1" customWidth="1"/>
    <col min="266" max="267" width="10.83203125" style="11"/>
    <col min="268" max="268" width="11" style="11" bestFit="1" customWidth="1"/>
    <col min="269" max="270" width="10.83203125" style="11"/>
    <col min="271" max="271" width="11" style="11" bestFit="1" customWidth="1"/>
    <col min="272" max="273" width="10.83203125" style="11"/>
    <col min="274" max="274" width="11" style="11" bestFit="1" customWidth="1"/>
    <col min="275" max="276" width="10.83203125" style="11"/>
    <col min="277" max="277" width="11" style="11" bestFit="1" customWidth="1"/>
    <col min="278" max="279" width="10.83203125" style="11"/>
    <col min="280" max="280" width="11" style="11" bestFit="1" customWidth="1"/>
    <col min="281" max="282" width="10.83203125" style="11"/>
    <col min="283" max="283" width="11" style="11" bestFit="1" customWidth="1"/>
    <col min="284" max="16384" width="10.83203125" style="11"/>
  </cols>
  <sheetData>
    <row r="1" spans="1:285" ht="45" customHeight="1" x14ac:dyDescent="0.2">
      <c r="A1" s="11" t="s">
        <v>0</v>
      </c>
      <c r="B1" s="11" t="s">
        <v>1</v>
      </c>
      <c r="C1" s="11" t="s">
        <v>2</v>
      </c>
      <c r="D1" s="12" t="s">
        <v>3</v>
      </c>
      <c r="E1" s="11" t="s">
        <v>41</v>
      </c>
      <c r="F1" s="11" t="s">
        <v>10</v>
      </c>
      <c r="G1" s="11" t="s">
        <v>40</v>
      </c>
      <c r="H1" s="11" t="s">
        <v>11</v>
      </c>
      <c r="I1" s="11" t="s">
        <v>12</v>
      </c>
      <c r="J1" s="11" t="s">
        <v>283</v>
      </c>
      <c r="K1" s="11" t="s">
        <v>282</v>
      </c>
      <c r="L1" s="11" t="s">
        <v>266</v>
      </c>
      <c r="M1" s="11" t="s">
        <v>267</v>
      </c>
      <c r="N1" s="11" t="s">
        <v>413</v>
      </c>
      <c r="O1" s="11" t="s">
        <v>414</v>
      </c>
      <c r="P1" s="11" t="s">
        <v>415</v>
      </c>
      <c r="Q1" s="11" t="s">
        <v>416</v>
      </c>
      <c r="R1" s="11" t="s">
        <v>417</v>
      </c>
      <c r="S1" s="11" t="s">
        <v>837</v>
      </c>
      <c r="T1" s="11" t="s">
        <v>838</v>
      </c>
      <c r="U1" s="11" t="s">
        <v>841</v>
      </c>
      <c r="V1" s="11" t="s">
        <v>839</v>
      </c>
      <c r="W1" s="11" t="s">
        <v>840</v>
      </c>
      <c r="X1" s="11" t="s">
        <v>842</v>
      </c>
      <c r="Y1" s="11" t="s">
        <v>831</v>
      </c>
      <c r="Z1" s="11" t="s">
        <v>832</v>
      </c>
      <c r="AA1" s="11" t="s">
        <v>833</v>
      </c>
      <c r="AB1" s="11" t="s">
        <v>834</v>
      </c>
      <c r="AC1" s="11" t="s">
        <v>835</v>
      </c>
      <c r="AD1" s="11" t="s">
        <v>836</v>
      </c>
      <c r="AE1" s="11" t="s">
        <v>16</v>
      </c>
      <c r="AF1" s="11" t="s">
        <v>17</v>
      </c>
      <c r="AG1" s="11" t="s">
        <v>18</v>
      </c>
      <c r="AH1" s="11" t="s">
        <v>63</v>
      </c>
      <c r="AI1" s="11" t="s">
        <v>27</v>
      </c>
      <c r="AJ1" s="11" t="s">
        <v>19</v>
      </c>
      <c r="AK1" s="11" t="s">
        <v>20</v>
      </c>
      <c r="AL1" s="11" t="s">
        <v>21</v>
      </c>
      <c r="AM1" s="11" t="s">
        <v>100</v>
      </c>
      <c r="AN1" s="11" t="s">
        <v>29</v>
      </c>
      <c r="AO1" s="12" t="s">
        <v>22</v>
      </c>
      <c r="AP1" s="11" t="s">
        <v>339</v>
      </c>
      <c r="AQ1" s="13" t="s">
        <v>23</v>
      </c>
      <c r="AR1" s="14" t="s">
        <v>273</v>
      </c>
      <c r="AS1" s="12" t="s">
        <v>328</v>
      </c>
      <c r="AT1" s="16" t="s">
        <v>331</v>
      </c>
      <c r="AU1" s="13" t="s">
        <v>117</v>
      </c>
      <c r="AV1" s="12" t="s">
        <v>329</v>
      </c>
      <c r="AW1" s="15" t="s">
        <v>332</v>
      </c>
      <c r="AX1" s="15" t="s">
        <v>118</v>
      </c>
      <c r="AY1" s="12" t="s">
        <v>195</v>
      </c>
      <c r="AZ1" s="13" t="s">
        <v>24</v>
      </c>
      <c r="BA1" s="13" t="s">
        <v>119</v>
      </c>
      <c r="BB1" s="15" t="s">
        <v>196</v>
      </c>
      <c r="BC1" s="17" t="s">
        <v>25</v>
      </c>
      <c r="BD1" s="13" t="s">
        <v>120</v>
      </c>
      <c r="BE1" s="15" t="s">
        <v>197</v>
      </c>
      <c r="BF1" s="17" t="s">
        <v>56</v>
      </c>
      <c r="BG1" s="13" t="s">
        <v>121</v>
      </c>
      <c r="BH1" s="15" t="s">
        <v>198</v>
      </c>
      <c r="BI1" s="13" t="s">
        <v>192</v>
      </c>
      <c r="BJ1" s="13" t="s">
        <v>193</v>
      </c>
      <c r="BK1" s="15" t="s">
        <v>199</v>
      </c>
      <c r="BL1" s="18" t="s">
        <v>57</v>
      </c>
      <c r="BM1" s="15" t="s">
        <v>122</v>
      </c>
      <c r="BN1" s="15" t="s">
        <v>194</v>
      </c>
      <c r="BO1" s="13" t="s">
        <v>200</v>
      </c>
      <c r="BP1" s="15" t="s">
        <v>201</v>
      </c>
      <c r="BQ1" s="15" t="s">
        <v>202</v>
      </c>
      <c r="BR1" s="15" t="s">
        <v>203</v>
      </c>
      <c r="BS1" s="15" t="s">
        <v>204</v>
      </c>
      <c r="BT1" s="15" t="s">
        <v>205</v>
      </c>
      <c r="BU1" s="15" t="s">
        <v>206</v>
      </c>
      <c r="BV1" s="15" t="s">
        <v>207</v>
      </c>
      <c r="BW1" s="15" t="s">
        <v>208</v>
      </c>
      <c r="BX1" s="15" t="s">
        <v>209</v>
      </c>
      <c r="BY1" s="15" t="s">
        <v>210</v>
      </c>
      <c r="BZ1" s="15" t="s">
        <v>211</v>
      </c>
      <c r="CA1" s="15" t="s">
        <v>212</v>
      </c>
      <c r="CB1" s="15" t="s">
        <v>213</v>
      </c>
      <c r="CC1" s="15" t="s">
        <v>214</v>
      </c>
      <c r="CD1" s="15" t="s">
        <v>215</v>
      </c>
      <c r="CE1" s="15" t="s">
        <v>216</v>
      </c>
      <c r="CF1" s="15" t="s">
        <v>217</v>
      </c>
      <c r="CG1" s="19" t="s">
        <v>218</v>
      </c>
      <c r="CH1" s="19" t="s">
        <v>330</v>
      </c>
      <c r="CI1" s="11" t="s">
        <v>219</v>
      </c>
      <c r="CJ1" s="19" t="s">
        <v>220</v>
      </c>
      <c r="CK1" s="19" t="s">
        <v>221</v>
      </c>
      <c r="CL1" s="11" t="s">
        <v>222</v>
      </c>
      <c r="CM1" s="11" t="s">
        <v>626</v>
      </c>
      <c r="CN1" s="11" t="s">
        <v>627</v>
      </c>
      <c r="CO1" s="11" t="s">
        <v>628</v>
      </c>
      <c r="CP1" s="11" t="s">
        <v>629</v>
      </c>
      <c r="CQ1" s="11" t="s">
        <v>630</v>
      </c>
      <c r="CR1" s="11" t="s">
        <v>631</v>
      </c>
      <c r="CS1" s="11" t="s">
        <v>632</v>
      </c>
      <c r="CT1" s="11" t="s">
        <v>633</v>
      </c>
      <c r="CU1" s="11" t="s">
        <v>634</v>
      </c>
      <c r="CV1" s="11" t="s">
        <v>635</v>
      </c>
      <c r="CW1" s="11" t="s">
        <v>636</v>
      </c>
      <c r="CX1" s="11" t="s">
        <v>637</v>
      </c>
      <c r="CY1" s="11" t="s">
        <v>638</v>
      </c>
      <c r="CZ1" s="11" t="s">
        <v>639</v>
      </c>
      <c r="DA1" s="11" t="s">
        <v>640</v>
      </c>
      <c r="DB1" s="11" t="s">
        <v>641</v>
      </c>
      <c r="DC1" s="11" t="s">
        <v>642</v>
      </c>
      <c r="DD1" s="11" t="s">
        <v>643</v>
      </c>
      <c r="DE1" s="11" t="s">
        <v>644</v>
      </c>
      <c r="DF1" s="11" t="s">
        <v>645</v>
      </c>
      <c r="DG1" s="11" t="s">
        <v>646</v>
      </c>
      <c r="DH1" s="11" t="s">
        <v>647</v>
      </c>
      <c r="DI1" s="11" t="s">
        <v>648</v>
      </c>
      <c r="DJ1" s="11" t="s">
        <v>649</v>
      </c>
      <c r="DK1" s="11" t="s">
        <v>650</v>
      </c>
      <c r="DL1" s="11" t="s">
        <v>651</v>
      </c>
      <c r="DM1" s="11" t="s">
        <v>652</v>
      </c>
      <c r="DN1" s="11" t="s">
        <v>653</v>
      </c>
      <c r="DO1" s="11" t="s">
        <v>654</v>
      </c>
      <c r="DP1" s="11" t="s">
        <v>655</v>
      </c>
      <c r="DQ1" s="11" t="s">
        <v>656</v>
      </c>
      <c r="DR1" s="11" t="s">
        <v>657</v>
      </c>
      <c r="DS1" s="11" t="s">
        <v>658</v>
      </c>
      <c r="DT1" s="11" t="s">
        <v>659</v>
      </c>
      <c r="DU1" s="11" t="s">
        <v>660</v>
      </c>
      <c r="DV1" s="11" t="s">
        <v>661</v>
      </c>
      <c r="DW1" s="11" t="s">
        <v>662</v>
      </c>
      <c r="DX1" s="11" t="s">
        <v>663</v>
      </c>
      <c r="DY1" s="11" t="s">
        <v>664</v>
      </c>
      <c r="DZ1" s="11" t="s">
        <v>665</v>
      </c>
      <c r="EA1" s="11" t="s">
        <v>666</v>
      </c>
      <c r="EB1" s="11" t="s">
        <v>667</v>
      </c>
      <c r="EC1" s="11" t="s">
        <v>668</v>
      </c>
      <c r="ED1" s="11" t="s">
        <v>669</v>
      </c>
      <c r="EE1" s="11" t="s">
        <v>670</v>
      </c>
      <c r="EF1" s="11" t="s">
        <v>671</v>
      </c>
      <c r="EG1" s="11" t="s">
        <v>672</v>
      </c>
      <c r="EH1" s="11" t="s">
        <v>673</v>
      </c>
      <c r="EI1" s="11" t="s">
        <v>674</v>
      </c>
      <c r="EJ1" s="11" t="s">
        <v>675</v>
      </c>
      <c r="EK1" s="11" t="s">
        <v>676</v>
      </c>
      <c r="EL1" s="11" t="s">
        <v>677</v>
      </c>
      <c r="EM1" s="11" t="s">
        <v>678</v>
      </c>
      <c r="EN1" s="11" t="s">
        <v>679</v>
      </c>
      <c r="EO1" s="11" t="s">
        <v>680</v>
      </c>
      <c r="EP1" s="11" t="s">
        <v>681</v>
      </c>
      <c r="EQ1" s="11" t="s">
        <v>682</v>
      </c>
      <c r="ER1" s="11" t="s">
        <v>683</v>
      </c>
      <c r="ES1" s="11" t="s">
        <v>684</v>
      </c>
      <c r="ET1" s="11" t="s">
        <v>685</v>
      </c>
      <c r="EU1" s="11" t="s">
        <v>686</v>
      </c>
      <c r="EV1" s="11" t="s">
        <v>687</v>
      </c>
      <c r="EW1" s="11" t="s">
        <v>688</v>
      </c>
      <c r="EX1" s="11" t="s">
        <v>689</v>
      </c>
      <c r="EY1" s="11" t="s">
        <v>690</v>
      </c>
      <c r="EZ1" s="11" t="s">
        <v>691</v>
      </c>
      <c r="FA1" s="11" t="s">
        <v>692</v>
      </c>
      <c r="FB1" s="11" t="s">
        <v>693</v>
      </c>
      <c r="FC1" s="11" t="s">
        <v>694</v>
      </c>
      <c r="FD1" s="11" t="s">
        <v>695</v>
      </c>
      <c r="FE1" s="11" t="s">
        <v>696</v>
      </c>
      <c r="FF1" s="11" t="s">
        <v>697</v>
      </c>
      <c r="FG1" s="11" t="s">
        <v>698</v>
      </c>
      <c r="FH1" s="11" t="s">
        <v>699</v>
      </c>
      <c r="FI1" s="11" t="s">
        <v>700</v>
      </c>
      <c r="FJ1" s="11" t="s">
        <v>701</v>
      </c>
      <c r="FK1" s="11" t="s">
        <v>702</v>
      </c>
      <c r="FL1" s="11" t="s">
        <v>703</v>
      </c>
      <c r="FM1" s="11" t="s">
        <v>704</v>
      </c>
      <c r="FN1" s="11" t="s">
        <v>705</v>
      </c>
      <c r="FO1" s="11" t="s">
        <v>706</v>
      </c>
      <c r="FP1" s="11" t="s">
        <v>707</v>
      </c>
      <c r="FQ1" s="11" t="s">
        <v>708</v>
      </c>
      <c r="FR1" s="11" t="s">
        <v>709</v>
      </c>
      <c r="FS1" s="11" t="s">
        <v>710</v>
      </c>
      <c r="FT1" s="11" t="s">
        <v>711</v>
      </c>
      <c r="FU1" s="11" t="s">
        <v>712</v>
      </c>
      <c r="FV1" s="11" t="s">
        <v>713</v>
      </c>
      <c r="FW1" s="11" t="s">
        <v>714</v>
      </c>
      <c r="FX1" s="11" t="s">
        <v>715</v>
      </c>
      <c r="FY1" s="11" t="s">
        <v>716</v>
      </c>
      <c r="FZ1" s="11" t="s">
        <v>717</v>
      </c>
      <c r="GA1" s="11" t="s">
        <v>718</v>
      </c>
      <c r="GB1" s="11" t="s">
        <v>719</v>
      </c>
      <c r="GC1" s="11" t="s">
        <v>720</v>
      </c>
      <c r="GD1" s="11" t="s">
        <v>721</v>
      </c>
      <c r="GE1" s="11" t="s">
        <v>722</v>
      </c>
      <c r="GF1" s="11" t="s">
        <v>723</v>
      </c>
      <c r="GG1" s="11" t="s">
        <v>724</v>
      </c>
      <c r="GH1" s="11" t="s">
        <v>725</v>
      </c>
      <c r="GI1" s="11" t="s">
        <v>726</v>
      </c>
      <c r="GJ1" s="11" t="s">
        <v>727</v>
      </c>
      <c r="GK1" s="11" t="s">
        <v>728</v>
      </c>
      <c r="GL1" s="11" t="s">
        <v>729</v>
      </c>
      <c r="GM1" s="11" t="s">
        <v>730</v>
      </c>
      <c r="GN1" s="11" t="s">
        <v>731</v>
      </c>
      <c r="GO1" s="11" t="s">
        <v>732</v>
      </c>
      <c r="GP1" s="11" t="s">
        <v>733</v>
      </c>
      <c r="GQ1" s="11" t="s">
        <v>734</v>
      </c>
      <c r="GR1" s="11" t="s">
        <v>735</v>
      </c>
      <c r="GS1" s="11" t="s">
        <v>736</v>
      </c>
      <c r="GT1" s="11" t="s">
        <v>737</v>
      </c>
      <c r="GU1" s="11" t="s">
        <v>738</v>
      </c>
      <c r="GV1" s="11" t="s">
        <v>739</v>
      </c>
      <c r="GW1" s="11" t="s">
        <v>740</v>
      </c>
      <c r="GX1" s="11" t="s">
        <v>741</v>
      </c>
      <c r="GY1" s="11" t="s">
        <v>742</v>
      </c>
      <c r="GZ1" s="11" t="s">
        <v>743</v>
      </c>
      <c r="HA1" s="11" t="s">
        <v>744</v>
      </c>
      <c r="HB1" s="11" t="s">
        <v>745</v>
      </c>
      <c r="HC1" s="11" t="s">
        <v>746</v>
      </c>
      <c r="HD1" s="11" t="s">
        <v>747</v>
      </c>
      <c r="HE1" s="11" t="s">
        <v>748</v>
      </c>
      <c r="HF1" s="11" t="s">
        <v>749</v>
      </c>
      <c r="HG1" s="11" t="s">
        <v>750</v>
      </c>
      <c r="HH1" s="11" t="s">
        <v>751</v>
      </c>
      <c r="HI1" s="11" t="s">
        <v>752</v>
      </c>
      <c r="HJ1" s="11" t="s">
        <v>753</v>
      </c>
      <c r="HK1" s="11" t="s">
        <v>754</v>
      </c>
      <c r="HL1" s="11" t="s">
        <v>755</v>
      </c>
      <c r="HM1" s="11" t="s">
        <v>756</v>
      </c>
      <c r="HN1" s="11" t="s">
        <v>757</v>
      </c>
      <c r="HO1" s="11" t="s">
        <v>758</v>
      </c>
      <c r="HP1" s="11" t="s">
        <v>759</v>
      </c>
      <c r="HQ1" s="11" t="s">
        <v>760</v>
      </c>
      <c r="HR1" s="11" t="s">
        <v>761</v>
      </c>
      <c r="HS1" s="11" t="s">
        <v>762</v>
      </c>
      <c r="HT1" s="11" t="s">
        <v>763</v>
      </c>
      <c r="HU1" s="11" t="s">
        <v>764</v>
      </c>
      <c r="HV1" s="11" t="s">
        <v>765</v>
      </c>
      <c r="HW1" s="11" t="s">
        <v>766</v>
      </c>
      <c r="HX1" s="11" t="s">
        <v>767</v>
      </c>
      <c r="HY1" s="11" t="s">
        <v>768</v>
      </c>
      <c r="HZ1" s="11" t="s">
        <v>769</v>
      </c>
      <c r="IA1" s="11" t="s">
        <v>770</v>
      </c>
      <c r="IB1" s="11" t="s">
        <v>771</v>
      </c>
      <c r="IC1" s="11" t="s">
        <v>772</v>
      </c>
      <c r="ID1" s="11" t="s">
        <v>773</v>
      </c>
      <c r="IE1" s="11" t="s">
        <v>774</v>
      </c>
      <c r="IF1" s="11" t="s">
        <v>775</v>
      </c>
      <c r="IG1" s="11" t="s">
        <v>776</v>
      </c>
      <c r="IH1" s="11" t="s">
        <v>777</v>
      </c>
      <c r="II1" s="11" t="s">
        <v>778</v>
      </c>
      <c r="IJ1" s="11" t="s">
        <v>779</v>
      </c>
      <c r="IK1" s="11" t="s">
        <v>780</v>
      </c>
      <c r="IL1" s="11" t="s">
        <v>781</v>
      </c>
      <c r="IM1" s="11" t="s">
        <v>782</v>
      </c>
      <c r="IN1" s="11" t="s">
        <v>783</v>
      </c>
      <c r="IO1" s="11" t="s">
        <v>784</v>
      </c>
      <c r="IP1" s="11" t="s">
        <v>785</v>
      </c>
      <c r="IQ1" s="11" t="s">
        <v>786</v>
      </c>
      <c r="IR1" s="11" t="s">
        <v>787</v>
      </c>
      <c r="IS1" s="11" t="s">
        <v>788</v>
      </c>
      <c r="IT1" s="11" t="s">
        <v>789</v>
      </c>
      <c r="IU1" s="11" t="s">
        <v>790</v>
      </c>
      <c r="IV1" s="11" t="s">
        <v>791</v>
      </c>
      <c r="IW1" s="11" t="s">
        <v>792</v>
      </c>
      <c r="IX1" s="11" t="s">
        <v>793</v>
      </c>
      <c r="IY1" s="11" t="s">
        <v>794</v>
      </c>
      <c r="IZ1" s="11" t="s">
        <v>795</v>
      </c>
      <c r="JA1" s="11" t="s">
        <v>796</v>
      </c>
      <c r="JB1" s="11" t="s">
        <v>797</v>
      </c>
      <c r="JC1" s="11" t="s">
        <v>798</v>
      </c>
      <c r="JD1" s="11" t="s">
        <v>799</v>
      </c>
      <c r="JE1" s="11" t="s">
        <v>800</v>
      </c>
      <c r="JF1" s="11" t="s">
        <v>801</v>
      </c>
      <c r="JG1" s="11" t="s">
        <v>802</v>
      </c>
      <c r="JH1" s="11" t="s">
        <v>803</v>
      </c>
      <c r="JI1" s="11" t="s">
        <v>804</v>
      </c>
      <c r="JJ1" s="11" t="s">
        <v>805</v>
      </c>
      <c r="JK1" s="11" t="s">
        <v>806</v>
      </c>
      <c r="JL1" s="11" t="s">
        <v>807</v>
      </c>
      <c r="JM1" s="11" t="s">
        <v>808</v>
      </c>
      <c r="JN1" s="11" t="s">
        <v>809</v>
      </c>
      <c r="JO1" s="11" t="s">
        <v>810</v>
      </c>
      <c r="JP1" s="11" t="s">
        <v>811</v>
      </c>
      <c r="JQ1" s="11" t="s">
        <v>812</v>
      </c>
      <c r="JR1" s="11" t="s">
        <v>814</v>
      </c>
      <c r="JS1" s="11" t="s">
        <v>815</v>
      </c>
      <c r="JT1" s="11" t="s">
        <v>816</v>
      </c>
      <c r="JU1" s="11" t="s">
        <v>813</v>
      </c>
      <c r="JV1" s="11" t="s">
        <v>817</v>
      </c>
      <c r="JW1" s="11" t="s">
        <v>818</v>
      </c>
      <c r="JX1" s="11" t="s">
        <v>819</v>
      </c>
      <c r="JY1" s="11" t="s">
        <v>820</v>
      </c>
    </row>
    <row r="2" spans="1:285" s="29" customFormat="1" ht="45" customHeight="1" x14ac:dyDescent="0.2">
      <c r="A2" s="20" t="s">
        <v>547</v>
      </c>
      <c r="B2" s="20" t="s">
        <v>548</v>
      </c>
      <c r="C2" s="20">
        <v>1983</v>
      </c>
      <c r="D2" s="21" t="s">
        <v>549</v>
      </c>
      <c r="E2" s="20" t="s">
        <v>555</v>
      </c>
      <c r="F2" s="20" t="s">
        <v>555</v>
      </c>
      <c r="G2" s="20" t="s">
        <v>191</v>
      </c>
      <c r="H2" s="20" t="s">
        <v>551</v>
      </c>
      <c r="I2" s="70" t="s">
        <v>15</v>
      </c>
      <c r="J2" s="20" t="s">
        <v>552</v>
      </c>
      <c r="K2" s="20" t="s">
        <v>557</v>
      </c>
      <c r="L2" s="20" t="s">
        <v>265</v>
      </c>
      <c r="M2" s="20" t="s">
        <v>268</v>
      </c>
      <c r="N2" s="20">
        <v>1E-4</v>
      </c>
      <c r="O2" s="20">
        <v>1E-4</v>
      </c>
      <c r="P2" s="20">
        <v>1E-4</v>
      </c>
      <c r="Q2" s="20">
        <f>500+273.15</f>
        <v>773.15</v>
      </c>
      <c r="R2" s="20">
        <f>1000+273.15</f>
        <v>1273.1500000000001</v>
      </c>
      <c r="S2" s="20"/>
      <c r="T2" s="20"/>
      <c r="U2" s="20"/>
      <c r="V2" s="20"/>
      <c r="W2" s="20"/>
      <c r="X2" s="20"/>
      <c r="Y2" s="20"/>
      <c r="Z2" s="20"/>
      <c r="AA2" s="20"/>
      <c r="AB2" s="20"/>
      <c r="AC2" s="20"/>
      <c r="AD2" s="20"/>
      <c r="AE2" s="20">
        <v>0</v>
      </c>
      <c r="AF2" s="20">
        <v>0</v>
      </c>
      <c r="AG2" s="20"/>
      <c r="AH2" s="20" t="s">
        <v>559</v>
      </c>
      <c r="AI2" s="71" t="s">
        <v>66</v>
      </c>
      <c r="AJ2" s="20"/>
      <c r="AK2" s="20"/>
      <c r="AL2" s="20"/>
      <c r="AM2" s="20"/>
      <c r="AN2" s="20" t="s">
        <v>131</v>
      </c>
      <c r="AO2" s="21" t="s">
        <v>28</v>
      </c>
      <c r="AP2" s="21" t="s">
        <v>558</v>
      </c>
      <c r="AQ2" s="22">
        <f>2.49</f>
        <v>2.4900000000000002</v>
      </c>
      <c r="AR2" s="23">
        <v>0.24</v>
      </c>
      <c r="AS2" s="21" t="s">
        <v>112</v>
      </c>
      <c r="AT2" s="25">
        <f>1</f>
        <v>1</v>
      </c>
      <c r="AU2" s="22">
        <f>2.7*0.24*(0.372/4.32)</f>
        <v>5.5800000000000002E-2</v>
      </c>
      <c r="AV2" s="21" t="s">
        <v>115</v>
      </c>
      <c r="AW2" s="24"/>
      <c r="AX2" s="24"/>
      <c r="AY2" s="21"/>
      <c r="AZ2" s="22"/>
      <c r="BA2" s="22"/>
      <c r="BB2" s="24"/>
      <c r="BC2" s="26"/>
      <c r="BD2" s="22"/>
      <c r="BE2" s="24"/>
      <c r="BF2" s="26"/>
      <c r="BG2" s="22"/>
      <c r="BH2" s="24"/>
      <c r="BI2" s="22"/>
      <c r="BJ2" s="22"/>
      <c r="BK2" s="24"/>
      <c r="BL2" s="27"/>
      <c r="BM2" s="24"/>
      <c r="BN2" s="24"/>
      <c r="BO2" s="22"/>
      <c r="BP2" s="24"/>
      <c r="BQ2" s="24"/>
      <c r="BR2" s="24"/>
      <c r="BS2" s="24"/>
      <c r="BT2" s="24"/>
      <c r="BU2" s="24"/>
      <c r="BV2" s="24"/>
      <c r="BW2" s="24"/>
      <c r="BX2" s="24"/>
      <c r="BY2" s="24"/>
      <c r="BZ2" s="24"/>
      <c r="CA2" s="24"/>
      <c r="CB2" s="24"/>
      <c r="CC2" s="24"/>
      <c r="CD2" s="24"/>
      <c r="CE2" s="24"/>
      <c r="CF2" s="24"/>
      <c r="CG2" s="28"/>
      <c r="CH2" s="28"/>
      <c r="CI2" s="20"/>
      <c r="CJ2" s="28"/>
      <c r="CK2" s="28"/>
      <c r="CL2" s="20"/>
      <c r="EU2" s="31"/>
      <c r="EX2" s="31"/>
      <c r="FA2" s="31"/>
      <c r="FD2" s="31"/>
      <c r="FS2" s="31"/>
      <c r="GN2" s="31"/>
      <c r="GQ2" s="31"/>
      <c r="GT2" s="31"/>
      <c r="GW2" s="31"/>
      <c r="HL2" s="33"/>
    </row>
    <row r="3" spans="1:285" s="29" customFormat="1" ht="45" customHeight="1" x14ac:dyDescent="0.2">
      <c r="A3" s="29" t="s">
        <v>167</v>
      </c>
      <c r="B3" s="29" t="s">
        <v>168</v>
      </c>
      <c r="C3" s="29">
        <v>2010</v>
      </c>
      <c r="D3" s="30" t="s">
        <v>169</v>
      </c>
      <c r="E3" s="29" t="s">
        <v>170</v>
      </c>
      <c r="F3" s="29" t="s">
        <v>171</v>
      </c>
      <c r="G3" s="29" t="s">
        <v>172</v>
      </c>
      <c r="H3" s="29" t="s">
        <v>166</v>
      </c>
      <c r="I3" s="29" t="s">
        <v>173</v>
      </c>
      <c r="J3" s="29" t="s">
        <v>297</v>
      </c>
      <c r="K3" s="29" t="s">
        <v>516</v>
      </c>
      <c r="L3" s="29" t="s">
        <v>265</v>
      </c>
      <c r="M3" s="29" t="s">
        <v>268</v>
      </c>
      <c r="N3" s="31">
        <v>1E-4</v>
      </c>
      <c r="O3" s="31"/>
      <c r="P3" s="31"/>
      <c r="Q3" s="31">
        <v>1473</v>
      </c>
      <c r="R3" s="31">
        <v>1673</v>
      </c>
      <c r="S3" s="31"/>
      <c r="T3" s="31"/>
      <c r="U3" s="31"/>
      <c r="V3" s="31"/>
      <c r="W3" s="31"/>
      <c r="X3" s="31"/>
      <c r="Y3" s="31"/>
      <c r="Z3" s="31"/>
      <c r="AA3" s="31"/>
      <c r="AB3" s="31"/>
      <c r="AC3" s="31"/>
      <c r="AD3" s="31"/>
      <c r="AE3" s="31"/>
      <c r="AO3" s="30" t="s">
        <v>28</v>
      </c>
      <c r="AP3" s="30"/>
      <c r="AQ3" s="32">
        <v>9400</v>
      </c>
      <c r="AR3" s="33"/>
      <c r="AS3" s="30" t="s">
        <v>113</v>
      </c>
      <c r="AT3" s="35">
        <v>-0.03</v>
      </c>
      <c r="AU3" s="32"/>
      <c r="AV3" s="30" t="s">
        <v>116</v>
      </c>
      <c r="AW3" s="34">
        <v>1.2130000000000001</v>
      </c>
      <c r="AX3" s="34"/>
      <c r="AY3" s="30" t="s">
        <v>115</v>
      </c>
      <c r="AZ3" s="32"/>
      <c r="BA3" s="32"/>
      <c r="BB3" s="34"/>
      <c r="BC3" s="36"/>
      <c r="BD3" s="32"/>
      <c r="BE3" s="34"/>
      <c r="BF3" s="36"/>
      <c r="BG3" s="32"/>
      <c r="BH3" s="34"/>
      <c r="BI3" s="32"/>
      <c r="BJ3" s="32"/>
      <c r="BK3" s="34"/>
      <c r="BL3" s="37"/>
      <c r="BM3" s="34"/>
      <c r="BN3" s="34"/>
      <c r="BO3" s="32"/>
      <c r="BP3" s="34"/>
      <c r="BQ3" s="34"/>
      <c r="BR3" s="34"/>
      <c r="BS3" s="34"/>
      <c r="BT3" s="34"/>
      <c r="BU3" s="34"/>
      <c r="BV3" s="34"/>
      <c r="BW3" s="34"/>
      <c r="BX3" s="34"/>
      <c r="BY3" s="34"/>
      <c r="BZ3" s="34"/>
      <c r="CA3" s="34"/>
      <c r="CB3" s="34"/>
      <c r="CC3" s="34"/>
      <c r="CD3" s="34"/>
      <c r="CE3" s="34"/>
      <c r="CF3" s="34"/>
      <c r="CG3" s="31"/>
      <c r="CH3" s="31"/>
      <c r="CJ3" s="31"/>
      <c r="CK3" s="31"/>
      <c r="EU3" s="31"/>
      <c r="EX3" s="31"/>
      <c r="FA3" s="31"/>
      <c r="FD3" s="31"/>
      <c r="FS3" s="31"/>
      <c r="GN3" s="31"/>
      <c r="GQ3" s="31"/>
      <c r="GT3" s="31"/>
      <c r="GW3" s="31"/>
      <c r="HL3" s="33"/>
    </row>
    <row r="4" spans="1:285" s="29" customFormat="1" ht="45" customHeight="1" x14ac:dyDescent="0.2">
      <c r="A4" s="29" t="s">
        <v>349</v>
      </c>
      <c r="B4" s="29" t="s">
        <v>350</v>
      </c>
      <c r="C4" s="29">
        <v>2011</v>
      </c>
      <c r="D4" s="30" t="s">
        <v>351</v>
      </c>
      <c r="E4" s="29" t="s">
        <v>170</v>
      </c>
      <c r="F4" s="29" t="s">
        <v>352</v>
      </c>
      <c r="G4" s="29" t="s">
        <v>353</v>
      </c>
      <c r="H4" s="29" t="s">
        <v>354</v>
      </c>
      <c r="I4" s="29" t="s">
        <v>355</v>
      </c>
      <c r="J4" s="29" t="s">
        <v>356</v>
      </c>
      <c r="K4" s="29" t="s">
        <v>515</v>
      </c>
      <c r="L4" s="29" t="s">
        <v>265</v>
      </c>
      <c r="M4" s="29" t="s">
        <v>268</v>
      </c>
      <c r="N4" s="31">
        <v>2</v>
      </c>
      <c r="O4" s="31"/>
      <c r="P4" s="31"/>
      <c r="Q4" s="31">
        <v>1473</v>
      </c>
      <c r="R4" s="31">
        <v>1923</v>
      </c>
      <c r="S4" s="31"/>
      <c r="T4" s="31"/>
      <c r="U4" s="31"/>
      <c r="V4" s="31"/>
      <c r="W4" s="31"/>
      <c r="X4" s="31"/>
      <c r="Y4" s="31"/>
      <c r="Z4" s="31"/>
      <c r="AA4" s="31"/>
      <c r="AB4" s="31"/>
      <c r="AC4" s="31"/>
      <c r="AD4" s="31"/>
      <c r="AE4" s="31">
        <v>3000</v>
      </c>
      <c r="AF4" s="29">
        <v>60000</v>
      </c>
      <c r="AH4" s="29" t="s">
        <v>357</v>
      </c>
      <c r="AI4" s="29" t="s">
        <v>55</v>
      </c>
      <c r="AO4" s="30" t="s">
        <v>28</v>
      </c>
      <c r="AP4" s="30" t="s">
        <v>358</v>
      </c>
      <c r="AQ4" s="32">
        <v>148.6</v>
      </c>
      <c r="AR4" s="33"/>
      <c r="AS4" s="30" t="s">
        <v>113</v>
      </c>
      <c r="AT4" s="35">
        <v>0.17079</v>
      </c>
      <c r="AU4" s="32"/>
      <c r="AV4" s="30" t="s">
        <v>115</v>
      </c>
      <c r="AW4" s="34">
        <v>-4.0567000000000001E-4</v>
      </c>
      <c r="AX4" s="34"/>
      <c r="AY4" s="30" t="s">
        <v>116</v>
      </c>
      <c r="AZ4" s="32">
        <v>0.5</v>
      </c>
      <c r="BA4" s="32"/>
      <c r="BB4" s="34" t="s">
        <v>116</v>
      </c>
      <c r="BC4" s="36">
        <v>1146.8</v>
      </c>
      <c r="BD4" s="32"/>
      <c r="BE4" s="34" t="s">
        <v>116</v>
      </c>
      <c r="BF4" s="36"/>
      <c r="BG4" s="32"/>
      <c r="BH4" s="34"/>
      <c r="BI4" s="32"/>
      <c r="BJ4" s="32"/>
      <c r="BK4" s="34"/>
      <c r="BL4" s="37"/>
      <c r="BM4" s="34"/>
      <c r="BN4" s="34"/>
      <c r="BO4" s="32"/>
      <c r="BP4" s="34"/>
      <c r="BQ4" s="34"/>
      <c r="BR4" s="34"/>
      <c r="BS4" s="34"/>
      <c r="BT4" s="34"/>
      <c r="BU4" s="34"/>
      <c r="BV4" s="34"/>
      <c r="BW4" s="34"/>
      <c r="BX4" s="34"/>
      <c r="BY4" s="34"/>
      <c r="BZ4" s="34"/>
      <c r="CA4" s="34"/>
      <c r="CB4" s="34"/>
      <c r="CC4" s="34"/>
      <c r="CD4" s="34"/>
      <c r="CE4" s="34"/>
      <c r="CF4" s="34"/>
      <c r="CG4" s="31"/>
      <c r="CH4" s="31"/>
      <c r="CJ4" s="31"/>
      <c r="CK4" s="31"/>
      <c r="EU4" s="31"/>
      <c r="EX4" s="31"/>
      <c r="FA4" s="31"/>
      <c r="FD4" s="31"/>
      <c r="FS4" s="31"/>
      <c r="GN4" s="31"/>
      <c r="GQ4" s="31"/>
      <c r="GT4" s="31"/>
      <c r="GW4" s="31"/>
      <c r="HL4" s="33"/>
    </row>
    <row r="5" spans="1:285" s="29" customFormat="1" ht="45" customHeight="1" x14ac:dyDescent="0.2">
      <c r="A5" s="29" t="s">
        <v>359</v>
      </c>
      <c r="B5" s="29" t="s">
        <v>360</v>
      </c>
      <c r="C5" s="29">
        <v>2014</v>
      </c>
      <c r="D5" s="30" t="s">
        <v>361</v>
      </c>
      <c r="E5" s="29" t="s">
        <v>170</v>
      </c>
      <c r="F5" s="29" t="s">
        <v>362</v>
      </c>
      <c r="G5" s="29" t="s">
        <v>365</v>
      </c>
      <c r="H5" s="29" t="s">
        <v>368</v>
      </c>
      <c r="I5" s="29" t="s">
        <v>369</v>
      </c>
      <c r="J5" s="29" t="s">
        <v>364</v>
      </c>
      <c r="K5" s="29" t="s">
        <v>363</v>
      </c>
      <c r="L5" s="29" t="s">
        <v>265</v>
      </c>
      <c r="M5" s="29" t="s">
        <v>268</v>
      </c>
      <c r="N5" s="31">
        <v>3</v>
      </c>
      <c r="O5" s="31"/>
      <c r="P5" s="31"/>
      <c r="Q5" s="31">
        <v>1173</v>
      </c>
      <c r="R5" s="31">
        <v>1773</v>
      </c>
      <c r="S5" s="31"/>
      <c r="T5" s="31"/>
      <c r="U5" s="31"/>
      <c r="V5" s="31"/>
      <c r="W5" s="31"/>
      <c r="X5" s="31"/>
      <c r="Y5" s="31">
        <v>10.4</v>
      </c>
      <c r="Z5" s="31">
        <v>25.9</v>
      </c>
      <c r="AA5" s="31"/>
      <c r="AB5" s="31"/>
      <c r="AC5" s="31"/>
      <c r="AD5" s="31"/>
      <c r="AE5" s="31">
        <v>0</v>
      </c>
      <c r="AF5" s="29">
        <v>10</v>
      </c>
      <c r="AH5" s="29" t="s">
        <v>367</v>
      </c>
      <c r="AI5" s="29" t="s">
        <v>66</v>
      </c>
      <c r="AN5" s="29" t="s">
        <v>366</v>
      </c>
      <c r="AO5" s="30" t="s">
        <v>28</v>
      </c>
      <c r="AP5" s="30"/>
      <c r="AQ5" s="32">
        <v>88774</v>
      </c>
      <c r="AR5" s="33"/>
      <c r="AS5" s="30" t="s">
        <v>113</v>
      </c>
      <c r="AT5" s="35">
        <v>-0.38800000000000001</v>
      </c>
      <c r="AU5" s="32"/>
      <c r="AV5" s="30" t="s">
        <v>116</v>
      </c>
      <c r="AW5" s="34">
        <v>73029</v>
      </c>
      <c r="AX5" s="34"/>
      <c r="AY5" s="30" t="s">
        <v>115</v>
      </c>
      <c r="AZ5" s="32">
        <v>4.5399999999999999E-5</v>
      </c>
      <c r="BA5" s="32"/>
      <c r="BB5" s="34" t="s">
        <v>116</v>
      </c>
      <c r="BC5" s="36">
        <v>5.5606999999999998</v>
      </c>
      <c r="BD5" s="32"/>
      <c r="BE5" s="34" t="s">
        <v>116</v>
      </c>
      <c r="BF5" s="36">
        <v>789166</v>
      </c>
      <c r="BG5" s="32"/>
      <c r="BH5" s="34" t="s">
        <v>113</v>
      </c>
      <c r="BI5" s="32">
        <v>-0.18079999999999999</v>
      </c>
      <c r="BJ5" s="32"/>
      <c r="BK5" s="34" t="s">
        <v>116</v>
      </c>
      <c r="BL5" s="37">
        <v>32820</v>
      </c>
      <c r="BM5" s="34"/>
      <c r="BN5" s="34" t="s">
        <v>115</v>
      </c>
      <c r="BO5" s="32">
        <v>5.5000000000000002E-5</v>
      </c>
      <c r="BP5" s="34"/>
      <c r="BQ5" s="34" t="s">
        <v>116</v>
      </c>
      <c r="BR5" s="34">
        <v>5.7956000000000003</v>
      </c>
      <c r="BS5" s="34"/>
      <c r="BT5" s="34" t="s">
        <v>116</v>
      </c>
      <c r="BU5" s="34"/>
      <c r="BV5" s="34"/>
      <c r="BW5" s="34"/>
      <c r="BX5" s="34"/>
      <c r="BY5" s="34"/>
      <c r="BZ5" s="34"/>
      <c r="CA5" s="34"/>
      <c r="CB5" s="34"/>
      <c r="CC5" s="34"/>
      <c r="CD5" s="34"/>
      <c r="CE5" s="34"/>
      <c r="CF5" s="34"/>
      <c r="CG5" s="31"/>
      <c r="CH5" s="31"/>
      <c r="CJ5" s="31"/>
      <c r="CK5" s="31"/>
      <c r="EU5" s="31"/>
      <c r="EX5" s="31"/>
      <c r="FA5" s="31"/>
      <c r="FD5" s="31"/>
      <c r="FS5" s="31"/>
      <c r="GN5" s="31"/>
      <c r="GQ5" s="31"/>
      <c r="GT5" s="31"/>
      <c r="GW5" s="31"/>
      <c r="HL5" s="33"/>
    </row>
    <row r="6" spans="1:285" s="39" customFormat="1" ht="45" customHeight="1" x14ac:dyDescent="0.2">
      <c r="A6" s="38" t="s">
        <v>418</v>
      </c>
      <c r="B6" s="29" t="s">
        <v>535</v>
      </c>
      <c r="C6" s="29">
        <v>2015</v>
      </c>
      <c r="D6" s="30" t="s">
        <v>419</v>
      </c>
      <c r="E6" s="29" t="s">
        <v>170</v>
      </c>
      <c r="F6" s="29" t="s">
        <v>352</v>
      </c>
      <c r="G6" s="29" t="s">
        <v>421</v>
      </c>
      <c r="H6" s="29" t="s">
        <v>423</v>
      </c>
      <c r="I6" s="29" t="s">
        <v>424</v>
      </c>
      <c r="J6" s="29" t="s">
        <v>425</v>
      </c>
      <c r="K6" s="29" t="s">
        <v>513</v>
      </c>
      <c r="L6" s="29" t="s">
        <v>265</v>
      </c>
      <c r="M6" s="29" t="s">
        <v>268</v>
      </c>
      <c r="N6" s="31">
        <v>2</v>
      </c>
      <c r="O6" s="31">
        <v>0.5</v>
      </c>
      <c r="P6" s="31">
        <v>2</v>
      </c>
      <c r="Q6" s="31">
        <v>823</v>
      </c>
      <c r="R6" s="31">
        <v>1173</v>
      </c>
      <c r="S6" s="31"/>
      <c r="T6" s="31"/>
      <c r="U6" s="31"/>
      <c r="V6" s="31"/>
      <c r="W6" s="31"/>
      <c r="X6" s="31"/>
      <c r="Y6" s="31"/>
      <c r="Z6" s="31"/>
      <c r="AA6" s="31"/>
      <c r="AB6" s="31"/>
      <c r="AC6" s="31"/>
      <c r="AD6" s="31"/>
      <c r="AE6" s="31">
        <v>0.62</v>
      </c>
      <c r="AF6" s="29">
        <v>4.1900000000000004</v>
      </c>
      <c r="AG6" s="29"/>
      <c r="AH6" s="38" t="s">
        <v>422</v>
      </c>
      <c r="AI6" s="29" t="s">
        <v>66</v>
      </c>
      <c r="AJ6" s="29"/>
      <c r="AK6" s="29"/>
      <c r="AL6" s="29"/>
      <c r="AM6" s="29"/>
      <c r="AN6" s="38" t="s">
        <v>420</v>
      </c>
      <c r="AO6" s="30" t="s">
        <v>28</v>
      </c>
      <c r="AP6" s="30" t="s">
        <v>427</v>
      </c>
      <c r="AQ6" s="32">
        <v>45</v>
      </c>
      <c r="AR6" s="33">
        <v>5</v>
      </c>
      <c r="AS6" s="30" t="s">
        <v>113</v>
      </c>
      <c r="AT6" s="35">
        <v>0</v>
      </c>
      <c r="AU6" s="32"/>
      <c r="AV6" s="30" t="s">
        <v>426</v>
      </c>
      <c r="AW6" s="34">
        <v>1.1399999999999999</v>
      </c>
      <c r="AX6" s="34">
        <v>7.0000000000000007E-2</v>
      </c>
      <c r="AY6" s="30" t="s">
        <v>115</v>
      </c>
      <c r="AZ6" s="32">
        <v>-0.3</v>
      </c>
      <c r="BA6" s="32">
        <v>0.09</v>
      </c>
      <c r="BB6" s="34" t="s">
        <v>116</v>
      </c>
      <c r="BC6" s="36">
        <v>0.2</v>
      </c>
      <c r="BD6" s="32">
        <v>0.09</v>
      </c>
      <c r="BE6" s="34" t="s">
        <v>116</v>
      </c>
      <c r="BF6" s="36">
        <v>1.43</v>
      </c>
      <c r="BG6" s="32">
        <v>0.15</v>
      </c>
      <c r="BH6" s="34" t="s">
        <v>123</v>
      </c>
      <c r="BI6" s="32">
        <v>30</v>
      </c>
      <c r="BJ6" s="32">
        <v>5</v>
      </c>
      <c r="BK6" s="34" t="s">
        <v>113</v>
      </c>
      <c r="BL6" s="37">
        <v>1.65</v>
      </c>
      <c r="BM6" s="34">
        <v>0.03</v>
      </c>
      <c r="BN6" s="34" t="s">
        <v>406</v>
      </c>
      <c r="BO6" s="34">
        <v>1.1399999999999999</v>
      </c>
      <c r="BP6" s="34">
        <v>7.0000000000000007E-2</v>
      </c>
      <c r="BQ6" s="34" t="s">
        <v>115</v>
      </c>
      <c r="BR6" s="34">
        <v>-0.3</v>
      </c>
      <c r="BS6" s="34">
        <v>0.09</v>
      </c>
      <c r="BT6" s="34" t="s">
        <v>116</v>
      </c>
      <c r="BU6" s="34">
        <v>0.2</v>
      </c>
      <c r="BV6" s="34">
        <v>0.09</v>
      </c>
      <c r="BW6" s="34" t="s">
        <v>116</v>
      </c>
      <c r="BX6" s="34">
        <v>1.43</v>
      </c>
      <c r="BY6" s="34">
        <v>0.15</v>
      </c>
      <c r="BZ6" s="34" t="s">
        <v>123</v>
      </c>
      <c r="CA6" s="34"/>
      <c r="CB6" s="34"/>
      <c r="CC6" s="34"/>
      <c r="CD6" s="34"/>
      <c r="CE6" s="34"/>
      <c r="CF6" s="34"/>
      <c r="CG6" s="31"/>
      <c r="CH6" s="31"/>
      <c r="CI6" s="29"/>
      <c r="CJ6" s="31"/>
      <c r="CK6" s="31"/>
      <c r="CL6" s="29"/>
      <c r="EU6" s="41"/>
      <c r="EX6" s="41"/>
      <c r="FA6" s="41"/>
      <c r="FD6" s="41"/>
      <c r="FS6" s="41"/>
      <c r="GN6" s="41"/>
      <c r="GQ6" s="41"/>
      <c r="GT6" s="41"/>
      <c r="GW6" s="41"/>
      <c r="HL6" s="43"/>
    </row>
    <row r="7" spans="1:285" s="1" customFormat="1" ht="45" customHeight="1" x14ac:dyDescent="0.2">
      <c r="A7" s="1" t="s">
        <v>585</v>
      </c>
      <c r="B7" s="1" t="s">
        <v>586</v>
      </c>
      <c r="C7" s="1">
        <v>2017</v>
      </c>
      <c r="D7" s="2" t="s">
        <v>587</v>
      </c>
      <c r="E7" s="1" t="s">
        <v>146</v>
      </c>
      <c r="F7" s="1" t="s">
        <v>588</v>
      </c>
      <c r="G7" s="1" t="s">
        <v>589</v>
      </c>
      <c r="H7" s="7" t="s">
        <v>590</v>
      </c>
      <c r="I7" s="7" t="s">
        <v>591</v>
      </c>
      <c r="J7" s="1" t="s">
        <v>592</v>
      </c>
      <c r="K7" s="1" t="s">
        <v>593</v>
      </c>
      <c r="L7" s="1" t="s">
        <v>265</v>
      </c>
      <c r="M7" s="1" t="s">
        <v>268</v>
      </c>
      <c r="N7" s="1">
        <v>0.5</v>
      </c>
      <c r="O7" s="1">
        <v>0</v>
      </c>
      <c r="P7" s="1">
        <v>1</v>
      </c>
      <c r="Q7" s="1">
        <v>373.15</v>
      </c>
      <c r="R7" s="1">
        <v>873</v>
      </c>
      <c r="AB7" s="1">
        <v>5.8000000000000003E-2</v>
      </c>
      <c r="AC7" s="1">
        <v>5.8</v>
      </c>
      <c r="AO7" s="40" t="s">
        <v>28</v>
      </c>
      <c r="AP7" s="2" t="s">
        <v>594</v>
      </c>
      <c r="AQ7" s="6">
        <v>-1.706</v>
      </c>
      <c r="AR7" s="10">
        <v>3.2899999999999999E-2</v>
      </c>
      <c r="AS7" s="2" t="s">
        <v>116</v>
      </c>
      <c r="AT7" s="4">
        <v>-93.78</v>
      </c>
      <c r="AU7" s="6">
        <v>18.27</v>
      </c>
      <c r="AV7" s="2" t="s">
        <v>116</v>
      </c>
      <c r="AW7" s="5">
        <v>0.8075</v>
      </c>
      <c r="AX7" s="5">
        <v>7.4999999999999997E-3</v>
      </c>
      <c r="AY7" s="2" t="s">
        <v>116</v>
      </c>
      <c r="AZ7" s="6">
        <v>3.0781000000000001</v>
      </c>
      <c r="BA7" s="6">
        <v>4.4499999999999998E-2</v>
      </c>
      <c r="BB7" s="5" t="s">
        <v>116</v>
      </c>
      <c r="BC7" s="8">
        <v>1573</v>
      </c>
      <c r="BD7" s="6">
        <v>67</v>
      </c>
      <c r="BE7" s="5" t="s">
        <v>116</v>
      </c>
      <c r="BF7" s="8">
        <v>-1212</v>
      </c>
      <c r="BG7" s="6">
        <v>36</v>
      </c>
      <c r="BH7" s="5" t="s">
        <v>116</v>
      </c>
      <c r="BI7" s="6">
        <v>537062</v>
      </c>
      <c r="BJ7" s="6">
        <v>87473</v>
      </c>
      <c r="BK7" s="5" t="s">
        <v>116</v>
      </c>
      <c r="BL7" s="9">
        <v>-208122721</v>
      </c>
      <c r="BM7" s="5">
        <v>26033128</v>
      </c>
      <c r="BN7" s="5" t="s">
        <v>116</v>
      </c>
      <c r="BO7" s="6"/>
      <c r="BP7" s="5"/>
      <c r="BQ7" s="5"/>
      <c r="BR7" s="5"/>
      <c r="BS7" s="5"/>
      <c r="BT7" s="5"/>
      <c r="BU7" s="5"/>
      <c r="BV7" s="5"/>
      <c r="BW7" s="5"/>
      <c r="BX7" s="5"/>
      <c r="BY7" s="5"/>
      <c r="BZ7" s="5"/>
      <c r="CA7" s="5"/>
      <c r="CB7" s="5"/>
      <c r="CC7" s="5"/>
      <c r="CD7" s="5"/>
      <c r="CE7" s="5"/>
      <c r="CF7" s="5"/>
      <c r="CG7" s="3"/>
      <c r="CH7" s="3"/>
      <c r="CJ7" s="3"/>
      <c r="CK7" s="3"/>
      <c r="EU7" s="3"/>
      <c r="EX7" s="3"/>
      <c r="FA7" s="3"/>
      <c r="FD7" s="3"/>
      <c r="FS7" s="3"/>
      <c r="GN7" s="3"/>
      <c r="GQ7" s="3"/>
      <c r="GT7" s="3"/>
      <c r="GW7" s="3"/>
      <c r="HL7" s="10"/>
    </row>
    <row r="8" spans="1:285" s="39" customFormat="1" ht="45" customHeight="1" x14ac:dyDescent="0.2">
      <c r="A8" s="39" t="s">
        <v>143</v>
      </c>
      <c r="B8" s="39" t="s">
        <v>144</v>
      </c>
      <c r="C8" s="39">
        <v>2018</v>
      </c>
      <c r="D8" s="40" t="s">
        <v>145</v>
      </c>
      <c r="E8" s="39" t="s">
        <v>146</v>
      </c>
      <c r="F8" s="39" t="s">
        <v>147</v>
      </c>
      <c r="G8" s="39" t="s">
        <v>142</v>
      </c>
      <c r="H8" s="39" t="s">
        <v>23</v>
      </c>
      <c r="I8" s="39" t="s">
        <v>152</v>
      </c>
      <c r="J8" s="39" t="s">
        <v>294</v>
      </c>
      <c r="K8" s="39" t="s">
        <v>460</v>
      </c>
      <c r="L8" s="39" t="s">
        <v>265</v>
      </c>
      <c r="M8" s="39" t="s">
        <v>268</v>
      </c>
      <c r="N8" s="41">
        <v>1</v>
      </c>
      <c r="O8" s="41"/>
      <c r="P8" s="41"/>
      <c r="Q8" s="41">
        <v>800</v>
      </c>
      <c r="R8" s="41">
        <v>800</v>
      </c>
      <c r="S8" s="41"/>
      <c r="T8" s="41"/>
      <c r="U8" s="41"/>
      <c r="V8" s="41"/>
      <c r="W8" s="41"/>
      <c r="X8" s="41"/>
      <c r="Y8" s="41"/>
      <c r="Z8" s="41"/>
      <c r="AA8" s="41"/>
      <c r="AB8" s="41"/>
      <c r="AC8" s="41"/>
      <c r="AD8" s="41">
        <v>1</v>
      </c>
      <c r="AE8" s="41"/>
      <c r="AO8" s="40" t="s">
        <v>28</v>
      </c>
      <c r="AP8" s="40"/>
      <c r="AQ8" s="42">
        <v>0.36</v>
      </c>
      <c r="AR8" s="43"/>
      <c r="AS8" s="40" t="s">
        <v>116</v>
      </c>
      <c r="AT8" s="45"/>
      <c r="AU8" s="42"/>
      <c r="AV8" s="40"/>
      <c r="AW8" s="44"/>
      <c r="AX8" s="44"/>
      <c r="AY8" s="40"/>
      <c r="AZ8" s="42"/>
      <c r="BA8" s="42"/>
      <c r="BB8" s="44"/>
      <c r="BC8" s="46"/>
      <c r="BD8" s="42"/>
      <c r="BE8" s="44"/>
      <c r="BF8" s="46"/>
      <c r="BG8" s="42"/>
      <c r="BH8" s="44"/>
      <c r="BI8" s="42"/>
      <c r="BJ8" s="42"/>
      <c r="BK8" s="44"/>
      <c r="BL8" s="47"/>
      <c r="BM8" s="44"/>
      <c r="BN8" s="44"/>
      <c r="BO8" s="42"/>
      <c r="BP8" s="44"/>
      <c r="BQ8" s="44"/>
      <c r="BR8" s="44"/>
      <c r="BS8" s="44"/>
      <c r="BT8" s="44"/>
      <c r="BU8" s="44"/>
      <c r="BV8" s="44"/>
      <c r="BW8" s="44"/>
      <c r="BX8" s="44"/>
      <c r="BY8" s="44"/>
      <c r="BZ8" s="44"/>
      <c r="CA8" s="44"/>
      <c r="CB8" s="44"/>
      <c r="CC8" s="44"/>
      <c r="CD8" s="44"/>
      <c r="CE8" s="44"/>
      <c r="CF8" s="44"/>
      <c r="CG8" s="41"/>
      <c r="CH8" s="41"/>
      <c r="CJ8" s="41"/>
      <c r="CK8" s="41"/>
      <c r="EU8" s="41"/>
      <c r="EX8" s="41"/>
      <c r="FA8" s="41"/>
      <c r="FD8" s="41"/>
      <c r="FS8" s="41"/>
      <c r="GN8" s="41"/>
      <c r="GQ8" s="41"/>
      <c r="GT8" s="41"/>
      <c r="GW8" s="41"/>
      <c r="HL8" s="43"/>
    </row>
    <row r="9" spans="1:285" s="39" customFormat="1" ht="45" customHeight="1" x14ac:dyDescent="0.2">
      <c r="A9" s="39" t="s">
        <v>143</v>
      </c>
      <c r="B9" s="39" t="s">
        <v>144</v>
      </c>
      <c r="C9" s="39">
        <v>2018</v>
      </c>
      <c r="D9" s="40" t="s">
        <v>145</v>
      </c>
      <c r="E9" s="39" t="s">
        <v>146</v>
      </c>
      <c r="F9" s="39" t="s">
        <v>148</v>
      </c>
      <c r="G9" s="39" t="s">
        <v>142</v>
      </c>
      <c r="H9" s="39" t="s">
        <v>23</v>
      </c>
      <c r="I9" s="39" t="s">
        <v>152</v>
      </c>
      <c r="J9" s="39" t="s">
        <v>294</v>
      </c>
      <c r="K9" s="39" t="s">
        <v>461</v>
      </c>
      <c r="L9" s="39" t="s">
        <v>265</v>
      </c>
      <c r="M9" s="39" t="s">
        <v>268</v>
      </c>
      <c r="N9" s="41">
        <v>1</v>
      </c>
      <c r="O9" s="41"/>
      <c r="P9" s="41"/>
      <c r="Q9" s="41">
        <v>800</v>
      </c>
      <c r="R9" s="41">
        <v>800</v>
      </c>
      <c r="S9" s="41"/>
      <c r="T9" s="41"/>
      <c r="U9" s="41"/>
      <c r="V9" s="41"/>
      <c r="W9" s="41"/>
      <c r="X9" s="41"/>
      <c r="Y9" s="41"/>
      <c r="Z9" s="41"/>
      <c r="AA9" s="41"/>
      <c r="AB9" s="41"/>
      <c r="AC9" s="41"/>
      <c r="AD9" s="41">
        <v>25</v>
      </c>
      <c r="AE9" s="41"/>
      <c r="AO9" s="40" t="s">
        <v>28</v>
      </c>
      <c r="AP9" s="40"/>
      <c r="AQ9" s="42">
        <v>15.33</v>
      </c>
      <c r="AR9" s="43"/>
      <c r="AS9" s="40" t="s">
        <v>116</v>
      </c>
      <c r="AT9" s="45"/>
      <c r="AU9" s="42"/>
      <c r="AV9" s="40"/>
      <c r="AW9" s="44"/>
      <c r="AX9" s="44"/>
      <c r="AY9" s="40"/>
      <c r="AZ9" s="42"/>
      <c r="BA9" s="42"/>
      <c r="BB9" s="44"/>
      <c r="BC9" s="46"/>
      <c r="BD9" s="42"/>
      <c r="BE9" s="44"/>
      <c r="BF9" s="46"/>
      <c r="BG9" s="42"/>
      <c r="BH9" s="44"/>
      <c r="BI9" s="42"/>
      <c r="BJ9" s="42"/>
      <c r="BK9" s="44"/>
      <c r="BL9" s="47"/>
      <c r="BM9" s="44"/>
      <c r="BN9" s="44"/>
      <c r="BO9" s="42"/>
      <c r="BP9" s="44"/>
      <c r="BQ9" s="44"/>
      <c r="BR9" s="44"/>
      <c r="BS9" s="44"/>
      <c r="BT9" s="44"/>
      <c r="BU9" s="44"/>
      <c r="BV9" s="44"/>
      <c r="BW9" s="44"/>
      <c r="BX9" s="44"/>
      <c r="BY9" s="44"/>
      <c r="BZ9" s="44"/>
      <c r="CA9" s="44"/>
      <c r="CB9" s="44"/>
      <c r="CC9" s="44"/>
      <c r="CD9" s="44"/>
      <c r="CE9" s="44"/>
      <c r="CF9" s="44"/>
      <c r="CG9" s="41"/>
      <c r="CH9" s="41"/>
      <c r="CJ9" s="41"/>
      <c r="CK9" s="41"/>
      <c r="EU9" s="41"/>
      <c r="EX9" s="41"/>
      <c r="FA9" s="41"/>
      <c r="FD9" s="41"/>
      <c r="FS9" s="41"/>
      <c r="GN9" s="41"/>
      <c r="GQ9" s="41"/>
      <c r="GT9" s="41"/>
      <c r="GW9" s="41"/>
      <c r="HL9" s="43"/>
    </row>
    <row r="10" spans="1:285" s="39" customFormat="1" ht="45" customHeight="1" x14ac:dyDescent="0.2">
      <c r="A10" s="39" t="s">
        <v>143</v>
      </c>
      <c r="B10" s="39" t="s">
        <v>144</v>
      </c>
      <c r="C10" s="39">
        <v>2018</v>
      </c>
      <c r="D10" s="40" t="s">
        <v>145</v>
      </c>
      <c r="E10" s="39" t="s">
        <v>146</v>
      </c>
      <c r="F10" s="39" t="s">
        <v>149</v>
      </c>
      <c r="G10" s="39" t="s">
        <v>142</v>
      </c>
      <c r="H10" s="39" t="s">
        <v>23</v>
      </c>
      <c r="I10" s="39" t="s">
        <v>152</v>
      </c>
      <c r="J10" s="39" t="s">
        <v>294</v>
      </c>
      <c r="K10" s="39" t="s">
        <v>462</v>
      </c>
      <c r="L10" s="39" t="s">
        <v>265</v>
      </c>
      <c r="M10" s="39" t="s">
        <v>268</v>
      </c>
      <c r="N10" s="41">
        <v>1</v>
      </c>
      <c r="O10" s="41"/>
      <c r="P10" s="41"/>
      <c r="Q10" s="41">
        <v>800</v>
      </c>
      <c r="R10" s="41">
        <v>800</v>
      </c>
      <c r="S10" s="41"/>
      <c r="T10" s="41"/>
      <c r="U10" s="41"/>
      <c r="V10" s="41"/>
      <c r="W10" s="41"/>
      <c r="X10" s="41"/>
      <c r="Y10" s="41"/>
      <c r="Z10" s="41"/>
      <c r="AA10" s="41"/>
      <c r="AB10" s="41"/>
      <c r="AC10" s="41"/>
      <c r="AD10" s="41">
        <v>10</v>
      </c>
      <c r="AE10" s="41"/>
      <c r="AO10" s="40" t="s">
        <v>28</v>
      </c>
      <c r="AP10" s="40"/>
      <c r="AQ10" s="42">
        <v>2.29</v>
      </c>
      <c r="AR10" s="43"/>
      <c r="AS10" s="40" t="s">
        <v>116</v>
      </c>
      <c r="AT10" s="45"/>
      <c r="AU10" s="42"/>
      <c r="AV10" s="40"/>
      <c r="AW10" s="44"/>
      <c r="AX10" s="44"/>
      <c r="AY10" s="40"/>
      <c r="AZ10" s="42"/>
      <c r="BA10" s="42"/>
      <c r="BB10" s="44"/>
      <c r="BC10" s="46"/>
      <c r="BD10" s="42"/>
      <c r="BE10" s="44"/>
      <c r="BF10" s="46"/>
      <c r="BG10" s="42"/>
      <c r="BH10" s="44"/>
      <c r="BI10" s="42"/>
      <c r="BJ10" s="42"/>
      <c r="BK10" s="44"/>
      <c r="BL10" s="47"/>
      <c r="BM10" s="44"/>
      <c r="BN10" s="44"/>
      <c r="BO10" s="42"/>
      <c r="BP10" s="44"/>
      <c r="BQ10" s="44"/>
      <c r="BR10" s="44"/>
      <c r="BS10" s="44"/>
      <c r="BT10" s="44"/>
      <c r="BU10" s="44"/>
      <c r="BV10" s="44"/>
      <c r="BW10" s="44"/>
      <c r="BX10" s="44"/>
      <c r="BY10" s="44"/>
      <c r="BZ10" s="44"/>
      <c r="CA10" s="44"/>
      <c r="CB10" s="44"/>
      <c r="CC10" s="44"/>
      <c r="CD10" s="44"/>
      <c r="CE10" s="44"/>
      <c r="CF10" s="44"/>
      <c r="CG10" s="41"/>
      <c r="CH10" s="41"/>
      <c r="CJ10" s="41"/>
      <c r="CK10" s="41"/>
      <c r="EU10" s="41"/>
      <c r="EX10" s="41"/>
      <c r="FA10" s="41"/>
      <c r="FD10" s="41"/>
      <c r="FS10" s="41"/>
      <c r="GN10" s="41"/>
      <c r="GQ10" s="41"/>
      <c r="GT10" s="41"/>
      <c r="GW10" s="41"/>
      <c r="HL10" s="43"/>
    </row>
    <row r="11" spans="1:285" s="29" customFormat="1" ht="45" customHeight="1" x14ac:dyDescent="0.2">
      <c r="A11" s="39" t="s">
        <v>143</v>
      </c>
      <c r="B11" s="39" t="s">
        <v>144</v>
      </c>
      <c r="C11" s="39">
        <v>2018</v>
      </c>
      <c r="D11" s="40" t="s">
        <v>145</v>
      </c>
      <c r="E11" s="39" t="s">
        <v>146</v>
      </c>
      <c r="F11" s="39" t="s">
        <v>150</v>
      </c>
      <c r="G11" s="39" t="s">
        <v>142</v>
      </c>
      <c r="H11" s="39" t="s">
        <v>23</v>
      </c>
      <c r="I11" s="39" t="s">
        <v>152</v>
      </c>
      <c r="J11" s="39" t="s">
        <v>294</v>
      </c>
      <c r="K11" s="39" t="s">
        <v>463</v>
      </c>
      <c r="L11" s="39" t="s">
        <v>265</v>
      </c>
      <c r="M11" s="39" t="s">
        <v>268</v>
      </c>
      <c r="N11" s="41">
        <v>1</v>
      </c>
      <c r="O11" s="41"/>
      <c r="P11" s="41"/>
      <c r="Q11" s="41">
        <v>800</v>
      </c>
      <c r="R11" s="41">
        <v>800</v>
      </c>
      <c r="S11" s="41"/>
      <c r="T11" s="41"/>
      <c r="U11" s="41"/>
      <c r="V11" s="41"/>
      <c r="W11" s="41"/>
      <c r="X11" s="41"/>
      <c r="Y11" s="41"/>
      <c r="Z11" s="41"/>
      <c r="AA11" s="41"/>
      <c r="AB11" s="41"/>
      <c r="AC11" s="41"/>
      <c r="AD11" s="41">
        <v>3</v>
      </c>
      <c r="AE11" s="41"/>
      <c r="AF11" s="39"/>
      <c r="AG11" s="39"/>
      <c r="AH11" s="39"/>
      <c r="AI11" s="39"/>
      <c r="AJ11" s="39"/>
      <c r="AK11" s="39"/>
      <c r="AL11" s="39"/>
      <c r="AM11" s="39"/>
      <c r="AN11" s="39"/>
      <c r="AO11" s="40" t="s">
        <v>28</v>
      </c>
      <c r="AP11" s="40"/>
      <c r="AQ11" s="42">
        <v>12.5</v>
      </c>
      <c r="AR11" s="43"/>
      <c r="AS11" s="40" t="s">
        <v>116</v>
      </c>
      <c r="AT11" s="45"/>
      <c r="AU11" s="42"/>
      <c r="AV11" s="40"/>
      <c r="AW11" s="44"/>
      <c r="AX11" s="44"/>
      <c r="AY11" s="40"/>
      <c r="AZ11" s="42"/>
      <c r="BA11" s="42"/>
      <c r="BB11" s="44"/>
      <c r="BC11" s="46"/>
      <c r="BD11" s="42"/>
      <c r="BE11" s="44"/>
      <c r="BF11" s="46"/>
      <c r="BG11" s="42"/>
      <c r="BH11" s="44"/>
      <c r="BI11" s="42"/>
      <c r="BJ11" s="42"/>
      <c r="BK11" s="44"/>
      <c r="BL11" s="47"/>
      <c r="BM11" s="44"/>
      <c r="BN11" s="44"/>
      <c r="BO11" s="42"/>
      <c r="BP11" s="44"/>
      <c r="BQ11" s="44"/>
      <c r="BR11" s="44"/>
      <c r="BS11" s="44"/>
      <c r="BT11" s="44"/>
      <c r="BU11" s="44"/>
      <c r="BV11" s="44"/>
      <c r="BW11" s="44"/>
      <c r="BX11" s="44"/>
      <c r="BY11" s="44"/>
      <c r="BZ11" s="44"/>
      <c r="CA11" s="44"/>
      <c r="CB11" s="44"/>
      <c r="CC11" s="44"/>
      <c r="CD11" s="44"/>
      <c r="CE11" s="44"/>
      <c r="CF11" s="44"/>
      <c r="CG11" s="41"/>
      <c r="CH11" s="41"/>
      <c r="CI11" s="39"/>
      <c r="CJ11" s="41"/>
      <c r="CK11" s="41"/>
      <c r="CL11" s="39"/>
      <c r="EU11" s="31"/>
      <c r="EX11" s="31"/>
      <c r="FA11" s="31"/>
      <c r="FD11" s="31"/>
      <c r="FS11" s="31"/>
      <c r="GN11" s="31"/>
      <c r="GQ11" s="31"/>
      <c r="GT11" s="31"/>
      <c r="GW11" s="31"/>
      <c r="HL11" s="33"/>
    </row>
    <row r="12" spans="1:285" s="29" customFormat="1" ht="45" customHeight="1" x14ac:dyDescent="0.2">
      <c r="A12" s="39" t="s">
        <v>143</v>
      </c>
      <c r="B12" s="39" t="s">
        <v>144</v>
      </c>
      <c r="C12" s="39">
        <v>2018</v>
      </c>
      <c r="D12" s="40" t="s">
        <v>145</v>
      </c>
      <c r="E12" s="39" t="s">
        <v>146</v>
      </c>
      <c r="F12" s="39" t="s">
        <v>151</v>
      </c>
      <c r="G12" s="39" t="s">
        <v>142</v>
      </c>
      <c r="H12" s="39" t="s">
        <v>23</v>
      </c>
      <c r="I12" s="39" t="s">
        <v>152</v>
      </c>
      <c r="J12" s="39" t="s">
        <v>294</v>
      </c>
      <c r="K12" s="39" t="s">
        <v>464</v>
      </c>
      <c r="L12" s="39" t="s">
        <v>265</v>
      </c>
      <c r="M12" s="39" t="s">
        <v>268</v>
      </c>
      <c r="N12" s="41">
        <v>1</v>
      </c>
      <c r="O12" s="41"/>
      <c r="P12" s="41"/>
      <c r="Q12" s="41">
        <v>800</v>
      </c>
      <c r="R12" s="41">
        <v>800</v>
      </c>
      <c r="S12" s="41"/>
      <c r="T12" s="41"/>
      <c r="U12" s="41"/>
      <c r="V12" s="41"/>
      <c r="W12" s="41"/>
      <c r="X12" s="41"/>
      <c r="Y12" s="41"/>
      <c r="Z12" s="41"/>
      <c r="AA12" s="41"/>
      <c r="AB12" s="41"/>
      <c r="AC12" s="41"/>
      <c r="AD12" s="41">
        <v>10</v>
      </c>
      <c r="AE12" s="41"/>
      <c r="AF12" s="39"/>
      <c r="AG12" s="39"/>
      <c r="AH12" s="39"/>
      <c r="AI12" s="39"/>
      <c r="AJ12" s="39"/>
      <c r="AK12" s="39"/>
      <c r="AL12" s="39"/>
      <c r="AM12" s="39"/>
      <c r="AN12" s="39"/>
      <c r="AO12" s="40" t="s">
        <v>28</v>
      </c>
      <c r="AP12" s="40"/>
      <c r="AQ12" s="42">
        <v>55</v>
      </c>
      <c r="AR12" s="43"/>
      <c r="AS12" s="40" t="s">
        <v>116</v>
      </c>
      <c r="AT12" s="45"/>
      <c r="AU12" s="42"/>
      <c r="AV12" s="40"/>
      <c r="AW12" s="44"/>
      <c r="AX12" s="44"/>
      <c r="AY12" s="40"/>
      <c r="AZ12" s="42"/>
      <c r="BA12" s="42"/>
      <c r="BB12" s="44"/>
      <c r="BC12" s="46"/>
      <c r="BD12" s="42"/>
      <c r="BE12" s="44"/>
      <c r="BF12" s="46"/>
      <c r="BG12" s="42"/>
      <c r="BH12" s="44"/>
      <c r="BI12" s="42"/>
      <c r="BJ12" s="42"/>
      <c r="BK12" s="44"/>
      <c r="BL12" s="47"/>
      <c r="BM12" s="44"/>
      <c r="BN12" s="44"/>
      <c r="BO12" s="42"/>
      <c r="BP12" s="44"/>
      <c r="BQ12" s="44"/>
      <c r="BR12" s="44"/>
      <c r="BS12" s="44"/>
      <c r="BT12" s="44"/>
      <c r="BU12" s="44"/>
      <c r="BV12" s="44"/>
      <c r="BW12" s="44"/>
      <c r="BX12" s="44"/>
      <c r="BY12" s="44"/>
      <c r="BZ12" s="44"/>
      <c r="CA12" s="44"/>
      <c r="CB12" s="44"/>
      <c r="CC12" s="44"/>
      <c r="CD12" s="44"/>
      <c r="CE12" s="44"/>
      <c r="CF12" s="44"/>
      <c r="CG12" s="41"/>
      <c r="CH12" s="41"/>
      <c r="CI12" s="39"/>
      <c r="CJ12" s="41"/>
      <c r="CK12" s="41"/>
      <c r="CL12" s="39"/>
      <c r="EU12" s="31"/>
      <c r="EX12" s="31"/>
      <c r="FA12" s="31"/>
      <c r="FD12" s="31"/>
      <c r="FS12" s="31"/>
      <c r="GN12" s="31"/>
      <c r="GQ12" s="31"/>
      <c r="GT12" s="31"/>
      <c r="GW12" s="31"/>
      <c r="HL12" s="33"/>
    </row>
    <row r="13" spans="1:285" s="1" customFormat="1" ht="45" customHeight="1" x14ac:dyDescent="0.2">
      <c r="A13" s="1" t="s">
        <v>595</v>
      </c>
      <c r="B13" s="7" t="s">
        <v>596</v>
      </c>
      <c r="C13" s="1">
        <v>2019</v>
      </c>
      <c r="D13" s="2" t="s">
        <v>597</v>
      </c>
      <c r="E13" s="1" t="s">
        <v>146</v>
      </c>
      <c r="F13" s="1" t="s">
        <v>588</v>
      </c>
      <c r="G13" s="1" t="s">
        <v>589</v>
      </c>
      <c r="H13" s="7" t="s">
        <v>590</v>
      </c>
      <c r="I13" s="7" t="s">
        <v>591</v>
      </c>
      <c r="J13" s="1" t="s">
        <v>598</v>
      </c>
      <c r="K13" s="1" t="s">
        <v>599</v>
      </c>
      <c r="L13" s="1" t="s">
        <v>265</v>
      </c>
      <c r="M13" s="1" t="s">
        <v>268</v>
      </c>
      <c r="N13" s="1">
        <f>(5+1)/2</f>
        <v>3</v>
      </c>
      <c r="O13" s="1">
        <v>1</v>
      </c>
      <c r="P13" s="1">
        <v>5</v>
      </c>
      <c r="Q13" s="1">
        <f>300+275.15</f>
        <v>575.15</v>
      </c>
      <c r="R13" s="1">
        <v>1175.1500000000001</v>
      </c>
      <c r="AB13" s="1">
        <v>5.8000000000000003E-2</v>
      </c>
      <c r="AC13" s="1">
        <v>5.8</v>
      </c>
      <c r="AO13" s="40" t="s">
        <v>28</v>
      </c>
      <c r="AP13" s="2" t="s">
        <v>600</v>
      </c>
      <c r="AQ13" s="6">
        <v>-0.91874</v>
      </c>
      <c r="AR13" s="10">
        <v>8.3000000000000004E-2</v>
      </c>
      <c r="AS13" s="2" t="s">
        <v>116</v>
      </c>
      <c r="AT13" s="4">
        <v>-872.47299999999996</v>
      </c>
      <c r="AU13" s="6">
        <v>69.900000000000006</v>
      </c>
      <c r="AV13" s="2" t="s">
        <v>116</v>
      </c>
      <c r="AW13" s="6">
        <v>0.85199999999999998</v>
      </c>
      <c r="AX13" s="6">
        <v>2.8000000000000001E-2</v>
      </c>
      <c r="AY13" s="2" t="s">
        <v>116</v>
      </c>
      <c r="AZ13" s="6">
        <v>7.6076280000000001</v>
      </c>
      <c r="BA13" s="6">
        <v>0.34</v>
      </c>
      <c r="BB13" s="5" t="s">
        <v>116</v>
      </c>
      <c r="BC13" s="8">
        <v>1573</v>
      </c>
      <c r="BD13" s="6">
        <v>67</v>
      </c>
      <c r="BE13" s="5" t="s">
        <v>116</v>
      </c>
      <c r="BF13" s="8">
        <v>-1212</v>
      </c>
      <c r="BG13" s="6">
        <v>36</v>
      </c>
      <c r="BH13" s="5" t="s">
        <v>116</v>
      </c>
      <c r="BI13" s="6">
        <v>537062</v>
      </c>
      <c r="BJ13" s="6">
        <v>87473</v>
      </c>
      <c r="BK13" s="5" t="s">
        <v>116</v>
      </c>
      <c r="BL13" s="9">
        <v>-208122721</v>
      </c>
      <c r="BM13" s="5">
        <v>26033128</v>
      </c>
      <c r="BN13" s="5" t="s">
        <v>116</v>
      </c>
      <c r="BO13" s="6"/>
      <c r="BP13" s="5"/>
      <c r="BQ13" s="5"/>
      <c r="BR13" s="5"/>
      <c r="BS13" s="5"/>
      <c r="BT13" s="5"/>
      <c r="BU13" s="5"/>
      <c r="BV13" s="5"/>
      <c r="BW13" s="5"/>
      <c r="BX13" s="5"/>
      <c r="BY13" s="5"/>
      <c r="BZ13" s="5"/>
      <c r="CA13" s="5"/>
      <c r="CB13" s="5"/>
      <c r="CC13" s="5"/>
      <c r="CD13" s="5"/>
      <c r="CE13" s="5"/>
      <c r="CF13" s="5"/>
      <c r="CG13" s="3"/>
      <c r="CH13" s="3"/>
      <c r="CJ13" s="3"/>
      <c r="CK13" s="3"/>
      <c r="EU13" s="3"/>
      <c r="EX13" s="3"/>
      <c r="FA13" s="3"/>
      <c r="FD13" s="3"/>
      <c r="FS13" s="3"/>
      <c r="GN13" s="3"/>
      <c r="GQ13" s="3"/>
      <c r="GT13" s="3"/>
      <c r="GW13" s="3"/>
      <c r="HL13" s="10"/>
    </row>
    <row r="14" spans="1:285" s="29" customFormat="1" ht="45" customHeight="1" x14ac:dyDescent="0.2">
      <c r="A14" s="29" t="s">
        <v>37</v>
      </c>
      <c r="B14" s="29" t="s">
        <v>38</v>
      </c>
      <c r="C14" s="29">
        <v>1988</v>
      </c>
      <c r="D14" s="30" t="s">
        <v>45</v>
      </c>
      <c r="E14" s="29" t="s">
        <v>31</v>
      </c>
      <c r="F14" s="29" t="s">
        <v>39</v>
      </c>
      <c r="G14" s="29" t="s">
        <v>42</v>
      </c>
      <c r="H14" s="29" t="s">
        <v>334</v>
      </c>
      <c r="I14" s="29" t="s">
        <v>44</v>
      </c>
      <c r="J14" s="29" t="s">
        <v>286</v>
      </c>
      <c r="K14" s="29" t="s">
        <v>483</v>
      </c>
      <c r="L14" s="29" t="s">
        <v>265</v>
      </c>
      <c r="M14" s="29" t="s">
        <v>269</v>
      </c>
      <c r="N14" s="31">
        <v>1E-4</v>
      </c>
      <c r="O14" s="31"/>
      <c r="P14" s="31"/>
      <c r="Q14" s="31">
        <v>1073</v>
      </c>
      <c r="R14" s="31">
        <v>1473</v>
      </c>
      <c r="S14" s="31"/>
      <c r="T14" s="31"/>
      <c r="U14" s="31"/>
      <c r="V14" s="31"/>
      <c r="W14" s="31"/>
      <c r="X14" s="31"/>
      <c r="Y14" s="31"/>
      <c r="Z14" s="31"/>
      <c r="AA14" s="31"/>
      <c r="AB14" s="31"/>
      <c r="AC14" s="31"/>
      <c r="AD14" s="31"/>
      <c r="AE14" s="31"/>
      <c r="AJ14" s="29">
        <v>2.7E-2</v>
      </c>
      <c r="AK14" s="29">
        <v>2.7E-2</v>
      </c>
      <c r="AL14" s="29">
        <v>2.7E-2</v>
      </c>
      <c r="AN14" s="29" t="s">
        <v>46</v>
      </c>
      <c r="AO14" s="30" t="s">
        <v>262</v>
      </c>
      <c r="AP14" s="30"/>
      <c r="AQ14" s="32">
        <v>1.43</v>
      </c>
      <c r="AR14" s="33"/>
      <c r="AS14" s="30" t="s">
        <v>113</v>
      </c>
      <c r="AT14" s="35">
        <v>10850</v>
      </c>
      <c r="AU14" s="32"/>
      <c r="AV14" s="30" t="s">
        <v>115</v>
      </c>
      <c r="AW14" s="34">
        <v>-0.18</v>
      </c>
      <c r="AX14" s="34">
        <v>6.4999999999999997E-3</v>
      </c>
      <c r="AY14" s="30" t="s">
        <v>116</v>
      </c>
      <c r="AZ14" s="32"/>
      <c r="BA14" s="32"/>
      <c r="BB14" s="34"/>
      <c r="BC14" s="36"/>
      <c r="BD14" s="32"/>
      <c r="BE14" s="34"/>
      <c r="BF14" s="36"/>
      <c r="BG14" s="32"/>
      <c r="BH14" s="34"/>
      <c r="BI14" s="32"/>
      <c r="BJ14" s="32"/>
      <c r="BK14" s="34"/>
      <c r="BL14" s="37"/>
      <c r="BM14" s="34"/>
      <c r="BN14" s="34"/>
      <c r="BO14" s="32"/>
      <c r="BP14" s="34"/>
      <c r="BQ14" s="34"/>
      <c r="BR14" s="34"/>
      <c r="BS14" s="34"/>
      <c r="BT14" s="34"/>
      <c r="BU14" s="34"/>
      <c r="BV14" s="34"/>
      <c r="BW14" s="34"/>
      <c r="BX14" s="34"/>
      <c r="BY14" s="34"/>
      <c r="BZ14" s="34"/>
      <c r="CA14" s="34"/>
      <c r="CB14" s="34"/>
      <c r="CC14" s="34"/>
      <c r="CD14" s="34"/>
      <c r="CE14" s="34"/>
      <c r="CF14" s="34"/>
      <c r="CG14" s="31"/>
      <c r="CH14" s="31"/>
      <c r="CJ14" s="31"/>
      <c r="CK14" s="31"/>
      <c r="EU14" s="31"/>
      <c r="EX14" s="31"/>
      <c r="FA14" s="31"/>
      <c r="FD14" s="31"/>
      <c r="FS14" s="31"/>
      <c r="GN14" s="31"/>
      <c r="GQ14" s="31"/>
      <c r="GT14" s="31"/>
      <c r="GW14" s="31"/>
      <c r="HL14" s="33"/>
    </row>
    <row r="15" spans="1:285" s="38" customFormat="1" ht="45" customHeight="1" x14ac:dyDescent="0.2">
      <c r="A15" s="29" t="s">
        <v>37</v>
      </c>
      <c r="B15" s="29" t="s">
        <v>38</v>
      </c>
      <c r="C15" s="29">
        <v>1988</v>
      </c>
      <c r="D15" s="30" t="s">
        <v>45</v>
      </c>
      <c r="E15" s="29" t="s">
        <v>31</v>
      </c>
      <c r="F15" s="29" t="s">
        <v>39</v>
      </c>
      <c r="G15" s="29" t="s">
        <v>42</v>
      </c>
      <c r="H15" s="29" t="s">
        <v>334</v>
      </c>
      <c r="I15" s="29" t="s">
        <v>44</v>
      </c>
      <c r="J15" s="29" t="s">
        <v>286</v>
      </c>
      <c r="K15" s="29" t="s">
        <v>484</v>
      </c>
      <c r="L15" s="29" t="s">
        <v>265</v>
      </c>
      <c r="M15" s="29" t="s">
        <v>269</v>
      </c>
      <c r="N15" s="31">
        <v>1E-4</v>
      </c>
      <c r="O15" s="31"/>
      <c r="P15" s="31"/>
      <c r="Q15" s="31">
        <v>1073</v>
      </c>
      <c r="R15" s="31">
        <v>1473</v>
      </c>
      <c r="S15" s="31"/>
      <c r="T15" s="31"/>
      <c r="U15" s="31"/>
      <c r="V15" s="31"/>
      <c r="W15" s="31"/>
      <c r="X15" s="31"/>
      <c r="Y15" s="31"/>
      <c r="Z15" s="31"/>
      <c r="AA15" s="31"/>
      <c r="AB15" s="31"/>
      <c r="AC15" s="31"/>
      <c r="AD15" s="31"/>
      <c r="AE15" s="31"/>
      <c r="AF15" s="29"/>
      <c r="AG15" s="29"/>
      <c r="AH15" s="29"/>
      <c r="AI15" s="29"/>
      <c r="AJ15" s="29">
        <v>2.7E-2</v>
      </c>
      <c r="AK15" s="29">
        <v>2.7E-2</v>
      </c>
      <c r="AL15" s="29">
        <v>2.7E-2</v>
      </c>
      <c r="AM15" s="29"/>
      <c r="AN15" s="29" t="s">
        <v>46</v>
      </c>
      <c r="AO15" s="30" t="s">
        <v>263</v>
      </c>
      <c r="AP15" s="30"/>
      <c r="AQ15" s="32">
        <v>0.88</v>
      </c>
      <c r="AR15" s="33"/>
      <c r="AS15" s="30" t="s">
        <v>113</v>
      </c>
      <c r="AT15" s="35">
        <v>10170</v>
      </c>
      <c r="AU15" s="32"/>
      <c r="AV15" s="30" t="s">
        <v>115</v>
      </c>
      <c r="AW15" s="34">
        <v>-0.12</v>
      </c>
      <c r="AX15" s="34">
        <v>8.5000000000000006E-3</v>
      </c>
      <c r="AY15" s="30" t="s">
        <v>116</v>
      </c>
      <c r="AZ15" s="32"/>
      <c r="BA15" s="32"/>
      <c r="BB15" s="34"/>
      <c r="BC15" s="36"/>
      <c r="BD15" s="32"/>
      <c r="BE15" s="34"/>
      <c r="BF15" s="36"/>
      <c r="BG15" s="32"/>
      <c r="BH15" s="34"/>
      <c r="BI15" s="32"/>
      <c r="BJ15" s="32"/>
      <c r="BK15" s="34"/>
      <c r="BL15" s="37"/>
      <c r="BM15" s="34"/>
      <c r="BN15" s="34"/>
      <c r="BO15" s="32"/>
      <c r="BP15" s="34"/>
      <c r="BQ15" s="34"/>
      <c r="BR15" s="34"/>
      <c r="BS15" s="34"/>
      <c r="BT15" s="34"/>
      <c r="BU15" s="34"/>
      <c r="BV15" s="34"/>
      <c r="BW15" s="34"/>
      <c r="BX15" s="34"/>
      <c r="BY15" s="34"/>
      <c r="BZ15" s="34"/>
      <c r="CA15" s="34"/>
      <c r="CB15" s="34"/>
      <c r="CC15" s="34"/>
      <c r="CD15" s="34"/>
      <c r="CE15" s="34"/>
      <c r="CF15" s="34"/>
      <c r="CG15" s="31"/>
      <c r="CH15" s="31"/>
      <c r="CI15" s="29"/>
      <c r="CJ15" s="31"/>
      <c r="CK15" s="31"/>
      <c r="CL15" s="29"/>
      <c r="EU15" s="60"/>
      <c r="EX15" s="60"/>
      <c r="FA15" s="60"/>
      <c r="FD15" s="60"/>
      <c r="FS15" s="60"/>
      <c r="GN15" s="60"/>
      <c r="GQ15" s="60"/>
      <c r="GT15" s="60"/>
      <c r="GW15" s="60"/>
      <c r="HL15" s="62"/>
    </row>
    <row r="16" spans="1:285" s="29" customFormat="1" ht="45" customHeight="1" x14ac:dyDescent="0.2">
      <c r="A16" s="29" t="s">
        <v>37</v>
      </c>
      <c r="B16" s="29" t="s">
        <v>38</v>
      </c>
      <c r="C16" s="29">
        <v>1988</v>
      </c>
      <c r="D16" s="30" t="s">
        <v>45</v>
      </c>
      <c r="E16" s="29" t="s">
        <v>31</v>
      </c>
      <c r="F16" s="29" t="s">
        <v>39</v>
      </c>
      <c r="G16" s="29" t="s">
        <v>42</v>
      </c>
      <c r="H16" s="29" t="s">
        <v>334</v>
      </c>
      <c r="I16" s="29" t="s">
        <v>44</v>
      </c>
      <c r="J16" s="29" t="s">
        <v>286</v>
      </c>
      <c r="K16" s="29" t="s">
        <v>485</v>
      </c>
      <c r="L16" s="29" t="s">
        <v>265</v>
      </c>
      <c r="M16" s="29" t="s">
        <v>269</v>
      </c>
      <c r="N16" s="31">
        <v>1E-4</v>
      </c>
      <c r="O16" s="31"/>
      <c r="P16" s="31"/>
      <c r="Q16" s="31">
        <v>1073</v>
      </c>
      <c r="R16" s="31">
        <v>1473</v>
      </c>
      <c r="S16" s="31"/>
      <c r="T16" s="31"/>
      <c r="U16" s="31"/>
      <c r="V16" s="31"/>
      <c r="W16" s="31"/>
      <c r="X16" s="31"/>
      <c r="Y16" s="31"/>
      <c r="Z16" s="31"/>
      <c r="AA16" s="31"/>
      <c r="AB16" s="31"/>
      <c r="AC16" s="31"/>
      <c r="AD16" s="31"/>
      <c r="AE16" s="31"/>
      <c r="AJ16" s="29">
        <v>2.7E-2</v>
      </c>
      <c r="AK16" s="29">
        <v>2.7E-2</v>
      </c>
      <c r="AL16" s="29">
        <v>2.7E-2</v>
      </c>
      <c r="AN16" s="29" t="s">
        <v>46</v>
      </c>
      <c r="AO16" s="30" t="s">
        <v>261</v>
      </c>
      <c r="AP16" s="30"/>
      <c r="AQ16" s="32">
        <v>1.58</v>
      </c>
      <c r="AR16" s="33"/>
      <c r="AS16" s="30" t="s">
        <v>113</v>
      </c>
      <c r="AT16" s="35">
        <v>11080</v>
      </c>
      <c r="AU16" s="32"/>
      <c r="AV16" s="30" t="s">
        <v>115</v>
      </c>
      <c r="AW16" s="34">
        <v>-0.15</v>
      </c>
      <c r="AX16" s="34">
        <v>4.7999999999999996E-3</v>
      </c>
      <c r="AY16" s="30" t="s">
        <v>116</v>
      </c>
      <c r="AZ16" s="32"/>
      <c r="BA16" s="32"/>
      <c r="BB16" s="34"/>
      <c r="BC16" s="36"/>
      <c r="BD16" s="32"/>
      <c r="BE16" s="34"/>
      <c r="BF16" s="36"/>
      <c r="BG16" s="32"/>
      <c r="BH16" s="34"/>
      <c r="BI16" s="32"/>
      <c r="BJ16" s="32"/>
      <c r="BK16" s="34"/>
      <c r="BL16" s="37"/>
      <c r="BM16" s="34"/>
      <c r="BN16" s="34"/>
      <c r="BO16" s="32"/>
      <c r="BP16" s="34"/>
      <c r="BQ16" s="34"/>
      <c r="BR16" s="34"/>
      <c r="BS16" s="34"/>
      <c r="BT16" s="34"/>
      <c r="BU16" s="34"/>
      <c r="BV16" s="34"/>
      <c r="BW16" s="34"/>
      <c r="BX16" s="34"/>
      <c r="BY16" s="34"/>
      <c r="BZ16" s="34"/>
      <c r="CA16" s="34"/>
      <c r="CB16" s="34"/>
      <c r="CC16" s="34"/>
      <c r="CD16" s="34"/>
      <c r="CE16" s="34"/>
      <c r="CF16" s="34"/>
      <c r="CG16" s="31"/>
      <c r="CH16" s="31"/>
      <c r="CJ16" s="31"/>
      <c r="CK16" s="31"/>
      <c r="EU16" s="31"/>
      <c r="EX16" s="31"/>
      <c r="FA16" s="31"/>
      <c r="FD16" s="31"/>
      <c r="FS16" s="31"/>
      <c r="GN16" s="31"/>
      <c r="GQ16" s="31"/>
      <c r="GT16" s="31"/>
      <c r="GW16" s="31"/>
      <c r="HL16" s="33"/>
    </row>
    <row r="17" spans="1:220" s="29" customFormat="1" ht="45" customHeight="1" x14ac:dyDescent="0.2">
      <c r="A17" s="29" t="s">
        <v>37</v>
      </c>
      <c r="B17" s="29" t="s">
        <v>38</v>
      </c>
      <c r="C17" s="29">
        <v>1988</v>
      </c>
      <c r="D17" s="30" t="s">
        <v>45</v>
      </c>
      <c r="E17" s="29" t="s">
        <v>31</v>
      </c>
      <c r="F17" s="29" t="s">
        <v>39</v>
      </c>
      <c r="G17" s="29" t="s">
        <v>42</v>
      </c>
      <c r="H17" s="29" t="s">
        <v>334</v>
      </c>
      <c r="I17" s="29" t="s">
        <v>44</v>
      </c>
      <c r="J17" s="29" t="s">
        <v>286</v>
      </c>
      <c r="K17" s="29" t="s">
        <v>486</v>
      </c>
      <c r="L17" s="29" t="s">
        <v>265</v>
      </c>
      <c r="M17" s="29" t="s">
        <v>269</v>
      </c>
      <c r="N17" s="31">
        <v>1E-4</v>
      </c>
      <c r="O17" s="31"/>
      <c r="P17" s="31"/>
      <c r="Q17" s="31">
        <v>1123</v>
      </c>
      <c r="R17" s="31">
        <v>1493</v>
      </c>
      <c r="S17" s="31"/>
      <c r="T17" s="31"/>
      <c r="U17" s="31"/>
      <c r="V17" s="31"/>
      <c r="W17" s="31"/>
      <c r="X17" s="31"/>
      <c r="Y17" s="31"/>
      <c r="Z17" s="31"/>
      <c r="AA17" s="31"/>
      <c r="AB17" s="31"/>
      <c r="AC17" s="31"/>
      <c r="AD17" s="31"/>
      <c r="AE17" s="31"/>
      <c r="AJ17" s="29">
        <v>0.127</v>
      </c>
      <c r="AK17" s="29">
        <v>0.127</v>
      </c>
      <c r="AL17" s="29">
        <v>0.127</v>
      </c>
      <c r="AN17" s="29" t="s">
        <v>46</v>
      </c>
      <c r="AO17" s="30" t="s">
        <v>262</v>
      </c>
      <c r="AP17" s="30"/>
      <c r="AQ17" s="32">
        <v>-0.89</v>
      </c>
      <c r="AR17" s="33"/>
      <c r="AS17" s="30" t="s">
        <v>113</v>
      </c>
      <c r="AT17" s="35">
        <v>4640</v>
      </c>
      <c r="AU17" s="32"/>
      <c r="AV17" s="30" t="s">
        <v>115</v>
      </c>
      <c r="AW17" s="34">
        <v>-3.2599999999999997E-2</v>
      </c>
      <c r="AX17" s="34">
        <v>3.7000000000000002E-3</v>
      </c>
      <c r="AY17" s="30" t="s">
        <v>116</v>
      </c>
      <c r="AZ17" s="32"/>
      <c r="BA17" s="32"/>
      <c r="BB17" s="34"/>
      <c r="BC17" s="36"/>
      <c r="BD17" s="32"/>
      <c r="BE17" s="34"/>
      <c r="BF17" s="36"/>
      <c r="BG17" s="32"/>
      <c r="BH17" s="34"/>
      <c r="BI17" s="32"/>
      <c r="BJ17" s="32"/>
      <c r="BK17" s="34"/>
      <c r="BL17" s="37"/>
      <c r="BM17" s="34"/>
      <c r="BN17" s="34"/>
      <c r="BO17" s="32"/>
      <c r="BP17" s="34"/>
      <c r="BQ17" s="34"/>
      <c r="BR17" s="34"/>
      <c r="BS17" s="34"/>
      <c r="BT17" s="34"/>
      <c r="BU17" s="34"/>
      <c r="BV17" s="34"/>
      <c r="BW17" s="34"/>
      <c r="BX17" s="34"/>
      <c r="BY17" s="34"/>
      <c r="BZ17" s="34"/>
      <c r="CA17" s="34"/>
      <c r="CB17" s="34"/>
      <c r="CC17" s="34"/>
      <c r="CD17" s="34"/>
      <c r="CE17" s="34"/>
      <c r="CF17" s="34"/>
      <c r="CG17" s="31"/>
      <c r="CH17" s="31"/>
      <c r="CJ17" s="31"/>
      <c r="CK17" s="31"/>
      <c r="EU17" s="31"/>
      <c r="EX17" s="31"/>
      <c r="FA17" s="31"/>
      <c r="FD17" s="31"/>
      <c r="FS17" s="31"/>
      <c r="GN17" s="31"/>
      <c r="GQ17" s="31"/>
      <c r="GT17" s="31"/>
      <c r="GW17" s="31"/>
      <c r="HL17" s="33"/>
    </row>
    <row r="18" spans="1:220" s="29" customFormat="1" ht="45" customHeight="1" x14ac:dyDescent="0.2">
      <c r="A18" s="29" t="s">
        <v>37</v>
      </c>
      <c r="B18" s="29" t="s">
        <v>38</v>
      </c>
      <c r="C18" s="29">
        <v>1988</v>
      </c>
      <c r="D18" s="30" t="s">
        <v>45</v>
      </c>
      <c r="E18" s="29" t="s">
        <v>31</v>
      </c>
      <c r="F18" s="29" t="s">
        <v>39</v>
      </c>
      <c r="G18" s="29" t="s">
        <v>42</v>
      </c>
      <c r="H18" s="29" t="s">
        <v>334</v>
      </c>
      <c r="I18" s="29" t="s">
        <v>44</v>
      </c>
      <c r="J18" s="29" t="s">
        <v>286</v>
      </c>
      <c r="K18" s="29" t="s">
        <v>487</v>
      </c>
      <c r="L18" s="29" t="s">
        <v>265</v>
      </c>
      <c r="M18" s="29" t="s">
        <v>269</v>
      </c>
      <c r="N18" s="31">
        <v>1E-4</v>
      </c>
      <c r="O18" s="31"/>
      <c r="P18" s="31"/>
      <c r="Q18" s="31">
        <v>1123</v>
      </c>
      <c r="R18" s="31">
        <v>1493</v>
      </c>
      <c r="S18" s="31"/>
      <c r="T18" s="31"/>
      <c r="U18" s="31"/>
      <c r="V18" s="31"/>
      <c r="W18" s="31"/>
      <c r="X18" s="31"/>
      <c r="Y18" s="31"/>
      <c r="Z18" s="31"/>
      <c r="AA18" s="31"/>
      <c r="AB18" s="31"/>
      <c r="AC18" s="31"/>
      <c r="AD18" s="31"/>
      <c r="AE18" s="31"/>
      <c r="AJ18" s="29">
        <v>0.127</v>
      </c>
      <c r="AK18" s="29">
        <v>0.127</v>
      </c>
      <c r="AL18" s="29">
        <v>0.127</v>
      </c>
      <c r="AN18" s="29" t="s">
        <v>46</v>
      </c>
      <c r="AO18" s="30" t="s">
        <v>263</v>
      </c>
      <c r="AP18" s="30"/>
      <c r="AQ18" s="32">
        <v>-0.252</v>
      </c>
      <c r="AR18" s="33"/>
      <c r="AS18" s="30" t="s">
        <v>113</v>
      </c>
      <c r="AT18" s="35">
        <v>5270</v>
      </c>
      <c r="AU18" s="32"/>
      <c r="AV18" s="30" t="s">
        <v>115</v>
      </c>
      <c r="AW18" s="34">
        <v>-1.84E-2</v>
      </c>
      <c r="AX18" s="34">
        <v>4.4000000000000003E-3</v>
      </c>
      <c r="AY18" s="30" t="s">
        <v>116</v>
      </c>
      <c r="AZ18" s="32"/>
      <c r="BA18" s="32"/>
      <c r="BB18" s="34"/>
      <c r="BC18" s="36"/>
      <c r="BD18" s="32"/>
      <c r="BE18" s="34"/>
      <c r="BF18" s="36"/>
      <c r="BG18" s="32"/>
      <c r="BH18" s="34"/>
      <c r="BI18" s="32"/>
      <c r="BJ18" s="32"/>
      <c r="BK18" s="34"/>
      <c r="BL18" s="37"/>
      <c r="BM18" s="34"/>
      <c r="BN18" s="34"/>
      <c r="BO18" s="32"/>
      <c r="BP18" s="34"/>
      <c r="BQ18" s="34"/>
      <c r="BR18" s="34"/>
      <c r="BS18" s="34"/>
      <c r="BT18" s="34"/>
      <c r="BU18" s="34"/>
      <c r="BV18" s="34"/>
      <c r="BW18" s="34"/>
      <c r="BX18" s="34"/>
      <c r="BY18" s="34"/>
      <c r="BZ18" s="34"/>
      <c r="CA18" s="34"/>
      <c r="CB18" s="34"/>
      <c r="CC18" s="34"/>
      <c r="CD18" s="34"/>
      <c r="CE18" s="34"/>
      <c r="CF18" s="34"/>
      <c r="CG18" s="31"/>
      <c r="CH18" s="31"/>
      <c r="CJ18" s="31"/>
      <c r="CK18" s="31"/>
      <c r="EU18" s="31"/>
      <c r="EX18" s="31"/>
      <c r="FA18" s="31"/>
      <c r="FD18" s="31"/>
      <c r="FS18" s="31"/>
      <c r="GN18" s="31"/>
      <c r="GQ18" s="31"/>
      <c r="GT18" s="31"/>
      <c r="GW18" s="31"/>
      <c r="HL18" s="33"/>
    </row>
    <row r="19" spans="1:220" s="29" customFormat="1" ht="45" customHeight="1" x14ac:dyDescent="0.2">
      <c r="A19" s="29" t="s">
        <v>346</v>
      </c>
      <c r="B19" s="29" t="s">
        <v>34</v>
      </c>
      <c r="C19" s="29">
        <v>1999</v>
      </c>
      <c r="D19" s="30" t="s">
        <v>13</v>
      </c>
      <c r="E19" s="29" t="s">
        <v>31</v>
      </c>
      <c r="F19" s="29" t="s">
        <v>31</v>
      </c>
      <c r="G19" s="29" t="s">
        <v>49</v>
      </c>
      <c r="H19" s="29" t="s">
        <v>68</v>
      </c>
      <c r="I19" s="29" t="s">
        <v>15</v>
      </c>
      <c r="J19" s="29" t="s">
        <v>285</v>
      </c>
      <c r="K19" s="29" t="s">
        <v>482</v>
      </c>
      <c r="L19" s="29" t="s">
        <v>265</v>
      </c>
      <c r="M19" s="29" t="s">
        <v>268</v>
      </c>
      <c r="N19" s="31">
        <v>13</v>
      </c>
      <c r="O19" s="31"/>
      <c r="P19" s="31"/>
      <c r="Q19" s="31">
        <v>1273</v>
      </c>
      <c r="R19" s="31">
        <v>1673</v>
      </c>
      <c r="S19" s="31"/>
      <c r="T19" s="31"/>
      <c r="U19" s="31"/>
      <c r="V19" s="31"/>
      <c r="W19" s="31"/>
      <c r="X19" s="31"/>
      <c r="Y19" s="31"/>
      <c r="Z19" s="31"/>
      <c r="AA19" s="31"/>
      <c r="AB19" s="31"/>
      <c r="AC19" s="31"/>
      <c r="AD19" s="31"/>
      <c r="AE19" s="31"/>
      <c r="AN19" s="29" t="s">
        <v>105</v>
      </c>
      <c r="AO19" s="30" t="s">
        <v>28</v>
      </c>
      <c r="AP19" s="30"/>
      <c r="AQ19" s="32">
        <v>3.25</v>
      </c>
      <c r="AR19" s="33">
        <v>7.0000000000000007E-2</v>
      </c>
      <c r="AS19" s="30" t="s">
        <v>112</v>
      </c>
      <c r="AT19" s="35">
        <v>1.87</v>
      </c>
      <c r="AU19" s="32">
        <v>0.02</v>
      </c>
      <c r="AV19" s="30" t="s">
        <v>115</v>
      </c>
      <c r="AW19" s="34"/>
      <c r="AX19" s="34"/>
      <c r="AY19" s="30"/>
      <c r="AZ19" s="32"/>
      <c r="BA19" s="32"/>
      <c r="BB19" s="34"/>
      <c r="BC19" s="36"/>
      <c r="BD19" s="32"/>
      <c r="BE19" s="34"/>
      <c r="BF19" s="36"/>
      <c r="BG19" s="32"/>
      <c r="BH19" s="34"/>
      <c r="BI19" s="32"/>
      <c r="BJ19" s="32"/>
      <c r="BK19" s="34"/>
      <c r="BL19" s="37"/>
      <c r="BM19" s="34"/>
      <c r="BN19" s="34"/>
      <c r="BO19" s="32"/>
      <c r="BP19" s="34"/>
      <c r="BQ19" s="34"/>
      <c r="BR19" s="34"/>
      <c r="BS19" s="34"/>
      <c r="BT19" s="34"/>
      <c r="BU19" s="34"/>
      <c r="BV19" s="34"/>
      <c r="BW19" s="34"/>
      <c r="BX19" s="34"/>
      <c r="BY19" s="34"/>
      <c r="BZ19" s="34"/>
      <c r="CA19" s="34"/>
      <c r="CB19" s="34"/>
      <c r="CC19" s="34"/>
      <c r="CD19" s="34"/>
      <c r="CE19" s="34"/>
      <c r="CF19" s="34"/>
      <c r="CG19" s="31"/>
      <c r="CH19" s="31"/>
      <c r="CJ19" s="31"/>
      <c r="CK19" s="31"/>
      <c r="EU19" s="31"/>
      <c r="EX19" s="31"/>
      <c r="FA19" s="31"/>
      <c r="FD19" s="31"/>
      <c r="FS19" s="31"/>
      <c r="GN19" s="31"/>
      <c r="GQ19" s="31"/>
      <c r="GT19" s="31"/>
      <c r="GW19" s="31"/>
      <c r="HL19" s="33"/>
    </row>
    <row r="20" spans="1:220" s="29" customFormat="1" ht="45" customHeight="1" x14ac:dyDescent="0.2">
      <c r="A20" s="29" t="s">
        <v>314</v>
      </c>
      <c r="B20" s="29" t="s">
        <v>315</v>
      </c>
      <c r="C20" s="29">
        <v>2011</v>
      </c>
      <c r="D20" s="30" t="s">
        <v>316</v>
      </c>
      <c r="E20" s="29" t="s">
        <v>31</v>
      </c>
      <c r="F20" s="29" t="s">
        <v>31</v>
      </c>
      <c r="G20" s="29" t="s">
        <v>318</v>
      </c>
      <c r="H20" s="29" t="s">
        <v>68</v>
      </c>
      <c r="I20" s="29" t="s">
        <v>15</v>
      </c>
      <c r="J20" s="29" t="s">
        <v>386</v>
      </c>
      <c r="K20" s="29" t="s">
        <v>430</v>
      </c>
      <c r="L20" s="29" t="s">
        <v>265</v>
      </c>
      <c r="M20" s="29" t="s">
        <v>268</v>
      </c>
      <c r="N20" s="31"/>
      <c r="O20" s="31">
        <v>0.6</v>
      </c>
      <c r="P20" s="31">
        <v>1.2</v>
      </c>
      <c r="Q20" s="31">
        <v>523.15</v>
      </c>
      <c r="R20" s="31">
        <v>1273</v>
      </c>
      <c r="S20" s="31"/>
      <c r="T20" s="31"/>
      <c r="U20" s="31"/>
      <c r="V20" s="31"/>
      <c r="W20" s="31"/>
      <c r="X20" s="31"/>
      <c r="Y20" s="31"/>
      <c r="Z20" s="31"/>
      <c r="AA20" s="31"/>
      <c r="AB20" s="31"/>
      <c r="AC20" s="31"/>
      <c r="AD20" s="31"/>
      <c r="AE20" s="31">
        <v>0</v>
      </c>
      <c r="AF20" s="29">
        <v>0</v>
      </c>
      <c r="AH20" s="29" t="s">
        <v>582</v>
      </c>
      <c r="AI20" s="29" t="s">
        <v>66</v>
      </c>
      <c r="AN20" s="29" t="s">
        <v>54</v>
      </c>
      <c r="AO20" s="30" t="s">
        <v>28</v>
      </c>
      <c r="AP20" s="30"/>
      <c r="AQ20" s="32">
        <v>2.16</v>
      </c>
      <c r="AR20" s="33">
        <v>0.27</v>
      </c>
      <c r="AS20" s="30" t="s">
        <v>112</v>
      </c>
      <c r="AT20" s="35">
        <v>1.0338719999999999</v>
      </c>
      <c r="AU20" s="32">
        <v>5.1799999999999999E-2</v>
      </c>
      <c r="AV20" s="30" t="s">
        <v>115</v>
      </c>
      <c r="AW20" s="34"/>
      <c r="AX20" s="34"/>
      <c r="AY20" s="30"/>
      <c r="AZ20" s="32"/>
      <c r="BA20" s="32"/>
      <c r="BB20" s="34"/>
      <c r="BC20" s="36"/>
      <c r="BD20" s="32"/>
      <c r="BE20" s="34"/>
      <c r="BF20" s="36"/>
      <c r="BG20" s="32"/>
      <c r="BH20" s="34"/>
      <c r="BI20" s="32"/>
      <c r="BJ20" s="32"/>
      <c r="BK20" s="34"/>
      <c r="BL20" s="37"/>
      <c r="BM20" s="34"/>
      <c r="BN20" s="34"/>
      <c r="BO20" s="32"/>
      <c r="BP20" s="34"/>
      <c r="BQ20" s="34"/>
      <c r="BR20" s="34"/>
      <c r="BS20" s="34"/>
      <c r="BT20" s="34"/>
      <c r="BU20" s="34"/>
      <c r="BV20" s="34"/>
      <c r="BW20" s="34"/>
      <c r="BX20" s="34"/>
      <c r="BY20" s="34"/>
      <c r="BZ20" s="34"/>
      <c r="CA20" s="34"/>
      <c r="CB20" s="34"/>
      <c r="CC20" s="34"/>
      <c r="CD20" s="34"/>
      <c r="CE20" s="34"/>
      <c r="CF20" s="34"/>
      <c r="CG20" s="31"/>
      <c r="CH20" s="31"/>
      <c r="CJ20" s="31"/>
      <c r="CK20" s="31"/>
      <c r="EU20" s="31"/>
      <c r="EX20" s="31"/>
      <c r="FA20" s="31"/>
      <c r="FD20" s="31"/>
      <c r="FS20" s="31"/>
      <c r="GN20" s="31"/>
      <c r="GQ20" s="31"/>
      <c r="GT20" s="31"/>
      <c r="GW20" s="31"/>
      <c r="HL20" s="33"/>
    </row>
    <row r="21" spans="1:220" s="29" customFormat="1" ht="45" customHeight="1" x14ac:dyDescent="0.2">
      <c r="A21" s="29" t="s">
        <v>314</v>
      </c>
      <c r="B21" s="29" t="s">
        <v>315</v>
      </c>
      <c r="C21" s="29">
        <v>2011</v>
      </c>
      <c r="D21" s="30" t="s">
        <v>316</v>
      </c>
      <c r="E21" s="29" t="s">
        <v>31</v>
      </c>
      <c r="F21" s="29" t="s">
        <v>31</v>
      </c>
      <c r="G21" s="29" t="s">
        <v>319</v>
      </c>
      <c r="H21" s="29" t="s">
        <v>229</v>
      </c>
      <c r="I21" s="29" t="s">
        <v>228</v>
      </c>
      <c r="J21" s="29" t="s">
        <v>386</v>
      </c>
      <c r="K21" s="29" t="s">
        <v>429</v>
      </c>
      <c r="L21" s="29" t="s">
        <v>320</v>
      </c>
      <c r="M21" s="29" t="s">
        <v>268</v>
      </c>
      <c r="N21" s="31"/>
      <c r="O21" s="31">
        <v>0.6</v>
      </c>
      <c r="P21" s="31">
        <v>1.2</v>
      </c>
      <c r="Q21" s="31">
        <v>523.15</v>
      </c>
      <c r="R21" s="31">
        <v>1273</v>
      </c>
      <c r="S21" s="31"/>
      <c r="T21" s="31"/>
      <c r="U21" s="31"/>
      <c r="V21" s="31"/>
      <c r="W21" s="31"/>
      <c r="X21" s="31"/>
      <c r="Y21" s="31"/>
      <c r="Z21" s="31"/>
      <c r="AA21" s="31"/>
      <c r="AB21" s="31"/>
      <c r="AC21" s="31"/>
      <c r="AD21" s="31"/>
      <c r="AE21" s="31">
        <f>90*0.0001</f>
        <v>9.0000000000000011E-3</v>
      </c>
      <c r="AF21" s="29">
        <f>0.0001*375</f>
        <v>3.7499999999999999E-2</v>
      </c>
      <c r="AH21" s="29" t="s">
        <v>582</v>
      </c>
      <c r="AI21" s="29" t="s">
        <v>66</v>
      </c>
      <c r="AN21" s="29" t="s">
        <v>54</v>
      </c>
      <c r="AO21" s="30" t="s">
        <v>28</v>
      </c>
      <c r="AP21" s="30"/>
      <c r="AQ21" s="32">
        <v>2.16</v>
      </c>
      <c r="AR21" s="33">
        <v>0.27</v>
      </c>
      <c r="AS21" s="30" t="s">
        <v>112</v>
      </c>
      <c r="AT21" s="35">
        <v>1.0338719999999999</v>
      </c>
      <c r="AU21" s="32">
        <v>5.1799999999999999E-2</v>
      </c>
      <c r="AV21" s="30" t="s">
        <v>115</v>
      </c>
      <c r="AW21" s="48">
        <v>3.56</v>
      </c>
      <c r="AX21" s="34">
        <v>7.0000000000000007E-2</v>
      </c>
      <c r="AY21" s="30" t="s">
        <v>112</v>
      </c>
      <c r="AZ21" s="32">
        <v>1.1299999999999999</v>
      </c>
      <c r="BA21" s="32">
        <v>0.05</v>
      </c>
      <c r="BB21" s="34" t="s">
        <v>116</v>
      </c>
      <c r="BC21" s="36">
        <v>0.73555999999999999</v>
      </c>
      <c r="BD21" s="32">
        <v>1.0135999999999999E-2</v>
      </c>
      <c r="BE21" s="34" t="s">
        <v>115</v>
      </c>
      <c r="BF21" s="36"/>
      <c r="BG21" s="32"/>
      <c r="BH21" s="34"/>
      <c r="BI21" s="32"/>
      <c r="BJ21" s="32"/>
      <c r="BK21" s="34"/>
      <c r="BL21" s="37"/>
      <c r="BM21" s="34"/>
      <c r="BN21" s="34"/>
      <c r="BO21" s="32"/>
      <c r="BP21" s="34"/>
      <c r="BQ21" s="34"/>
      <c r="BR21" s="34"/>
      <c r="BS21" s="34"/>
      <c r="BT21" s="34"/>
      <c r="BU21" s="34"/>
      <c r="BV21" s="34"/>
      <c r="BW21" s="34"/>
      <c r="BX21" s="34"/>
      <c r="BY21" s="34"/>
      <c r="BZ21" s="34"/>
      <c r="CA21" s="34"/>
      <c r="CB21" s="34"/>
      <c r="CC21" s="34"/>
      <c r="CD21" s="34"/>
      <c r="CE21" s="34"/>
      <c r="CF21" s="34"/>
      <c r="CG21" s="31"/>
      <c r="CH21" s="31"/>
      <c r="CJ21" s="31"/>
      <c r="CK21" s="31"/>
      <c r="EU21" s="31"/>
      <c r="EX21" s="31"/>
      <c r="FA21" s="31"/>
      <c r="FD21" s="31"/>
      <c r="FS21" s="31"/>
      <c r="GN21" s="31"/>
      <c r="GQ21" s="31"/>
      <c r="GT21" s="31"/>
      <c r="GW21" s="31"/>
      <c r="HL21" s="33"/>
    </row>
    <row r="22" spans="1:220" s="29" customFormat="1" ht="45" customHeight="1" x14ac:dyDescent="0.2">
      <c r="A22" s="29" t="s">
        <v>314</v>
      </c>
      <c r="B22" s="29" t="s">
        <v>315</v>
      </c>
      <c r="C22" s="29">
        <v>2011</v>
      </c>
      <c r="D22" s="30" t="s">
        <v>316</v>
      </c>
      <c r="E22" s="29" t="s">
        <v>31</v>
      </c>
      <c r="F22" s="29" t="s">
        <v>31</v>
      </c>
      <c r="G22" s="29" t="s">
        <v>62</v>
      </c>
      <c r="H22" s="29" t="s">
        <v>229</v>
      </c>
      <c r="I22" s="29" t="s">
        <v>228</v>
      </c>
      <c r="J22" s="29" t="s">
        <v>386</v>
      </c>
      <c r="K22" s="29" t="s">
        <v>428</v>
      </c>
      <c r="L22" s="29" t="s">
        <v>320</v>
      </c>
      <c r="M22" s="29" t="s">
        <v>268</v>
      </c>
      <c r="N22" s="31"/>
      <c r="O22" s="31">
        <v>0.6</v>
      </c>
      <c r="P22" s="31">
        <v>1.2</v>
      </c>
      <c r="Q22" s="31">
        <v>523.15</v>
      </c>
      <c r="R22" s="31">
        <v>1273</v>
      </c>
      <c r="S22" s="31"/>
      <c r="T22" s="31"/>
      <c r="U22" s="31"/>
      <c r="V22" s="31"/>
      <c r="W22" s="31"/>
      <c r="X22" s="31"/>
      <c r="Y22" s="31"/>
      <c r="Z22" s="31"/>
      <c r="AA22" s="31"/>
      <c r="AB22" s="31"/>
      <c r="AC22" s="31"/>
      <c r="AD22" s="31"/>
      <c r="AE22" s="31">
        <f>0.0001*340</f>
        <v>3.4000000000000002E-2</v>
      </c>
      <c r="AF22" s="29">
        <f>0.0001*340</f>
        <v>3.4000000000000002E-2</v>
      </c>
      <c r="AH22" s="29" t="s">
        <v>582</v>
      </c>
      <c r="AI22" s="29" t="s">
        <v>66</v>
      </c>
      <c r="AN22" s="29" t="s">
        <v>54</v>
      </c>
      <c r="AO22" s="30" t="s">
        <v>28</v>
      </c>
      <c r="AP22" s="30"/>
      <c r="AQ22" s="32">
        <v>2.16</v>
      </c>
      <c r="AR22" s="33">
        <v>0.27</v>
      </c>
      <c r="AS22" s="30" t="s">
        <v>112</v>
      </c>
      <c r="AT22" s="35">
        <v>1.0338719999999999</v>
      </c>
      <c r="AU22" s="32">
        <v>5.1799999999999999E-2</v>
      </c>
      <c r="AV22" s="30" t="s">
        <v>115</v>
      </c>
      <c r="AW22" s="34">
        <v>3.74</v>
      </c>
      <c r="AX22" s="34">
        <v>0.21</v>
      </c>
      <c r="AY22" s="30" t="s">
        <v>112</v>
      </c>
      <c r="AZ22" s="32">
        <v>1.1299999999999999</v>
      </c>
      <c r="BA22" s="32"/>
      <c r="BB22" s="34" t="s">
        <v>116</v>
      </c>
      <c r="BC22" s="36">
        <v>0.75006399999999995</v>
      </c>
      <c r="BD22" s="32">
        <v>2.0271999999999998E-2</v>
      </c>
      <c r="BE22" s="34" t="s">
        <v>115</v>
      </c>
      <c r="BF22" s="36"/>
      <c r="BG22" s="32"/>
      <c r="BH22" s="34"/>
      <c r="BI22" s="32"/>
      <c r="BJ22" s="32"/>
      <c r="BK22" s="34"/>
      <c r="BL22" s="37"/>
      <c r="BM22" s="34"/>
      <c r="BN22" s="34"/>
      <c r="BO22" s="32"/>
      <c r="BP22" s="34"/>
      <c r="BQ22" s="34"/>
      <c r="BR22" s="34"/>
      <c r="BS22" s="34"/>
      <c r="BT22" s="34"/>
      <c r="BU22" s="34"/>
      <c r="BV22" s="34"/>
      <c r="BW22" s="34"/>
      <c r="BX22" s="34"/>
      <c r="BY22" s="34"/>
      <c r="BZ22" s="34"/>
      <c r="CA22" s="34"/>
      <c r="CB22" s="34"/>
      <c r="CC22" s="34"/>
      <c r="CD22" s="34"/>
      <c r="CE22" s="34"/>
      <c r="CF22" s="34"/>
      <c r="CG22" s="31"/>
      <c r="CH22" s="31"/>
      <c r="CJ22" s="31"/>
      <c r="CK22" s="31"/>
      <c r="EU22" s="31"/>
      <c r="EX22" s="31"/>
      <c r="FA22" s="31"/>
      <c r="FD22" s="31"/>
      <c r="FS22" s="31"/>
      <c r="GN22" s="31"/>
      <c r="GQ22" s="31"/>
      <c r="GT22" s="31"/>
      <c r="GW22" s="31"/>
      <c r="HL22" s="33"/>
    </row>
    <row r="23" spans="1:220" s="29" customFormat="1" ht="45" customHeight="1" x14ac:dyDescent="0.2">
      <c r="A23" s="29" t="s">
        <v>73</v>
      </c>
      <c r="B23" s="29" t="s">
        <v>74</v>
      </c>
      <c r="C23" s="29">
        <v>2012</v>
      </c>
      <c r="D23" s="30" t="s">
        <v>75</v>
      </c>
      <c r="E23" s="29" t="s">
        <v>31</v>
      </c>
      <c r="F23" s="29" t="s">
        <v>76</v>
      </c>
      <c r="G23" s="29" t="s">
        <v>77</v>
      </c>
      <c r="H23" s="29" t="s">
        <v>68</v>
      </c>
      <c r="I23" s="29" t="s">
        <v>15</v>
      </c>
      <c r="J23" s="29" t="s">
        <v>288</v>
      </c>
      <c r="K23" s="29" t="s">
        <v>517</v>
      </c>
      <c r="L23" s="29" t="s">
        <v>265</v>
      </c>
      <c r="M23" s="29" t="s">
        <v>268</v>
      </c>
      <c r="N23" s="31">
        <v>1.2</v>
      </c>
      <c r="O23" s="31"/>
      <c r="P23" s="31"/>
      <c r="Q23" s="31">
        <v>723</v>
      </c>
      <c r="R23" s="31">
        <v>1273</v>
      </c>
      <c r="S23" s="31"/>
      <c r="T23" s="31"/>
      <c r="U23" s="31"/>
      <c r="V23" s="31"/>
      <c r="W23" s="31"/>
      <c r="X23" s="31"/>
      <c r="Y23" s="31"/>
      <c r="Z23" s="31"/>
      <c r="AA23" s="31"/>
      <c r="AB23" s="31"/>
      <c r="AC23" s="31"/>
      <c r="AD23" s="31"/>
      <c r="AE23" s="31">
        <v>0</v>
      </c>
      <c r="AF23" s="29">
        <v>0</v>
      </c>
      <c r="AG23" s="29">
        <v>0</v>
      </c>
      <c r="AH23" s="29" t="s">
        <v>584</v>
      </c>
      <c r="AI23" s="29" t="s">
        <v>55</v>
      </c>
      <c r="AO23" s="30" t="s">
        <v>28</v>
      </c>
      <c r="AP23" s="30"/>
      <c r="AQ23" s="32">
        <f>(1.88+2.02)/2</f>
        <v>1.95</v>
      </c>
      <c r="AR23" s="33">
        <f xml:space="preserve"> 0.115</f>
        <v>0.115</v>
      </c>
      <c r="AS23" s="30" t="s">
        <v>112</v>
      </c>
      <c r="AT23" s="35">
        <v>0.91720000000000002</v>
      </c>
      <c r="AU23" s="32">
        <v>1.0359999999999999E-2</v>
      </c>
      <c r="AV23" s="30" t="s">
        <v>115</v>
      </c>
      <c r="AW23" s="34"/>
      <c r="AX23" s="34"/>
      <c r="AY23" s="30"/>
      <c r="AZ23" s="32"/>
      <c r="BA23" s="32"/>
      <c r="BB23" s="34"/>
      <c r="BC23" s="36"/>
      <c r="BD23" s="32"/>
      <c r="BE23" s="34"/>
      <c r="BF23" s="36"/>
      <c r="BG23" s="32"/>
      <c r="BH23" s="34"/>
      <c r="BI23" s="32"/>
      <c r="BJ23" s="32"/>
      <c r="BK23" s="34"/>
      <c r="BL23" s="37"/>
      <c r="BM23" s="34"/>
      <c r="BN23" s="34"/>
      <c r="BO23" s="32"/>
      <c r="BP23" s="34"/>
      <c r="BQ23" s="34"/>
      <c r="BR23" s="34"/>
      <c r="BS23" s="34"/>
      <c r="BT23" s="34"/>
      <c r="BU23" s="34"/>
      <c r="BV23" s="34"/>
      <c r="BW23" s="34"/>
      <c r="BX23" s="34"/>
      <c r="BY23" s="34"/>
      <c r="BZ23" s="34"/>
      <c r="CA23" s="34"/>
      <c r="CB23" s="34"/>
      <c r="CC23" s="34"/>
      <c r="CD23" s="34"/>
      <c r="CE23" s="34"/>
      <c r="CF23" s="34"/>
      <c r="CG23" s="31"/>
      <c r="CH23" s="31"/>
      <c r="CJ23" s="31"/>
      <c r="CK23" s="31"/>
      <c r="EU23" s="31"/>
      <c r="EX23" s="31"/>
      <c r="FA23" s="31"/>
      <c r="FD23" s="31"/>
      <c r="FS23" s="31"/>
      <c r="GN23" s="31"/>
      <c r="GQ23" s="31"/>
      <c r="GT23" s="31"/>
      <c r="GW23" s="31"/>
      <c r="HL23" s="33"/>
    </row>
    <row r="24" spans="1:220" s="29" customFormat="1" ht="45" customHeight="1" x14ac:dyDescent="0.2">
      <c r="A24" s="29" t="s">
        <v>73</v>
      </c>
      <c r="B24" s="29" t="s">
        <v>74</v>
      </c>
      <c r="C24" s="29">
        <v>2012</v>
      </c>
      <c r="D24" s="30" t="s">
        <v>75</v>
      </c>
      <c r="E24" s="29" t="s">
        <v>31</v>
      </c>
      <c r="F24" s="29" t="s">
        <v>76</v>
      </c>
      <c r="G24" s="29" t="s">
        <v>80</v>
      </c>
      <c r="H24" s="29" t="s">
        <v>79</v>
      </c>
      <c r="I24" s="29" t="s">
        <v>78</v>
      </c>
      <c r="J24" s="29" t="s">
        <v>288</v>
      </c>
      <c r="K24" s="29" t="s">
        <v>493</v>
      </c>
      <c r="L24" s="29" t="s">
        <v>265</v>
      </c>
      <c r="M24" s="29" t="s">
        <v>268</v>
      </c>
      <c r="N24" s="31">
        <v>1.2</v>
      </c>
      <c r="O24" s="31"/>
      <c r="P24" s="31"/>
      <c r="Q24" s="31">
        <v>323</v>
      </c>
      <c r="R24" s="31">
        <v>1373</v>
      </c>
      <c r="S24" s="31"/>
      <c r="T24" s="31"/>
      <c r="U24" s="31"/>
      <c r="V24" s="31"/>
      <c r="W24" s="31"/>
      <c r="X24" s="31"/>
      <c r="Y24" s="31"/>
      <c r="Z24" s="31"/>
      <c r="AA24" s="31"/>
      <c r="AB24" s="31"/>
      <c r="AC24" s="31"/>
      <c r="AD24" s="31"/>
      <c r="AE24" s="31">
        <f>75*0.0001</f>
        <v>7.5000000000000006E-3</v>
      </c>
      <c r="AF24" s="29">
        <f>270*0.0001</f>
        <v>2.7E-2</v>
      </c>
      <c r="AH24" s="29" t="s">
        <v>584</v>
      </c>
      <c r="AI24" s="29" t="s">
        <v>66</v>
      </c>
      <c r="AO24" s="30" t="s">
        <v>28</v>
      </c>
      <c r="AP24" s="30" t="s">
        <v>394</v>
      </c>
      <c r="AQ24" s="32">
        <f>3.67</f>
        <v>3.67</v>
      </c>
      <c r="AR24" s="33">
        <v>0.13500000000000001</v>
      </c>
      <c r="AS24" s="30" t="s">
        <v>112</v>
      </c>
      <c r="AT24" s="35">
        <v>0.97</v>
      </c>
      <c r="AU24" s="32">
        <v>0.06</v>
      </c>
      <c r="AV24" s="30" t="s">
        <v>114</v>
      </c>
      <c r="AW24" s="34">
        <v>0.74619999999999997</v>
      </c>
      <c r="AX24" s="34">
        <v>1.55E-2</v>
      </c>
      <c r="AY24" s="30" t="s">
        <v>115</v>
      </c>
      <c r="AZ24" s="32"/>
      <c r="BA24" s="32"/>
      <c r="BB24" s="34"/>
      <c r="BC24" s="36"/>
      <c r="BD24" s="32"/>
      <c r="BE24" s="34"/>
      <c r="BF24" s="36"/>
      <c r="BG24" s="32"/>
      <c r="BH24" s="34"/>
      <c r="BI24" s="32"/>
      <c r="BJ24" s="32"/>
      <c r="BK24" s="34"/>
      <c r="BL24" s="37"/>
      <c r="BM24" s="34"/>
      <c r="BN24" s="34"/>
      <c r="BO24" s="32"/>
      <c r="BP24" s="34"/>
      <c r="BQ24" s="34"/>
      <c r="BR24" s="34"/>
      <c r="BS24" s="34"/>
      <c r="BT24" s="34"/>
      <c r="BU24" s="34"/>
      <c r="BV24" s="34"/>
      <c r="BW24" s="34"/>
      <c r="BX24" s="34"/>
      <c r="BY24" s="34"/>
      <c r="BZ24" s="34"/>
      <c r="CA24" s="34"/>
      <c r="CB24" s="34"/>
      <c r="CC24" s="34"/>
      <c r="CD24" s="34"/>
      <c r="CE24" s="34"/>
      <c r="CF24" s="34"/>
      <c r="CG24" s="31"/>
      <c r="CH24" s="31"/>
      <c r="CJ24" s="31"/>
      <c r="CK24" s="31"/>
      <c r="EU24" s="31"/>
      <c r="EX24" s="31"/>
      <c r="FA24" s="31"/>
      <c r="FD24" s="31"/>
      <c r="FS24" s="31"/>
      <c r="GN24" s="31"/>
      <c r="GQ24" s="31"/>
      <c r="GT24" s="31"/>
      <c r="GW24" s="31"/>
      <c r="HL24" s="33"/>
    </row>
    <row r="25" spans="1:220" s="39" customFormat="1" ht="45" customHeight="1" x14ac:dyDescent="0.2">
      <c r="A25" s="29" t="s">
        <v>311</v>
      </c>
      <c r="B25" s="29" t="s">
        <v>312</v>
      </c>
      <c r="C25" s="29">
        <v>2012</v>
      </c>
      <c r="D25" s="29" t="s">
        <v>313</v>
      </c>
      <c r="E25" s="29" t="s">
        <v>31</v>
      </c>
      <c r="F25" s="29" t="s">
        <v>31</v>
      </c>
      <c r="G25" s="29" t="s">
        <v>62</v>
      </c>
      <c r="H25" s="29" t="s">
        <v>68</v>
      </c>
      <c r="I25" s="29" t="s">
        <v>15</v>
      </c>
      <c r="J25" s="49" t="s">
        <v>387</v>
      </c>
      <c r="K25" s="29" t="s">
        <v>321</v>
      </c>
      <c r="L25" s="29" t="s">
        <v>265</v>
      </c>
      <c r="M25" s="29" t="s">
        <v>269</v>
      </c>
      <c r="N25" s="31">
        <v>0.1</v>
      </c>
      <c r="O25" s="31"/>
      <c r="P25" s="31"/>
      <c r="Q25" s="31">
        <v>473.15</v>
      </c>
      <c r="R25" s="31">
        <v>1073.1500000000001</v>
      </c>
      <c r="S25" s="31"/>
      <c r="T25" s="31"/>
      <c r="U25" s="31"/>
      <c r="V25" s="31"/>
      <c r="W25" s="31"/>
      <c r="X25" s="31"/>
      <c r="Y25" s="31"/>
      <c r="Z25" s="31"/>
      <c r="AA25" s="31"/>
      <c r="AB25" s="31"/>
      <c r="AC25" s="31"/>
      <c r="AD25" s="31"/>
      <c r="AE25" s="31">
        <v>655</v>
      </c>
      <c r="AF25" s="29">
        <v>690</v>
      </c>
      <c r="AG25" s="29"/>
      <c r="AH25" s="29" t="s">
        <v>582</v>
      </c>
      <c r="AI25" s="29" t="s">
        <v>55</v>
      </c>
      <c r="AJ25" s="29"/>
      <c r="AK25" s="29"/>
      <c r="AL25" s="29"/>
      <c r="AM25" s="29"/>
      <c r="AN25" s="29" t="s">
        <v>54</v>
      </c>
      <c r="AO25" s="30" t="s">
        <v>262</v>
      </c>
      <c r="AP25" s="30" t="s">
        <v>395</v>
      </c>
      <c r="AQ25" s="32">
        <v>0.85</v>
      </c>
      <c r="AR25" s="33">
        <v>7.0000000000000007E-2</v>
      </c>
      <c r="AS25" s="30" t="s">
        <v>112</v>
      </c>
      <c r="AT25" s="35">
        <f>65*0.00008617333262 / 0.00831446261815324</f>
        <v>0.67367752764569178</v>
      </c>
      <c r="AU25" s="32">
        <v>1.0359999999999999E-2</v>
      </c>
      <c r="AV25" s="30" t="s">
        <v>115</v>
      </c>
      <c r="AW25" s="34"/>
      <c r="AX25" s="34"/>
      <c r="AY25" s="30"/>
      <c r="AZ25" s="32"/>
      <c r="BA25" s="32"/>
      <c r="BB25" s="34"/>
      <c r="BC25" s="36"/>
      <c r="BD25" s="32"/>
      <c r="BE25" s="34"/>
      <c r="BF25" s="36"/>
      <c r="BG25" s="32"/>
      <c r="BH25" s="34"/>
      <c r="BI25" s="32"/>
      <c r="BJ25" s="32"/>
      <c r="BK25" s="34"/>
      <c r="BL25" s="37"/>
      <c r="BM25" s="34"/>
      <c r="BN25" s="34"/>
      <c r="BO25" s="32"/>
      <c r="BP25" s="34"/>
      <c r="BQ25" s="34"/>
      <c r="BR25" s="34"/>
      <c r="BS25" s="34"/>
      <c r="BT25" s="34"/>
      <c r="BU25" s="34"/>
      <c r="BV25" s="34"/>
      <c r="BW25" s="34"/>
      <c r="BX25" s="34"/>
      <c r="BY25" s="34"/>
      <c r="BZ25" s="34"/>
      <c r="CA25" s="34"/>
      <c r="CB25" s="34"/>
      <c r="CC25" s="34"/>
      <c r="CD25" s="34"/>
      <c r="CE25" s="34"/>
      <c r="CF25" s="34"/>
      <c r="CG25" s="31"/>
      <c r="CH25" s="31"/>
      <c r="CI25" s="29"/>
      <c r="CJ25" s="31"/>
      <c r="CK25" s="31"/>
      <c r="CL25" s="29"/>
      <c r="EU25" s="41"/>
      <c r="EX25" s="41"/>
      <c r="FA25" s="41"/>
      <c r="FD25" s="41"/>
      <c r="FS25" s="41"/>
      <c r="GN25" s="41"/>
      <c r="GQ25" s="41"/>
      <c r="GT25" s="41"/>
      <c r="GW25" s="41"/>
      <c r="HL25" s="43"/>
    </row>
    <row r="26" spans="1:220" s="39" customFormat="1" ht="45" customHeight="1" x14ac:dyDescent="0.2">
      <c r="A26" s="29" t="s">
        <v>311</v>
      </c>
      <c r="B26" s="29" t="s">
        <v>312</v>
      </c>
      <c r="C26" s="29">
        <v>2012</v>
      </c>
      <c r="D26" s="29" t="s">
        <v>313</v>
      </c>
      <c r="E26" s="29" t="s">
        <v>31</v>
      </c>
      <c r="F26" s="29" t="s">
        <v>31</v>
      </c>
      <c r="G26" s="29" t="s">
        <v>62</v>
      </c>
      <c r="H26" s="29" t="s">
        <v>68</v>
      </c>
      <c r="I26" s="29" t="s">
        <v>15</v>
      </c>
      <c r="J26" s="49" t="s">
        <v>387</v>
      </c>
      <c r="K26" s="29" t="s">
        <v>322</v>
      </c>
      <c r="L26" s="29" t="s">
        <v>265</v>
      </c>
      <c r="M26" s="29" t="s">
        <v>269</v>
      </c>
      <c r="N26" s="31">
        <v>0.1</v>
      </c>
      <c r="O26" s="31"/>
      <c r="P26" s="31"/>
      <c r="Q26" s="31">
        <v>473.15</v>
      </c>
      <c r="R26" s="31">
        <v>1073.1500000000001</v>
      </c>
      <c r="S26" s="31"/>
      <c r="T26" s="31"/>
      <c r="U26" s="31"/>
      <c r="V26" s="31"/>
      <c r="W26" s="31"/>
      <c r="X26" s="31"/>
      <c r="Y26" s="31"/>
      <c r="Z26" s="31"/>
      <c r="AA26" s="31"/>
      <c r="AB26" s="31"/>
      <c r="AC26" s="31"/>
      <c r="AD26" s="31"/>
      <c r="AE26" s="31">
        <v>655</v>
      </c>
      <c r="AF26" s="29">
        <v>690</v>
      </c>
      <c r="AG26" s="29"/>
      <c r="AH26" s="29" t="s">
        <v>582</v>
      </c>
      <c r="AI26" s="29" t="s">
        <v>55</v>
      </c>
      <c r="AJ26" s="29"/>
      <c r="AK26" s="29"/>
      <c r="AL26" s="29"/>
      <c r="AM26" s="29"/>
      <c r="AN26" s="29" t="s">
        <v>54</v>
      </c>
      <c r="AO26" s="30" t="s">
        <v>263</v>
      </c>
      <c r="AP26" s="30" t="s">
        <v>395</v>
      </c>
      <c r="AQ26" s="32">
        <v>0.75</v>
      </c>
      <c r="AR26" s="33">
        <v>7.0000000000000007E-2</v>
      </c>
      <c r="AS26" s="30" t="s">
        <v>112</v>
      </c>
      <c r="AT26" s="35">
        <f>63*0.00008617333262 / 0.00831446261815324</f>
        <v>0.65294898833351656</v>
      </c>
      <c r="AU26" s="32">
        <v>1.0359999999999999E-2</v>
      </c>
      <c r="AV26" s="30" t="s">
        <v>115</v>
      </c>
      <c r="AW26" s="34"/>
      <c r="AX26" s="34"/>
      <c r="AY26" s="30"/>
      <c r="AZ26" s="32"/>
      <c r="BA26" s="32"/>
      <c r="BB26" s="34"/>
      <c r="BC26" s="36"/>
      <c r="BD26" s="32"/>
      <c r="BE26" s="34"/>
      <c r="BF26" s="36"/>
      <c r="BG26" s="32"/>
      <c r="BH26" s="34"/>
      <c r="BI26" s="32"/>
      <c r="BJ26" s="32"/>
      <c r="BK26" s="34"/>
      <c r="BL26" s="37"/>
      <c r="BM26" s="34"/>
      <c r="BN26" s="34"/>
      <c r="BO26" s="32"/>
      <c r="BP26" s="34"/>
      <c r="BQ26" s="34"/>
      <c r="BR26" s="34"/>
      <c r="BS26" s="34"/>
      <c r="BT26" s="34"/>
      <c r="BU26" s="34"/>
      <c r="BV26" s="34"/>
      <c r="BW26" s="34"/>
      <c r="BX26" s="34"/>
      <c r="BY26" s="34"/>
      <c r="BZ26" s="34"/>
      <c r="CA26" s="34"/>
      <c r="CB26" s="34"/>
      <c r="CC26" s="34"/>
      <c r="CD26" s="34"/>
      <c r="CE26" s="34"/>
      <c r="CF26" s="34"/>
      <c r="CG26" s="31"/>
      <c r="CH26" s="31"/>
      <c r="CI26" s="29"/>
      <c r="CJ26" s="31"/>
      <c r="CK26" s="31"/>
      <c r="CL26" s="29"/>
      <c r="EU26" s="41"/>
      <c r="EX26" s="41"/>
      <c r="FA26" s="41"/>
      <c r="FD26" s="41"/>
      <c r="FS26" s="41"/>
      <c r="GN26" s="41"/>
      <c r="GQ26" s="41"/>
      <c r="GT26" s="41"/>
      <c r="GW26" s="41"/>
      <c r="HL26" s="43"/>
    </row>
    <row r="27" spans="1:220" s="39" customFormat="1" ht="45" customHeight="1" x14ac:dyDescent="0.2">
      <c r="A27" s="29" t="s">
        <v>311</v>
      </c>
      <c r="B27" s="29" t="s">
        <v>312</v>
      </c>
      <c r="C27" s="29">
        <v>2012</v>
      </c>
      <c r="D27" s="29" t="s">
        <v>313</v>
      </c>
      <c r="E27" s="29" t="s">
        <v>31</v>
      </c>
      <c r="F27" s="29" t="s">
        <v>31</v>
      </c>
      <c r="G27" s="29" t="s">
        <v>62</v>
      </c>
      <c r="H27" s="29" t="s">
        <v>68</v>
      </c>
      <c r="I27" s="29" t="s">
        <v>15</v>
      </c>
      <c r="J27" s="49" t="s">
        <v>387</v>
      </c>
      <c r="K27" s="29" t="s">
        <v>323</v>
      </c>
      <c r="L27" s="29" t="s">
        <v>265</v>
      </c>
      <c r="M27" s="29" t="s">
        <v>269</v>
      </c>
      <c r="N27" s="31">
        <v>0.1</v>
      </c>
      <c r="O27" s="31"/>
      <c r="P27" s="31"/>
      <c r="Q27" s="31">
        <v>473.15</v>
      </c>
      <c r="R27" s="31">
        <v>1073.1500000000001</v>
      </c>
      <c r="S27" s="31"/>
      <c r="T27" s="31"/>
      <c r="U27" s="31"/>
      <c r="V27" s="31"/>
      <c r="W27" s="31"/>
      <c r="X27" s="31"/>
      <c r="Y27" s="31"/>
      <c r="Z27" s="31"/>
      <c r="AA27" s="31"/>
      <c r="AB27" s="31"/>
      <c r="AC27" s="31"/>
      <c r="AD27" s="31"/>
      <c r="AE27" s="31">
        <v>655</v>
      </c>
      <c r="AF27" s="29">
        <v>690</v>
      </c>
      <c r="AG27" s="29"/>
      <c r="AH27" s="29" t="s">
        <v>582</v>
      </c>
      <c r="AI27" s="29" t="s">
        <v>55</v>
      </c>
      <c r="AJ27" s="29"/>
      <c r="AK27" s="29"/>
      <c r="AL27" s="29"/>
      <c r="AM27" s="29"/>
      <c r="AN27" s="29" t="s">
        <v>54</v>
      </c>
      <c r="AO27" s="30" t="s">
        <v>261</v>
      </c>
      <c r="AP27" s="30" t="s">
        <v>395</v>
      </c>
      <c r="AQ27" s="32">
        <v>0.72</v>
      </c>
      <c r="AR27" s="33">
        <v>0.08</v>
      </c>
      <c r="AS27" s="30" t="s">
        <v>112</v>
      </c>
      <c r="AT27" s="35">
        <f>62*0.00008617333262 / 0.00831446261815324</f>
        <v>0.64258471867742906</v>
      </c>
      <c r="AU27" s="32">
        <v>1.0359999999999999E-2</v>
      </c>
      <c r="AV27" s="30" t="s">
        <v>115</v>
      </c>
      <c r="AW27" s="34"/>
      <c r="AX27" s="34"/>
      <c r="AY27" s="30"/>
      <c r="AZ27" s="32"/>
      <c r="BA27" s="32"/>
      <c r="BB27" s="34"/>
      <c r="BC27" s="36"/>
      <c r="BD27" s="32"/>
      <c r="BE27" s="34"/>
      <c r="BF27" s="36"/>
      <c r="BG27" s="32"/>
      <c r="BH27" s="34"/>
      <c r="BI27" s="32"/>
      <c r="BJ27" s="32"/>
      <c r="BK27" s="34"/>
      <c r="BL27" s="37"/>
      <c r="BM27" s="34"/>
      <c r="BN27" s="34"/>
      <c r="BO27" s="32"/>
      <c r="BP27" s="34"/>
      <c r="BQ27" s="34"/>
      <c r="BR27" s="34"/>
      <c r="BS27" s="34"/>
      <c r="BT27" s="34"/>
      <c r="BU27" s="34"/>
      <c r="BV27" s="34"/>
      <c r="BW27" s="34"/>
      <c r="BX27" s="34"/>
      <c r="BY27" s="34"/>
      <c r="BZ27" s="34"/>
      <c r="CA27" s="34"/>
      <c r="CB27" s="34"/>
      <c r="CC27" s="34"/>
      <c r="CD27" s="34"/>
      <c r="CE27" s="34"/>
      <c r="CF27" s="34"/>
      <c r="CG27" s="31"/>
      <c r="CH27" s="31"/>
      <c r="CI27" s="29"/>
      <c r="CJ27" s="31"/>
      <c r="CK27" s="31"/>
      <c r="CL27" s="29"/>
      <c r="EU27" s="41"/>
      <c r="EX27" s="41"/>
      <c r="FA27" s="41"/>
      <c r="FD27" s="41"/>
      <c r="FS27" s="41"/>
      <c r="GN27" s="41"/>
      <c r="GQ27" s="41"/>
      <c r="GT27" s="41"/>
      <c r="GW27" s="41"/>
      <c r="HL27" s="43"/>
    </row>
    <row r="28" spans="1:220" s="39" customFormat="1" ht="45" customHeight="1" x14ac:dyDescent="0.2">
      <c r="A28" s="20" t="s">
        <v>547</v>
      </c>
      <c r="B28" s="20" t="s">
        <v>548</v>
      </c>
      <c r="C28" s="20">
        <v>1983</v>
      </c>
      <c r="D28" s="21" t="s">
        <v>549</v>
      </c>
      <c r="E28" s="20" t="s">
        <v>554</v>
      </c>
      <c r="F28" s="20" t="s">
        <v>550</v>
      </c>
      <c r="G28" s="20" t="s">
        <v>191</v>
      </c>
      <c r="H28" s="20" t="s">
        <v>551</v>
      </c>
      <c r="I28" s="70" t="s">
        <v>15</v>
      </c>
      <c r="J28" s="20" t="s">
        <v>552</v>
      </c>
      <c r="K28" s="20" t="s">
        <v>556</v>
      </c>
      <c r="L28" s="20" t="s">
        <v>265</v>
      </c>
      <c r="M28" s="20" t="s">
        <v>268</v>
      </c>
      <c r="N28" s="20">
        <v>1E-4</v>
      </c>
      <c r="O28" s="20">
        <v>1E-4</v>
      </c>
      <c r="P28" s="20">
        <v>1E-4</v>
      </c>
      <c r="Q28" s="20">
        <f>500+273.15</f>
        <v>773.15</v>
      </c>
      <c r="R28" s="20">
        <f>1000+273.15</f>
        <v>1273.1500000000001</v>
      </c>
      <c r="S28" s="20"/>
      <c r="T28" s="20"/>
      <c r="U28" s="20"/>
      <c r="V28" s="20"/>
      <c r="W28" s="20"/>
      <c r="X28" s="20"/>
      <c r="Y28" s="20"/>
      <c r="Z28" s="20"/>
      <c r="AA28" s="20"/>
      <c r="AB28" s="20"/>
      <c r="AC28" s="20"/>
      <c r="AD28" s="20"/>
      <c r="AE28" s="20">
        <v>0</v>
      </c>
      <c r="AF28" s="20">
        <v>0</v>
      </c>
      <c r="AG28" s="20"/>
      <c r="AH28" s="20" t="s">
        <v>559</v>
      </c>
      <c r="AI28" s="71" t="s">
        <v>66</v>
      </c>
      <c r="AJ28" s="20"/>
      <c r="AK28" s="20"/>
      <c r="AL28" s="20"/>
      <c r="AM28" s="20"/>
      <c r="AN28" s="20" t="s">
        <v>131</v>
      </c>
      <c r="AO28" s="21" t="s">
        <v>28</v>
      </c>
      <c r="AP28" s="21" t="s">
        <v>558</v>
      </c>
      <c r="AQ28" s="22">
        <v>1.48</v>
      </c>
      <c r="AR28" s="23">
        <v>0.35</v>
      </c>
      <c r="AS28" s="21" t="s">
        <v>112</v>
      </c>
      <c r="AT28" s="25">
        <f>0.96</f>
        <v>0.96</v>
      </c>
      <c r="AU28" s="22">
        <f>2.7*0.34*(0.372/4.32)</f>
        <v>7.9050000000000009E-2</v>
      </c>
      <c r="AV28" s="21" t="s">
        <v>115</v>
      </c>
      <c r="AW28" s="24"/>
      <c r="AX28" s="24"/>
      <c r="AY28" s="21"/>
      <c r="AZ28" s="22"/>
      <c r="BA28" s="22"/>
      <c r="BB28" s="24"/>
      <c r="BC28" s="26"/>
      <c r="BD28" s="22"/>
      <c r="BE28" s="24"/>
      <c r="BF28" s="26"/>
      <c r="BG28" s="22"/>
      <c r="BH28" s="24"/>
      <c r="BI28" s="22"/>
      <c r="BJ28" s="22"/>
      <c r="BK28" s="24"/>
      <c r="BL28" s="27"/>
      <c r="BM28" s="24"/>
      <c r="BN28" s="24"/>
      <c r="BO28" s="22"/>
      <c r="BP28" s="24"/>
      <c r="BQ28" s="24"/>
      <c r="BR28" s="24"/>
      <c r="BS28" s="24"/>
      <c r="BT28" s="24"/>
      <c r="BU28" s="24"/>
      <c r="BV28" s="24"/>
      <c r="BW28" s="24"/>
      <c r="BX28" s="24"/>
      <c r="BY28" s="24"/>
      <c r="BZ28" s="24"/>
      <c r="CA28" s="24"/>
      <c r="CB28" s="24"/>
      <c r="CC28" s="24"/>
      <c r="CD28" s="24"/>
      <c r="CE28" s="24"/>
      <c r="CF28" s="24"/>
      <c r="CG28" s="28"/>
      <c r="CH28" s="28"/>
      <c r="CI28" s="20"/>
      <c r="CJ28" s="28"/>
      <c r="CK28" s="28"/>
      <c r="CL28" s="20"/>
      <c r="EU28" s="41"/>
      <c r="EX28" s="41"/>
      <c r="FA28" s="41"/>
      <c r="FD28" s="41"/>
      <c r="FS28" s="41"/>
      <c r="GN28" s="41"/>
      <c r="GQ28" s="41"/>
      <c r="GT28" s="41"/>
      <c r="GW28" s="41"/>
      <c r="HL28" s="43"/>
    </row>
    <row r="29" spans="1:220" s="39" customFormat="1" ht="45" customHeight="1" x14ac:dyDescent="0.2">
      <c r="A29" s="39" t="s">
        <v>346</v>
      </c>
      <c r="B29" s="39" t="s">
        <v>34</v>
      </c>
      <c r="C29" s="39">
        <v>1999</v>
      </c>
      <c r="D29" s="40" t="s">
        <v>13</v>
      </c>
      <c r="E29" s="39" t="s">
        <v>43</v>
      </c>
      <c r="F29" s="39" t="s">
        <v>32</v>
      </c>
      <c r="G29" s="39" t="s">
        <v>49</v>
      </c>
      <c r="H29" s="39" t="s">
        <v>68</v>
      </c>
      <c r="I29" s="39" t="s">
        <v>15</v>
      </c>
      <c r="J29" s="39" t="s">
        <v>285</v>
      </c>
      <c r="K29" s="39" t="s">
        <v>35</v>
      </c>
      <c r="L29" s="39" t="s">
        <v>265</v>
      </c>
      <c r="M29" s="39" t="s">
        <v>268</v>
      </c>
      <c r="N29" s="41">
        <v>21</v>
      </c>
      <c r="O29" s="41">
        <v>21</v>
      </c>
      <c r="P29" s="41">
        <v>21</v>
      </c>
      <c r="Q29" s="41">
        <v>1473</v>
      </c>
      <c r="R29" s="41">
        <v>1773</v>
      </c>
      <c r="S29" s="41"/>
      <c r="T29" s="41"/>
      <c r="U29" s="41"/>
      <c r="V29" s="41"/>
      <c r="W29" s="41"/>
      <c r="X29" s="41"/>
      <c r="Y29" s="41"/>
      <c r="Z29" s="41"/>
      <c r="AA29" s="41"/>
      <c r="AB29" s="41"/>
      <c r="AC29" s="41"/>
      <c r="AD29" s="41"/>
      <c r="AE29" s="41"/>
      <c r="AN29" s="39" t="s">
        <v>105</v>
      </c>
      <c r="AO29" s="40" t="s">
        <v>28</v>
      </c>
      <c r="AP29" s="40"/>
      <c r="AQ29" s="42">
        <v>3.35</v>
      </c>
      <c r="AR29" s="43">
        <v>0.1</v>
      </c>
      <c r="AS29" s="40" t="s">
        <v>112</v>
      </c>
      <c r="AT29" s="45">
        <v>1.66</v>
      </c>
      <c r="AU29" s="42">
        <v>0.3</v>
      </c>
      <c r="AV29" s="40" t="s">
        <v>115</v>
      </c>
      <c r="AW29" s="44"/>
      <c r="AX29" s="44"/>
      <c r="AY29" s="40"/>
      <c r="AZ29" s="42"/>
      <c r="BA29" s="42"/>
      <c r="BB29" s="44"/>
      <c r="BC29" s="46"/>
      <c r="BD29" s="42"/>
      <c r="BE29" s="44"/>
      <c r="BF29" s="46"/>
      <c r="BG29" s="42"/>
      <c r="BH29" s="44"/>
      <c r="BI29" s="42"/>
      <c r="BJ29" s="42"/>
      <c r="BK29" s="44"/>
      <c r="BL29" s="47"/>
      <c r="BM29" s="44"/>
      <c r="BN29" s="44"/>
      <c r="BO29" s="42"/>
      <c r="BP29" s="44"/>
      <c r="BQ29" s="44"/>
      <c r="BR29" s="44"/>
      <c r="BS29" s="44"/>
      <c r="BT29" s="44"/>
      <c r="BU29" s="44"/>
      <c r="BV29" s="44"/>
      <c r="BW29" s="44"/>
      <c r="BX29" s="44"/>
      <c r="BY29" s="44"/>
      <c r="BZ29" s="44"/>
      <c r="CA29" s="44"/>
      <c r="CB29" s="44"/>
      <c r="CC29" s="44"/>
      <c r="CD29" s="44"/>
      <c r="CE29" s="44"/>
      <c r="CF29" s="44"/>
      <c r="CG29" s="41"/>
      <c r="CH29" s="41"/>
      <c r="CJ29" s="41"/>
      <c r="CK29" s="41"/>
      <c r="EU29" s="41"/>
      <c r="EX29" s="41"/>
      <c r="FA29" s="41"/>
      <c r="FD29" s="41"/>
      <c r="FS29" s="41"/>
      <c r="GN29" s="41"/>
      <c r="GQ29" s="41"/>
      <c r="GT29" s="41"/>
      <c r="GW29" s="41"/>
      <c r="HL29" s="43"/>
    </row>
    <row r="30" spans="1:220" s="39" customFormat="1" ht="45" customHeight="1" x14ac:dyDescent="0.2">
      <c r="A30" s="39" t="s">
        <v>139</v>
      </c>
      <c r="B30" s="39" t="s">
        <v>141</v>
      </c>
      <c r="C30" s="39">
        <v>2008</v>
      </c>
      <c r="D30" s="40" t="s">
        <v>140</v>
      </c>
      <c r="E30" s="39" t="s">
        <v>43</v>
      </c>
      <c r="F30" s="39" t="s">
        <v>336</v>
      </c>
      <c r="G30" s="39" t="s">
        <v>142</v>
      </c>
      <c r="H30" s="39" t="s">
        <v>68</v>
      </c>
      <c r="I30" s="39" t="s">
        <v>15</v>
      </c>
      <c r="J30" s="39" t="s">
        <v>378</v>
      </c>
      <c r="K30" s="39" t="s">
        <v>456</v>
      </c>
      <c r="L30" s="39" t="s">
        <v>265</v>
      </c>
      <c r="M30" s="39" t="s">
        <v>268</v>
      </c>
      <c r="N30" s="41">
        <v>18</v>
      </c>
      <c r="O30" s="41">
        <v>18</v>
      </c>
      <c r="P30" s="41">
        <v>18</v>
      </c>
      <c r="Q30" s="41">
        <v>1000</v>
      </c>
      <c r="R30" s="41">
        <v>1500</v>
      </c>
      <c r="S30" s="41"/>
      <c r="T30" s="41"/>
      <c r="U30" s="41"/>
      <c r="V30" s="41"/>
      <c r="W30" s="41"/>
      <c r="X30" s="41"/>
      <c r="Y30" s="41"/>
      <c r="Z30" s="41"/>
      <c r="AA30" s="41"/>
      <c r="AB30" s="41"/>
      <c r="AC30" s="41"/>
      <c r="AD30" s="41"/>
      <c r="AE30" s="41"/>
      <c r="AN30" s="39" t="s">
        <v>61</v>
      </c>
      <c r="AO30" s="40" t="s">
        <v>28</v>
      </c>
      <c r="AP30" s="39" t="s">
        <v>338</v>
      </c>
      <c r="AQ30" s="42">
        <v>240</v>
      </c>
      <c r="AR30" s="43"/>
      <c r="AS30" s="40" t="s">
        <v>113</v>
      </c>
      <c r="AT30" s="45">
        <v>1.37</v>
      </c>
      <c r="AU30" s="42"/>
      <c r="AV30" s="40" t="s">
        <v>115</v>
      </c>
      <c r="AW30" s="44"/>
      <c r="AX30" s="44"/>
      <c r="AY30" s="40"/>
      <c r="AZ30" s="42"/>
      <c r="BA30" s="42"/>
      <c r="BB30" s="44"/>
      <c r="BC30" s="46"/>
      <c r="BD30" s="42"/>
      <c r="BE30" s="44"/>
      <c r="BF30" s="46"/>
      <c r="BG30" s="42"/>
      <c r="BH30" s="44"/>
      <c r="BI30" s="42"/>
      <c r="BJ30" s="42"/>
      <c r="BK30" s="44"/>
      <c r="BL30" s="47"/>
      <c r="BM30" s="44"/>
      <c r="BN30" s="44"/>
      <c r="BO30" s="42"/>
      <c r="BP30" s="44"/>
      <c r="BQ30" s="44"/>
      <c r="BR30" s="44"/>
      <c r="BS30" s="44"/>
      <c r="BT30" s="44"/>
      <c r="BU30" s="44"/>
      <c r="BV30" s="44"/>
      <c r="BW30" s="44"/>
      <c r="BX30" s="44"/>
      <c r="BY30" s="44"/>
      <c r="BZ30" s="44"/>
      <c r="CA30" s="44"/>
      <c r="CB30" s="44"/>
      <c r="CC30" s="44"/>
      <c r="CD30" s="44"/>
      <c r="CE30" s="44"/>
      <c r="CF30" s="44"/>
      <c r="CG30" s="41"/>
      <c r="CH30" s="41"/>
      <c r="CJ30" s="41"/>
      <c r="CK30" s="41"/>
      <c r="EU30" s="41"/>
      <c r="EX30" s="41"/>
      <c r="FA30" s="41"/>
      <c r="FD30" s="41"/>
      <c r="FS30" s="41"/>
      <c r="GN30" s="41"/>
      <c r="GQ30" s="41"/>
      <c r="GT30" s="41"/>
      <c r="GW30" s="41"/>
      <c r="HL30" s="43"/>
    </row>
    <row r="31" spans="1:220" s="39" customFormat="1" ht="45" customHeight="1" x14ac:dyDescent="0.2">
      <c r="A31" s="39" t="s">
        <v>139</v>
      </c>
      <c r="B31" s="39" t="s">
        <v>141</v>
      </c>
      <c r="C31" s="39">
        <v>2008</v>
      </c>
      <c r="D31" s="40" t="s">
        <v>140</v>
      </c>
      <c r="E31" s="39" t="s">
        <v>43</v>
      </c>
      <c r="F31" s="39" t="s">
        <v>336</v>
      </c>
      <c r="G31" s="39" t="s">
        <v>142</v>
      </c>
      <c r="H31" s="39" t="s">
        <v>68</v>
      </c>
      <c r="I31" s="39" t="s">
        <v>15</v>
      </c>
      <c r="J31" s="39" t="s">
        <v>378</v>
      </c>
      <c r="K31" s="39" t="s">
        <v>457</v>
      </c>
      <c r="L31" s="39" t="s">
        <v>265</v>
      </c>
      <c r="M31" s="39" t="s">
        <v>268</v>
      </c>
      <c r="N31" s="41">
        <v>18</v>
      </c>
      <c r="O31" s="41">
        <v>18</v>
      </c>
      <c r="P31" s="41">
        <v>18</v>
      </c>
      <c r="Q31" s="41">
        <v>1600</v>
      </c>
      <c r="R31" s="41">
        <v>1900</v>
      </c>
      <c r="S31" s="41"/>
      <c r="T31" s="41"/>
      <c r="U31" s="41"/>
      <c r="V31" s="41"/>
      <c r="W31" s="41"/>
      <c r="X31" s="41"/>
      <c r="Y31" s="41"/>
      <c r="Z31" s="41"/>
      <c r="AA31" s="41"/>
      <c r="AB31" s="41"/>
      <c r="AC31" s="41"/>
      <c r="AD31" s="41"/>
      <c r="AE31" s="41"/>
      <c r="AN31" s="39" t="s">
        <v>61</v>
      </c>
      <c r="AO31" s="40" t="s">
        <v>28</v>
      </c>
      <c r="AP31" s="39" t="s">
        <v>340</v>
      </c>
      <c r="AQ31" s="42">
        <v>3.3</v>
      </c>
      <c r="AR31" s="43"/>
      <c r="AS31" s="40" t="s">
        <v>112</v>
      </c>
      <c r="AT31" s="45">
        <v>1.63</v>
      </c>
      <c r="AU31" s="42"/>
      <c r="AV31" s="40" t="s">
        <v>115</v>
      </c>
      <c r="AW31" s="44"/>
      <c r="AX31" s="44"/>
      <c r="AY31" s="40"/>
      <c r="AZ31" s="42"/>
      <c r="BA31" s="42"/>
      <c r="BB31" s="44"/>
      <c r="BC31" s="46"/>
      <c r="BD31" s="42"/>
      <c r="BE31" s="44"/>
      <c r="BF31" s="46"/>
      <c r="BG31" s="42"/>
      <c r="BH31" s="44"/>
      <c r="BI31" s="42"/>
      <c r="BJ31" s="42"/>
      <c r="BK31" s="44"/>
      <c r="BL31" s="47"/>
      <c r="BM31" s="44"/>
      <c r="BN31" s="44"/>
      <c r="BO31" s="42"/>
      <c r="BP31" s="44"/>
      <c r="BQ31" s="44"/>
      <c r="BR31" s="44"/>
      <c r="BS31" s="44"/>
      <c r="BT31" s="44"/>
      <c r="BU31" s="44"/>
      <c r="BV31" s="44"/>
      <c r="BW31" s="44"/>
      <c r="BX31" s="44"/>
      <c r="BY31" s="44"/>
      <c r="BZ31" s="44"/>
      <c r="CA31" s="44"/>
      <c r="CB31" s="44"/>
      <c r="CC31" s="44"/>
      <c r="CD31" s="44"/>
      <c r="CE31" s="44"/>
      <c r="CF31" s="44"/>
      <c r="CG31" s="41"/>
      <c r="CH31" s="41"/>
      <c r="CJ31" s="41"/>
      <c r="CK31" s="41"/>
      <c r="EU31" s="41"/>
      <c r="EX31" s="41"/>
      <c r="FA31" s="41"/>
      <c r="FD31" s="41"/>
      <c r="FS31" s="41"/>
      <c r="GN31" s="41"/>
      <c r="GQ31" s="41"/>
      <c r="GT31" s="41"/>
      <c r="GW31" s="41"/>
      <c r="HL31" s="43"/>
    </row>
    <row r="32" spans="1:220" s="39" customFormat="1" ht="45" customHeight="1" x14ac:dyDescent="0.2">
      <c r="A32" s="39" t="s">
        <v>139</v>
      </c>
      <c r="B32" s="39" t="s">
        <v>141</v>
      </c>
      <c r="C32" s="39">
        <v>2008</v>
      </c>
      <c r="D32" s="40" t="s">
        <v>140</v>
      </c>
      <c r="E32" s="39" t="s">
        <v>43</v>
      </c>
      <c r="F32" s="39" t="s">
        <v>336</v>
      </c>
      <c r="G32" s="39" t="s">
        <v>142</v>
      </c>
      <c r="H32" s="39" t="s">
        <v>68</v>
      </c>
      <c r="I32" s="39" t="s">
        <v>177</v>
      </c>
      <c r="J32" s="39" t="s">
        <v>378</v>
      </c>
      <c r="K32" s="39" t="s">
        <v>458</v>
      </c>
      <c r="L32" s="39" t="s">
        <v>265</v>
      </c>
      <c r="M32" s="39" t="s">
        <v>268</v>
      </c>
      <c r="N32" s="41">
        <v>18</v>
      </c>
      <c r="O32" s="41">
        <v>18</v>
      </c>
      <c r="P32" s="41">
        <v>18</v>
      </c>
      <c r="Q32" s="41">
        <v>1000</v>
      </c>
      <c r="R32" s="41">
        <v>1900</v>
      </c>
      <c r="S32" s="41"/>
      <c r="T32" s="41"/>
      <c r="U32" s="41"/>
      <c r="V32" s="41"/>
      <c r="W32" s="41"/>
      <c r="X32" s="41"/>
      <c r="Y32" s="41"/>
      <c r="Z32" s="41"/>
      <c r="AA32" s="41"/>
      <c r="AB32" s="41"/>
      <c r="AC32" s="41"/>
      <c r="AD32" s="41"/>
      <c r="AE32" s="41"/>
      <c r="AN32" s="39" t="s">
        <v>61</v>
      </c>
      <c r="AO32" s="40" t="s">
        <v>28</v>
      </c>
      <c r="AP32" s="40" t="s">
        <v>341</v>
      </c>
      <c r="AQ32" s="42">
        <v>2.9</v>
      </c>
      <c r="AR32" s="43"/>
      <c r="AS32" s="40" t="s">
        <v>112</v>
      </c>
      <c r="AT32" s="45">
        <v>1.63</v>
      </c>
      <c r="AU32" s="42"/>
      <c r="AV32" s="40" t="s">
        <v>115</v>
      </c>
      <c r="AW32" s="44">
        <v>180</v>
      </c>
      <c r="AX32" s="44"/>
      <c r="AY32" s="40" t="s">
        <v>113</v>
      </c>
      <c r="AZ32" s="42">
        <v>1.37</v>
      </c>
      <c r="BA32" s="42"/>
      <c r="BB32" s="44" t="s">
        <v>115</v>
      </c>
      <c r="BC32" s="46"/>
      <c r="BD32" s="42"/>
      <c r="BE32" s="44"/>
      <c r="BF32" s="46"/>
      <c r="BG32" s="42"/>
      <c r="BH32" s="44"/>
      <c r="BI32" s="42"/>
      <c r="BJ32" s="42"/>
      <c r="BK32" s="44"/>
      <c r="BL32" s="47"/>
      <c r="BM32" s="44"/>
      <c r="BN32" s="44"/>
      <c r="BO32" s="42"/>
      <c r="BP32" s="44"/>
      <c r="BQ32" s="44"/>
      <c r="BR32" s="44"/>
      <c r="BS32" s="44"/>
      <c r="BT32" s="44"/>
      <c r="BU32" s="44"/>
      <c r="BV32" s="44"/>
      <c r="BW32" s="44"/>
      <c r="BX32" s="44"/>
      <c r="BY32" s="44"/>
      <c r="BZ32" s="44"/>
      <c r="CA32" s="44"/>
      <c r="CB32" s="44"/>
      <c r="CC32" s="44"/>
      <c r="CD32" s="44"/>
      <c r="CE32" s="44"/>
      <c r="CF32" s="44"/>
      <c r="CG32" s="41"/>
      <c r="CH32" s="41"/>
      <c r="CJ32" s="41"/>
      <c r="CK32" s="41"/>
      <c r="EU32" s="41"/>
      <c r="EX32" s="41"/>
      <c r="FA32" s="41"/>
      <c r="FD32" s="41"/>
      <c r="FS32" s="41"/>
      <c r="GN32" s="41"/>
      <c r="GQ32" s="41"/>
      <c r="GT32" s="41"/>
      <c r="GW32" s="41"/>
      <c r="HL32" s="43"/>
    </row>
    <row r="33" spans="1:220" s="39" customFormat="1" ht="45" customHeight="1" x14ac:dyDescent="0.2">
      <c r="A33" s="39" t="s">
        <v>139</v>
      </c>
      <c r="B33" s="39" t="s">
        <v>141</v>
      </c>
      <c r="C33" s="39">
        <v>2008</v>
      </c>
      <c r="D33" s="40" t="s">
        <v>140</v>
      </c>
      <c r="E33" s="39" t="s">
        <v>43</v>
      </c>
      <c r="F33" s="39" t="s">
        <v>337</v>
      </c>
      <c r="G33" s="39" t="s">
        <v>142</v>
      </c>
      <c r="H33" s="39" t="s">
        <v>68</v>
      </c>
      <c r="I33" s="39" t="s">
        <v>15</v>
      </c>
      <c r="J33" s="39" t="s">
        <v>378</v>
      </c>
      <c r="K33" s="39" t="s">
        <v>459</v>
      </c>
      <c r="L33" s="39" t="s">
        <v>265</v>
      </c>
      <c r="M33" s="39" t="s">
        <v>268</v>
      </c>
      <c r="N33" s="41">
        <v>18</v>
      </c>
      <c r="O33" s="41">
        <v>18</v>
      </c>
      <c r="P33" s="41">
        <v>18</v>
      </c>
      <c r="Q33" s="41">
        <v>700</v>
      </c>
      <c r="R33" s="41">
        <v>2000</v>
      </c>
      <c r="S33" s="41"/>
      <c r="T33" s="41"/>
      <c r="U33" s="41"/>
      <c r="V33" s="41"/>
      <c r="W33" s="41"/>
      <c r="X33" s="41"/>
      <c r="Y33" s="41"/>
      <c r="Z33" s="41"/>
      <c r="AA33" s="41"/>
      <c r="AB33" s="41"/>
      <c r="AC33" s="41"/>
      <c r="AD33" s="41"/>
      <c r="AE33" s="41"/>
      <c r="AN33" s="39" t="s">
        <v>61</v>
      </c>
      <c r="AO33" s="40" t="s">
        <v>28</v>
      </c>
      <c r="AP33" s="40" t="s">
        <v>342</v>
      </c>
      <c r="AQ33" s="42">
        <v>1600</v>
      </c>
      <c r="AR33" s="43"/>
      <c r="AS33" s="40" t="s">
        <v>113</v>
      </c>
      <c r="AT33" s="45">
        <v>1.38</v>
      </c>
      <c r="AU33" s="42"/>
      <c r="AV33" s="40" t="s">
        <v>115</v>
      </c>
      <c r="AW33" s="44"/>
      <c r="AX33" s="44"/>
      <c r="AY33" s="40"/>
      <c r="AZ33" s="42"/>
      <c r="BA33" s="42"/>
      <c r="BB33" s="44"/>
      <c r="BC33" s="46"/>
      <c r="BD33" s="42"/>
      <c r="BE33" s="44"/>
      <c r="BF33" s="46"/>
      <c r="BG33" s="42"/>
      <c r="BH33" s="44"/>
      <c r="BI33" s="42"/>
      <c r="BJ33" s="42"/>
      <c r="BK33" s="44"/>
      <c r="BL33" s="47"/>
      <c r="BM33" s="44"/>
      <c r="BN33" s="44"/>
      <c r="BO33" s="42"/>
      <c r="BP33" s="44"/>
      <c r="BQ33" s="44"/>
      <c r="BR33" s="44"/>
      <c r="BS33" s="44"/>
      <c r="BT33" s="44"/>
      <c r="BU33" s="44"/>
      <c r="BV33" s="44"/>
      <c r="BW33" s="44"/>
      <c r="BX33" s="44"/>
      <c r="BY33" s="44"/>
      <c r="BZ33" s="44"/>
      <c r="CA33" s="44"/>
      <c r="CB33" s="44"/>
      <c r="CC33" s="44"/>
      <c r="CD33" s="44"/>
      <c r="CE33" s="44"/>
      <c r="CF33" s="44"/>
      <c r="CG33" s="41"/>
      <c r="CH33" s="41"/>
      <c r="CJ33" s="41"/>
      <c r="CK33" s="41"/>
      <c r="EU33" s="41"/>
      <c r="EX33" s="41"/>
      <c r="FA33" s="41"/>
      <c r="FD33" s="41"/>
      <c r="FS33" s="41"/>
      <c r="GN33" s="41"/>
      <c r="GQ33" s="41"/>
      <c r="GT33" s="41"/>
      <c r="GW33" s="41"/>
      <c r="HL33" s="43"/>
    </row>
    <row r="34" spans="1:220" s="39" customFormat="1" ht="45" customHeight="1" x14ac:dyDescent="0.2">
      <c r="A34" s="39" t="s">
        <v>108</v>
      </c>
      <c r="B34" s="40" t="s">
        <v>107</v>
      </c>
      <c r="C34" s="39">
        <v>2009</v>
      </c>
      <c r="D34" s="40" t="s">
        <v>109</v>
      </c>
      <c r="E34" s="39" t="s">
        <v>43</v>
      </c>
      <c r="F34" s="39" t="s">
        <v>43</v>
      </c>
      <c r="G34" s="39" t="s">
        <v>62</v>
      </c>
      <c r="H34" s="39" t="s">
        <v>110</v>
      </c>
      <c r="I34" s="39" t="s">
        <v>111</v>
      </c>
      <c r="J34" s="39" t="s">
        <v>293</v>
      </c>
      <c r="K34" s="39" t="s">
        <v>452</v>
      </c>
      <c r="L34" s="39" t="s">
        <v>265</v>
      </c>
      <c r="M34" s="39" t="s">
        <v>268</v>
      </c>
      <c r="N34" s="41"/>
      <c r="O34" s="41">
        <v>4</v>
      </c>
      <c r="P34" s="41">
        <v>16</v>
      </c>
      <c r="Q34" s="41">
        <v>873</v>
      </c>
      <c r="R34" s="41">
        <v>1473</v>
      </c>
      <c r="S34" s="41"/>
      <c r="T34" s="41"/>
      <c r="U34" s="41"/>
      <c r="V34" s="41"/>
      <c r="W34" s="41"/>
      <c r="X34" s="41"/>
      <c r="Y34" s="41"/>
      <c r="Z34" s="41"/>
      <c r="AA34" s="41"/>
      <c r="AB34" s="41"/>
      <c r="AC34" s="41"/>
      <c r="AD34" s="41"/>
      <c r="AE34" s="41">
        <v>0</v>
      </c>
      <c r="AF34" s="39">
        <v>4.7460000000000002E-2</v>
      </c>
      <c r="AH34" s="39" t="s">
        <v>577</v>
      </c>
      <c r="AI34" s="39" t="s">
        <v>66</v>
      </c>
      <c r="AN34" s="39" t="s">
        <v>61</v>
      </c>
      <c r="AO34" s="40" t="s">
        <v>28</v>
      </c>
      <c r="AP34" s="40" t="s">
        <v>534</v>
      </c>
      <c r="AQ34" s="42">
        <v>1000</v>
      </c>
      <c r="AR34" s="43">
        <v>700</v>
      </c>
      <c r="AS34" s="40" t="s">
        <v>113</v>
      </c>
      <c r="AT34" s="45">
        <v>0.63</v>
      </c>
      <c r="AU34" s="42">
        <v>0.19</v>
      </c>
      <c r="AV34" s="40" t="s">
        <v>114</v>
      </c>
      <c r="AW34" s="44">
        <v>0.83</v>
      </c>
      <c r="AX34" s="44">
        <f>5*0.00008617333262/(0.00831446261815324)</f>
        <v>5.1821348280437829E-2</v>
      </c>
      <c r="AY34" s="40" t="s">
        <v>115</v>
      </c>
      <c r="AZ34" s="42">
        <v>-0.56999999999999995</v>
      </c>
      <c r="BA34" s="42">
        <v>0.05</v>
      </c>
      <c r="BB34" s="44" t="s">
        <v>123</v>
      </c>
      <c r="BC34" s="46"/>
      <c r="BD34" s="42"/>
      <c r="BE34" s="44"/>
      <c r="BF34" s="46"/>
      <c r="BG34" s="42"/>
      <c r="BH34" s="44"/>
      <c r="BI34" s="42"/>
      <c r="BJ34" s="42"/>
      <c r="BK34" s="44"/>
      <c r="BL34" s="47"/>
      <c r="BM34" s="44"/>
      <c r="BN34" s="44"/>
      <c r="BO34" s="42"/>
      <c r="BP34" s="44"/>
      <c r="BQ34" s="44"/>
      <c r="BR34" s="44"/>
      <c r="BS34" s="44"/>
      <c r="BT34" s="44"/>
      <c r="BU34" s="44"/>
      <c r="BV34" s="44"/>
      <c r="BW34" s="44"/>
      <c r="BX34" s="44"/>
      <c r="BY34" s="44"/>
      <c r="BZ34" s="44"/>
      <c r="CA34" s="44"/>
      <c r="CB34" s="44"/>
      <c r="CC34" s="44"/>
      <c r="CD34" s="44"/>
      <c r="CE34" s="44"/>
      <c r="CF34" s="44"/>
      <c r="CG34" s="41"/>
      <c r="CH34" s="41"/>
      <c r="CJ34" s="41"/>
      <c r="CK34" s="41"/>
      <c r="EU34" s="41"/>
      <c r="EX34" s="41"/>
      <c r="FA34" s="41"/>
      <c r="FD34" s="41"/>
      <c r="FS34" s="41"/>
      <c r="GN34" s="41"/>
      <c r="GQ34" s="41"/>
      <c r="GT34" s="41"/>
      <c r="GW34" s="41"/>
      <c r="HL34" s="43"/>
    </row>
    <row r="35" spans="1:220" s="39" customFormat="1" ht="45" customHeight="1" x14ac:dyDescent="0.2">
      <c r="A35" s="39" t="s">
        <v>108</v>
      </c>
      <c r="B35" s="40" t="s">
        <v>107</v>
      </c>
      <c r="C35" s="39">
        <v>2009</v>
      </c>
      <c r="D35" s="40" t="s">
        <v>109</v>
      </c>
      <c r="E35" s="39" t="s">
        <v>43</v>
      </c>
      <c r="F35" s="39" t="s">
        <v>43</v>
      </c>
      <c r="G35" s="39" t="s">
        <v>62</v>
      </c>
      <c r="H35" s="39" t="s">
        <v>124</v>
      </c>
      <c r="I35" s="39" t="s">
        <v>126</v>
      </c>
      <c r="J35" s="39" t="s">
        <v>293</v>
      </c>
      <c r="K35" s="39" t="s">
        <v>453</v>
      </c>
      <c r="L35" s="39" t="s">
        <v>265</v>
      </c>
      <c r="M35" s="39" t="s">
        <v>268</v>
      </c>
      <c r="N35" s="41"/>
      <c r="O35" s="41">
        <v>4</v>
      </c>
      <c r="P35" s="41">
        <v>8</v>
      </c>
      <c r="Q35" s="41">
        <v>873</v>
      </c>
      <c r="R35" s="41">
        <v>1473</v>
      </c>
      <c r="S35" s="41"/>
      <c r="T35" s="41"/>
      <c r="U35" s="41"/>
      <c r="V35" s="41"/>
      <c r="W35" s="41"/>
      <c r="X35" s="41"/>
      <c r="Y35" s="41"/>
      <c r="Z35" s="41"/>
      <c r="AA35" s="41"/>
      <c r="AB35" s="41"/>
      <c r="AC35" s="41"/>
      <c r="AD35" s="41"/>
      <c r="AE35" s="41"/>
      <c r="AN35" s="39" t="s">
        <v>61</v>
      </c>
      <c r="AO35" s="40" t="s">
        <v>28</v>
      </c>
      <c r="AP35" s="40" t="s">
        <v>345</v>
      </c>
      <c r="AQ35" s="42">
        <v>1036</v>
      </c>
      <c r="AR35" s="43">
        <v>236</v>
      </c>
      <c r="AS35" s="40" t="s">
        <v>113</v>
      </c>
      <c r="AT35" s="45">
        <v>4.3999999999999997E-2</v>
      </c>
      <c r="AU35" s="42">
        <v>7.0000000000000001E-3</v>
      </c>
      <c r="AV35" s="40" t="s">
        <v>116</v>
      </c>
      <c r="AW35" s="44">
        <f>128*0.00008617333262/(0.00831446261815324)</f>
        <v>1.3266265159792083</v>
      </c>
      <c r="AX35" s="44">
        <f>6*0.00008617333262/(0.00831446261815324)</f>
        <v>6.2185617936525391E-2</v>
      </c>
      <c r="AY35" s="40" t="s">
        <v>115</v>
      </c>
      <c r="AZ35" s="42">
        <v>2.5</v>
      </c>
      <c r="BA35" s="42">
        <v>0.48</v>
      </c>
      <c r="BB35" s="44" t="s">
        <v>123</v>
      </c>
      <c r="BC35" s="46"/>
      <c r="BD35" s="42"/>
      <c r="BE35" s="44"/>
      <c r="BF35" s="46"/>
      <c r="BG35" s="42"/>
      <c r="BH35" s="44"/>
      <c r="BI35" s="42"/>
      <c r="BJ35" s="42"/>
      <c r="BK35" s="44"/>
      <c r="BL35" s="47"/>
      <c r="BM35" s="44"/>
      <c r="BN35" s="44"/>
      <c r="BO35" s="42"/>
      <c r="BP35" s="44"/>
      <c r="BQ35" s="44"/>
      <c r="BR35" s="44"/>
      <c r="BS35" s="44"/>
      <c r="BT35" s="44"/>
      <c r="BU35" s="44"/>
      <c r="BV35" s="44"/>
      <c r="BW35" s="44"/>
      <c r="BX35" s="44"/>
      <c r="BY35" s="44"/>
      <c r="BZ35" s="44"/>
      <c r="CA35" s="44"/>
      <c r="CB35" s="44"/>
      <c r="CC35" s="44"/>
      <c r="CD35" s="44"/>
      <c r="CE35" s="44"/>
      <c r="CF35" s="44"/>
      <c r="CG35" s="41"/>
      <c r="CH35" s="41"/>
      <c r="CJ35" s="41"/>
      <c r="CK35" s="41"/>
      <c r="EU35" s="41"/>
      <c r="EX35" s="41"/>
      <c r="FA35" s="41"/>
      <c r="FD35" s="41"/>
      <c r="FS35" s="41"/>
      <c r="GN35" s="41"/>
      <c r="GQ35" s="41"/>
      <c r="GT35" s="41"/>
      <c r="GW35" s="41"/>
      <c r="HL35" s="43"/>
    </row>
    <row r="36" spans="1:220" s="39" customFormat="1" ht="45" customHeight="1" x14ac:dyDescent="0.2">
      <c r="A36" s="39" t="s">
        <v>127</v>
      </c>
      <c r="B36" s="39" t="s">
        <v>128</v>
      </c>
      <c r="C36" s="39">
        <v>2012</v>
      </c>
      <c r="D36" s="40" t="s">
        <v>129</v>
      </c>
      <c r="E36" s="39" t="s">
        <v>43</v>
      </c>
      <c r="F36" s="39" t="s">
        <v>43</v>
      </c>
      <c r="G36" s="39" t="s">
        <v>132</v>
      </c>
      <c r="H36" s="39" t="s">
        <v>125</v>
      </c>
      <c r="I36" s="39" t="s">
        <v>274</v>
      </c>
      <c r="J36" s="39" t="s">
        <v>347</v>
      </c>
      <c r="K36" s="39" t="s">
        <v>454</v>
      </c>
      <c r="L36" s="39" t="s">
        <v>265</v>
      </c>
      <c r="M36" s="39" t="s">
        <v>268</v>
      </c>
      <c r="N36" s="41">
        <v>2</v>
      </c>
      <c r="O36" s="41">
        <v>2</v>
      </c>
      <c r="P36" s="41">
        <v>2</v>
      </c>
      <c r="Q36" s="41">
        <v>873</v>
      </c>
      <c r="R36" s="41">
        <v>1273</v>
      </c>
      <c r="S36" s="41"/>
      <c r="T36" s="41"/>
      <c r="U36" s="41"/>
      <c r="V36" s="41"/>
      <c r="W36" s="41"/>
      <c r="X36" s="41"/>
      <c r="Y36" s="41"/>
      <c r="Z36" s="41"/>
      <c r="AA36" s="41"/>
      <c r="AB36" s="41"/>
      <c r="AC36" s="41"/>
      <c r="AD36" s="41"/>
      <c r="AE36" s="41">
        <v>0</v>
      </c>
      <c r="AF36" s="39">
        <v>0</v>
      </c>
      <c r="AG36" s="39">
        <v>0</v>
      </c>
      <c r="AI36" s="39" t="s">
        <v>55</v>
      </c>
      <c r="AN36" s="39" t="s">
        <v>131</v>
      </c>
      <c r="AO36" s="40" t="s">
        <v>28</v>
      </c>
      <c r="AP36" s="40" t="s">
        <v>344</v>
      </c>
      <c r="AQ36" s="42">
        <v>2.23</v>
      </c>
      <c r="AR36" s="43">
        <v>6.3E-2</v>
      </c>
      <c r="AS36" s="40" t="s">
        <v>116</v>
      </c>
      <c r="AT36" s="45">
        <v>6.0999999999999999E-2</v>
      </c>
      <c r="AU36" s="42">
        <v>2E-3</v>
      </c>
      <c r="AV36" s="40" t="s">
        <v>116</v>
      </c>
      <c r="AW36" s="44">
        <v>-6092</v>
      </c>
      <c r="AX36" s="44">
        <v>94</v>
      </c>
      <c r="AY36" s="40" t="s">
        <v>116</v>
      </c>
      <c r="AZ36" s="42"/>
      <c r="BA36" s="42"/>
      <c r="BB36" s="44"/>
      <c r="BC36" s="46"/>
      <c r="BD36" s="42"/>
      <c r="BE36" s="44"/>
      <c r="BF36" s="46"/>
      <c r="BG36" s="42"/>
      <c r="BH36" s="44"/>
      <c r="BI36" s="42"/>
      <c r="BJ36" s="42"/>
      <c r="BK36" s="44"/>
      <c r="BL36" s="47"/>
      <c r="BM36" s="44"/>
      <c r="BN36" s="44"/>
      <c r="BO36" s="42"/>
      <c r="BP36" s="44"/>
      <c r="BQ36" s="44"/>
      <c r="BR36" s="44"/>
      <c r="BS36" s="44"/>
      <c r="BT36" s="44"/>
      <c r="BU36" s="44"/>
      <c r="BV36" s="44"/>
      <c r="BW36" s="44"/>
      <c r="BX36" s="44"/>
      <c r="BY36" s="44"/>
      <c r="BZ36" s="44"/>
      <c r="CA36" s="44"/>
      <c r="CB36" s="44"/>
      <c r="CC36" s="44"/>
      <c r="CD36" s="44"/>
      <c r="CE36" s="44"/>
      <c r="CF36" s="44"/>
      <c r="CG36" s="41"/>
      <c r="CH36" s="41"/>
      <c r="CJ36" s="41"/>
      <c r="CK36" s="41"/>
      <c r="EU36" s="41"/>
      <c r="EX36" s="41"/>
      <c r="FA36" s="41"/>
      <c r="FD36" s="41"/>
      <c r="FS36" s="41"/>
      <c r="GN36" s="41"/>
      <c r="GQ36" s="41"/>
      <c r="GT36" s="41"/>
      <c r="GW36" s="41"/>
      <c r="HL36" s="43"/>
    </row>
    <row r="37" spans="1:220" s="29" customFormat="1" ht="45" customHeight="1" x14ac:dyDescent="0.2">
      <c r="A37" s="50" t="s">
        <v>127</v>
      </c>
      <c r="B37" s="50" t="s">
        <v>128</v>
      </c>
      <c r="C37" s="50">
        <v>2012</v>
      </c>
      <c r="D37" s="50" t="s">
        <v>129</v>
      </c>
      <c r="E37" s="50" t="s">
        <v>43</v>
      </c>
      <c r="F37" s="50" t="s">
        <v>130</v>
      </c>
      <c r="G37" s="50" t="s">
        <v>132</v>
      </c>
      <c r="H37" s="50" t="s">
        <v>125</v>
      </c>
      <c r="I37" s="50" t="s">
        <v>274</v>
      </c>
      <c r="J37" s="39" t="s">
        <v>347</v>
      </c>
      <c r="K37" s="50" t="s">
        <v>451</v>
      </c>
      <c r="L37" s="50" t="s">
        <v>265</v>
      </c>
      <c r="M37" s="50" t="s">
        <v>268</v>
      </c>
      <c r="N37" s="51"/>
      <c r="O37" s="51">
        <v>1</v>
      </c>
      <c r="P37" s="51">
        <v>4</v>
      </c>
      <c r="Q37" s="51">
        <v>873</v>
      </c>
      <c r="R37" s="51">
        <v>1273</v>
      </c>
      <c r="S37" s="51"/>
      <c r="T37" s="51"/>
      <c r="U37" s="51"/>
      <c r="V37" s="51"/>
      <c r="W37" s="51"/>
      <c r="X37" s="51"/>
      <c r="Y37" s="51"/>
      <c r="Z37" s="51"/>
      <c r="AA37" s="51"/>
      <c r="AB37" s="51"/>
      <c r="AC37" s="51"/>
      <c r="AD37" s="51"/>
      <c r="AE37" s="51">
        <v>465</v>
      </c>
      <c r="AF37" s="50">
        <v>465</v>
      </c>
      <c r="AG37" s="50">
        <v>465</v>
      </c>
      <c r="AH37" s="50"/>
      <c r="AI37" s="50" t="s">
        <v>55</v>
      </c>
      <c r="AJ37" s="50"/>
      <c r="AK37" s="50"/>
      <c r="AL37" s="50"/>
      <c r="AM37" s="50"/>
      <c r="AN37" s="50" t="s">
        <v>131</v>
      </c>
      <c r="AO37" s="50" t="s">
        <v>28</v>
      </c>
      <c r="AP37" s="39" t="s">
        <v>343</v>
      </c>
      <c r="AQ37" s="52">
        <v>2.27</v>
      </c>
      <c r="AR37" s="53">
        <v>3.2000000000000001E-2</v>
      </c>
      <c r="AS37" s="73" t="s">
        <v>116</v>
      </c>
      <c r="AT37" s="55">
        <v>-7.0999999999999994E-2</v>
      </c>
      <c r="AU37" s="52">
        <v>1E-3</v>
      </c>
      <c r="AV37" s="73" t="s">
        <v>116</v>
      </c>
      <c r="AW37" s="56">
        <v>-6475</v>
      </c>
      <c r="AX37" s="56">
        <v>48</v>
      </c>
      <c r="AY37" s="73" t="s">
        <v>116</v>
      </c>
      <c r="AZ37" s="52"/>
      <c r="BA37" s="52"/>
      <c r="BB37" s="54"/>
      <c r="BC37" s="57"/>
      <c r="BD37" s="52"/>
      <c r="BE37" s="54"/>
      <c r="BF37" s="57"/>
      <c r="BG37" s="52"/>
      <c r="BH37" s="54"/>
      <c r="BI37" s="52"/>
      <c r="BJ37" s="52"/>
      <c r="BK37" s="54"/>
      <c r="BL37" s="58"/>
      <c r="BM37" s="54"/>
      <c r="BN37" s="54"/>
      <c r="BO37" s="52"/>
      <c r="BP37" s="54"/>
      <c r="BQ37" s="54"/>
      <c r="BR37" s="54"/>
      <c r="BS37" s="54"/>
      <c r="BT37" s="54"/>
      <c r="BU37" s="54"/>
      <c r="BV37" s="54"/>
      <c r="BW37" s="54"/>
      <c r="BX37" s="54"/>
      <c r="BY37" s="54"/>
      <c r="BZ37" s="54"/>
      <c r="CA37" s="54"/>
      <c r="CB37" s="54"/>
      <c r="CC37" s="54"/>
      <c r="CD37" s="54"/>
      <c r="CE37" s="54"/>
      <c r="CF37" s="54"/>
      <c r="CG37" s="51"/>
      <c r="CH37" s="51"/>
      <c r="CI37" s="50"/>
      <c r="CJ37" s="51"/>
      <c r="CK37" s="51"/>
      <c r="CL37" s="50"/>
      <c r="EU37" s="31"/>
      <c r="EX37" s="31"/>
      <c r="FA37" s="31"/>
      <c r="FD37" s="31"/>
      <c r="FS37" s="31"/>
      <c r="GN37" s="31"/>
      <c r="GQ37" s="31"/>
      <c r="GT37" s="31"/>
      <c r="GW37" s="31"/>
      <c r="HL37" s="33"/>
    </row>
    <row r="38" spans="1:220" s="29" customFormat="1" ht="45" customHeight="1" x14ac:dyDescent="0.2">
      <c r="A38" s="39" t="s">
        <v>133</v>
      </c>
      <c r="B38" s="39" t="s">
        <v>134</v>
      </c>
      <c r="C38" s="39">
        <v>2013</v>
      </c>
      <c r="D38" s="40" t="s">
        <v>135</v>
      </c>
      <c r="E38" s="39" t="s">
        <v>43</v>
      </c>
      <c r="F38" s="39" t="s">
        <v>43</v>
      </c>
      <c r="G38" s="39" t="s">
        <v>136</v>
      </c>
      <c r="H38" s="39" t="s">
        <v>245</v>
      </c>
      <c r="I38" s="39" t="s">
        <v>137</v>
      </c>
      <c r="J38" s="39" t="s">
        <v>348</v>
      </c>
      <c r="K38" s="39" t="s">
        <v>450</v>
      </c>
      <c r="L38" s="39" t="s">
        <v>265</v>
      </c>
      <c r="M38" s="39" t="s">
        <v>268</v>
      </c>
      <c r="N38" s="41"/>
      <c r="O38" s="41">
        <v>1</v>
      </c>
      <c r="P38" s="41">
        <v>3</v>
      </c>
      <c r="Q38" s="41">
        <v>973</v>
      </c>
      <c r="R38" s="41">
        <v>1273</v>
      </c>
      <c r="S38" s="41"/>
      <c r="T38" s="41"/>
      <c r="U38" s="41"/>
      <c r="V38" s="41"/>
      <c r="W38" s="41"/>
      <c r="X38" s="41"/>
      <c r="Y38" s="41"/>
      <c r="Z38" s="41"/>
      <c r="AA38" s="41"/>
      <c r="AB38" s="41"/>
      <c r="AC38" s="41"/>
      <c r="AD38" s="41"/>
      <c r="AE38" s="41">
        <v>0</v>
      </c>
      <c r="AF38" s="39">
        <v>0</v>
      </c>
      <c r="AG38" s="39">
        <v>0</v>
      </c>
      <c r="AH38" s="39" t="s">
        <v>577</v>
      </c>
      <c r="AI38" s="39" t="s">
        <v>55</v>
      </c>
      <c r="AJ38" s="39"/>
      <c r="AK38" s="39"/>
      <c r="AL38" s="39"/>
      <c r="AM38" s="39"/>
      <c r="AN38" s="39" t="s">
        <v>54</v>
      </c>
      <c r="AO38" s="40" t="s">
        <v>28</v>
      </c>
      <c r="AP38" s="40"/>
      <c r="AQ38" s="42">
        <v>3.11</v>
      </c>
      <c r="AR38" s="43">
        <f>STDEV(3.11,3.06,3.04)</f>
        <v>3.60555127546398E-2</v>
      </c>
      <c r="AS38" s="40" t="s">
        <v>112</v>
      </c>
      <c r="AT38" s="45">
        <v>1.29</v>
      </c>
      <c r="AU38" s="42">
        <v>0.12</v>
      </c>
      <c r="AV38" s="40" t="s">
        <v>115</v>
      </c>
      <c r="AW38" s="44">
        <v>2.0099999999999998</v>
      </c>
      <c r="AX38" s="44">
        <v>0.56999999999999995</v>
      </c>
      <c r="AY38" s="40" t="s">
        <v>123</v>
      </c>
      <c r="AZ38" s="42"/>
      <c r="BA38" s="42"/>
      <c r="BB38" s="44"/>
      <c r="BC38" s="46"/>
      <c r="BD38" s="42"/>
      <c r="BE38" s="44"/>
      <c r="BF38" s="46"/>
      <c r="BG38" s="42"/>
      <c r="BH38" s="44"/>
      <c r="BI38" s="42"/>
      <c r="BJ38" s="42"/>
      <c r="BK38" s="44"/>
      <c r="BL38" s="47"/>
      <c r="BM38" s="44"/>
      <c r="BN38" s="44"/>
      <c r="BO38" s="42"/>
      <c r="BP38" s="44"/>
      <c r="BQ38" s="44"/>
      <c r="BR38" s="44"/>
      <c r="BS38" s="44"/>
      <c r="BT38" s="44"/>
      <c r="BU38" s="44"/>
      <c r="BV38" s="44"/>
      <c r="BW38" s="44"/>
      <c r="BX38" s="44"/>
      <c r="BY38" s="44"/>
      <c r="BZ38" s="44"/>
      <c r="CA38" s="44"/>
      <c r="CB38" s="44"/>
      <c r="CC38" s="44"/>
      <c r="CD38" s="44"/>
      <c r="CE38" s="44"/>
      <c r="CF38" s="44"/>
      <c r="CG38" s="41"/>
      <c r="CH38" s="41"/>
      <c r="CI38" s="39"/>
      <c r="CJ38" s="41"/>
      <c r="CK38" s="41"/>
      <c r="CL38" s="39"/>
      <c r="EU38" s="31"/>
      <c r="EX38" s="31"/>
      <c r="FA38" s="31"/>
      <c r="FD38" s="31"/>
      <c r="FS38" s="31"/>
      <c r="GN38" s="31"/>
      <c r="GQ38" s="31"/>
      <c r="GT38" s="31"/>
      <c r="GW38" s="31"/>
      <c r="HL38" s="33"/>
    </row>
    <row r="39" spans="1:220" s="29" customFormat="1" ht="45" customHeight="1" x14ac:dyDescent="0.2">
      <c r="A39" s="39" t="s">
        <v>104</v>
      </c>
      <c r="B39" s="39" t="s">
        <v>103</v>
      </c>
      <c r="C39" s="39">
        <v>2019</v>
      </c>
      <c r="D39" s="40" t="s">
        <v>102</v>
      </c>
      <c r="E39" s="39" t="s">
        <v>43</v>
      </c>
      <c r="F39" s="39" t="s">
        <v>43</v>
      </c>
      <c r="G39" s="39" t="s">
        <v>62</v>
      </c>
      <c r="H39" s="39" t="s">
        <v>79</v>
      </c>
      <c r="I39" s="39" t="s">
        <v>78</v>
      </c>
      <c r="J39" s="39" t="s">
        <v>327</v>
      </c>
      <c r="K39" s="39" t="s">
        <v>455</v>
      </c>
      <c r="L39" s="39" t="s">
        <v>265</v>
      </c>
      <c r="M39" s="39" t="s">
        <v>268</v>
      </c>
      <c r="N39" s="41">
        <v>1</v>
      </c>
      <c r="O39" s="41">
        <v>1</v>
      </c>
      <c r="P39" s="41">
        <v>1</v>
      </c>
      <c r="Q39" s="41">
        <v>623</v>
      </c>
      <c r="R39" s="41">
        <v>1073</v>
      </c>
      <c r="S39" s="41"/>
      <c r="T39" s="41"/>
      <c r="U39" s="41"/>
      <c r="V39" s="41"/>
      <c r="W39" s="41"/>
      <c r="X39" s="41"/>
      <c r="Y39" s="41"/>
      <c r="Z39" s="41"/>
      <c r="AA39" s="41"/>
      <c r="AB39" s="41"/>
      <c r="AC39" s="41"/>
      <c r="AD39" s="41"/>
      <c r="AE39" s="41">
        <v>40</v>
      </c>
      <c r="AF39" s="39">
        <v>245</v>
      </c>
      <c r="AG39" s="39"/>
      <c r="AH39" s="39"/>
      <c r="AI39" s="39" t="s">
        <v>66</v>
      </c>
      <c r="AJ39" s="39"/>
      <c r="AK39" s="39"/>
      <c r="AL39" s="39"/>
      <c r="AM39" s="39"/>
      <c r="AN39" s="39" t="s">
        <v>54</v>
      </c>
      <c r="AO39" s="40" t="s">
        <v>28</v>
      </c>
      <c r="AP39" s="40"/>
      <c r="AQ39" s="42">
        <v>4.37</v>
      </c>
      <c r="AR39" s="43">
        <v>0.24</v>
      </c>
      <c r="AS39" s="40" t="s">
        <v>112</v>
      </c>
      <c r="AT39" s="45">
        <v>1.07</v>
      </c>
      <c r="AU39" s="42">
        <v>0.09</v>
      </c>
      <c r="AV39" s="40" t="s">
        <v>114</v>
      </c>
      <c r="AW39" s="44">
        <v>0.93279999999999996</v>
      </c>
      <c r="AX39" s="44">
        <v>2.0729999999999998E-2</v>
      </c>
      <c r="AY39" s="40" t="s">
        <v>115</v>
      </c>
      <c r="AZ39" s="42"/>
      <c r="BA39" s="42"/>
      <c r="BB39" s="44"/>
      <c r="BC39" s="46"/>
      <c r="BD39" s="42"/>
      <c r="BE39" s="44"/>
      <c r="BF39" s="46"/>
      <c r="BG39" s="42"/>
      <c r="BH39" s="44"/>
      <c r="BI39" s="42"/>
      <c r="BJ39" s="42"/>
      <c r="BK39" s="44"/>
      <c r="BL39" s="47"/>
      <c r="BM39" s="44"/>
      <c r="BN39" s="44"/>
      <c r="BO39" s="42"/>
      <c r="BP39" s="44"/>
      <c r="BQ39" s="44"/>
      <c r="BR39" s="44"/>
      <c r="BS39" s="44"/>
      <c r="BT39" s="44"/>
      <c r="BU39" s="44"/>
      <c r="BV39" s="44"/>
      <c r="BW39" s="44"/>
      <c r="BX39" s="44"/>
      <c r="BY39" s="44"/>
      <c r="BZ39" s="44"/>
      <c r="CA39" s="44"/>
      <c r="CB39" s="44"/>
      <c r="CC39" s="44"/>
      <c r="CD39" s="44"/>
      <c r="CE39" s="44"/>
      <c r="CF39" s="44"/>
      <c r="CG39" s="41"/>
      <c r="CH39" s="41"/>
      <c r="CI39" s="39"/>
      <c r="CJ39" s="41"/>
      <c r="CK39" s="41"/>
      <c r="CL39" s="39"/>
      <c r="EU39" s="31"/>
      <c r="EX39" s="31"/>
      <c r="FA39" s="31"/>
      <c r="FD39" s="31"/>
      <c r="FS39" s="31"/>
      <c r="GN39" s="31"/>
      <c r="GQ39" s="31"/>
      <c r="GT39" s="31"/>
      <c r="GW39" s="31"/>
      <c r="HL39" s="33"/>
    </row>
    <row r="40" spans="1:220" s="38" customFormat="1" ht="45" customHeight="1" x14ac:dyDescent="0.2">
      <c r="A40" s="39" t="s">
        <v>524</v>
      </c>
      <c r="B40" s="39" t="s">
        <v>536</v>
      </c>
      <c r="C40" s="39">
        <v>2021</v>
      </c>
      <c r="D40" s="40" t="s">
        <v>525</v>
      </c>
      <c r="E40" s="39" t="s">
        <v>43</v>
      </c>
      <c r="F40" s="39" t="s">
        <v>532</v>
      </c>
      <c r="G40" s="39" t="s">
        <v>527</v>
      </c>
      <c r="H40" s="39" t="s">
        <v>538</v>
      </c>
      <c r="I40" s="39" t="s">
        <v>281</v>
      </c>
      <c r="J40" s="39" t="s">
        <v>528</v>
      </c>
      <c r="K40" s="39" t="s">
        <v>533</v>
      </c>
      <c r="L40" s="39" t="s">
        <v>265</v>
      </c>
      <c r="M40" s="39" t="s">
        <v>268</v>
      </c>
      <c r="N40" s="39">
        <v>1</v>
      </c>
      <c r="O40" s="41">
        <v>1</v>
      </c>
      <c r="P40" s="41">
        <v>1</v>
      </c>
      <c r="Q40" s="39">
        <f>350+275.15</f>
        <v>625.15</v>
      </c>
      <c r="R40" s="39">
        <f>850+275.15</f>
        <v>1125.1500000000001</v>
      </c>
      <c r="S40" s="39"/>
      <c r="T40" s="39"/>
      <c r="U40" s="39"/>
      <c r="V40" s="39"/>
      <c r="W40" s="39"/>
      <c r="X40" s="39"/>
      <c r="Y40" s="39"/>
      <c r="Z40" s="39"/>
      <c r="AA40" s="39"/>
      <c r="AB40" s="39"/>
      <c r="AC40" s="39"/>
      <c r="AD40" s="39"/>
      <c r="AE40" s="39">
        <f>0.004</f>
        <v>4.0000000000000001E-3</v>
      </c>
      <c r="AF40" s="39">
        <f>0.015</f>
        <v>1.4999999999999999E-2</v>
      </c>
      <c r="AG40" s="39"/>
      <c r="AH40" s="39" t="s">
        <v>580</v>
      </c>
      <c r="AI40" t="s">
        <v>541</v>
      </c>
      <c r="AJ40" s="39">
        <f>(55.845+16)*15.4/((55.845+16)*15.4 +9.33*(16+10.57))</f>
        <v>0.81695631085058673</v>
      </c>
      <c r="AK40" s="39">
        <f>(55.845+16)*26.58/((55.845+16)*26.55 + 6.81*(16+24.305))</f>
        <v>0.87519410284817989</v>
      </c>
      <c r="AL40" s="39"/>
      <c r="AM40" s="39" t="s">
        <v>529</v>
      </c>
      <c r="AN40" s="50" t="s">
        <v>530</v>
      </c>
      <c r="AO40" s="40" t="s">
        <v>28</v>
      </c>
      <c r="AP40" s="40" t="s">
        <v>540</v>
      </c>
      <c r="AQ40" s="42">
        <v>2589720</v>
      </c>
      <c r="AR40" s="43" t="s">
        <v>539</v>
      </c>
      <c r="AS40" s="40" t="s">
        <v>113</v>
      </c>
      <c r="AT40" s="45">
        <v>1E-4</v>
      </c>
      <c r="AU40" s="42">
        <v>0</v>
      </c>
      <c r="AV40" s="40" t="s">
        <v>537</v>
      </c>
      <c r="AW40" s="45">
        <v>8</v>
      </c>
      <c r="AX40" s="42">
        <v>1.32</v>
      </c>
      <c r="AY40" s="40" t="s">
        <v>531</v>
      </c>
      <c r="AZ40" s="44">
        <v>1</v>
      </c>
      <c r="BA40" s="44">
        <v>0</v>
      </c>
      <c r="BB40" s="44" t="s">
        <v>426</v>
      </c>
      <c r="BC40" s="46">
        <f>89*0.00008617333262/(0.00831446261815324)</f>
        <v>0.92241999939179331</v>
      </c>
      <c r="BD40" s="42">
        <f>3*0.00008617333262/(0.00831446261815324)</f>
        <v>3.1092808968262695E-2</v>
      </c>
      <c r="BE40" s="44" t="s">
        <v>115</v>
      </c>
      <c r="BF40" s="46">
        <f>4*0.00008617333262/(0.00831446261815324)</f>
        <v>4.145707862435026E-2</v>
      </c>
      <c r="BG40" s="42">
        <f>31*0.00008617333262/(0.00831446261815324)</f>
        <v>0.32129235933871453</v>
      </c>
      <c r="BH40" s="44" t="s">
        <v>116</v>
      </c>
      <c r="BI40" s="42">
        <f>1/3</f>
        <v>0.33333333333333331</v>
      </c>
      <c r="BJ40" s="42"/>
      <c r="BK40" s="44" t="s">
        <v>116</v>
      </c>
      <c r="BL40" s="46">
        <f>-100*0.00008617333262/(0.00831446261815324)</f>
        <v>-1.0364269656087564</v>
      </c>
      <c r="BM40" s="42">
        <f>9*0.00008617333262/(0.00831446261815324)</f>
        <v>9.3278426904788089E-2</v>
      </c>
      <c r="BN40" s="44" t="s">
        <v>116</v>
      </c>
      <c r="BO40" s="44">
        <f>1/3</f>
        <v>0.33333333333333331</v>
      </c>
      <c r="BP40" s="44"/>
      <c r="BQ40" s="44" t="s">
        <v>116</v>
      </c>
      <c r="BR40" s="44"/>
      <c r="BS40" s="44"/>
      <c r="BT40" s="44"/>
      <c r="BU40" s="44"/>
      <c r="BV40" s="44"/>
      <c r="BW40" s="44"/>
      <c r="BX40" s="44"/>
      <c r="BY40" s="44"/>
      <c r="BZ40" s="44"/>
      <c r="CA40" s="44"/>
      <c r="CB40" s="44"/>
      <c r="CC40" s="44"/>
      <c r="CD40" s="44"/>
      <c r="CE40" s="44"/>
      <c r="CF40" s="44"/>
      <c r="CG40" s="41"/>
      <c r="CH40" s="41"/>
      <c r="CI40" s="39"/>
      <c r="CJ40" s="41"/>
      <c r="CK40" s="41"/>
      <c r="CL40" s="39"/>
      <c r="EU40" s="60"/>
      <c r="EX40" s="60"/>
      <c r="FA40" s="60"/>
      <c r="FD40" s="60"/>
      <c r="FS40" s="60"/>
      <c r="GN40" s="60"/>
      <c r="GQ40" s="60"/>
      <c r="GT40" s="60"/>
      <c r="GW40" s="60"/>
      <c r="HL40" s="62"/>
    </row>
    <row r="41" spans="1:220" s="29" customFormat="1" ht="45" customHeight="1" x14ac:dyDescent="0.2">
      <c r="A41" s="20" t="s">
        <v>547</v>
      </c>
      <c r="B41" s="20" t="s">
        <v>548</v>
      </c>
      <c r="C41" s="20">
        <v>1983</v>
      </c>
      <c r="D41" s="21" t="s">
        <v>549</v>
      </c>
      <c r="E41" s="20" t="s">
        <v>388</v>
      </c>
      <c r="F41" s="20" t="s">
        <v>550</v>
      </c>
      <c r="G41" s="20" t="s">
        <v>191</v>
      </c>
      <c r="H41" s="20" t="s">
        <v>551</v>
      </c>
      <c r="I41" s="70" t="s">
        <v>15</v>
      </c>
      <c r="J41" s="20" t="s">
        <v>552</v>
      </c>
      <c r="K41" s="20" t="s">
        <v>553</v>
      </c>
      <c r="L41" s="20" t="s">
        <v>265</v>
      </c>
      <c r="M41" s="20" t="s">
        <v>268</v>
      </c>
      <c r="N41" s="20">
        <v>1E-4</v>
      </c>
      <c r="O41" s="20">
        <v>1E-4</v>
      </c>
      <c r="P41" s="20">
        <v>1E-4</v>
      </c>
      <c r="Q41" s="20">
        <f>500+273.15</f>
        <v>773.15</v>
      </c>
      <c r="R41" s="20">
        <f>1000+273.15</f>
        <v>1273.1500000000001</v>
      </c>
      <c r="S41" s="20"/>
      <c r="T41" s="20"/>
      <c r="U41" s="20"/>
      <c r="V41" s="20"/>
      <c r="W41" s="20"/>
      <c r="X41" s="20"/>
      <c r="Y41" s="20"/>
      <c r="Z41" s="20"/>
      <c r="AA41" s="20"/>
      <c r="AB41" s="20"/>
      <c r="AC41" s="20"/>
      <c r="AD41" s="20"/>
      <c r="AE41" s="20">
        <v>0</v>
      </c>
      <c r="AF41" s="20">
        <v>0</v>
      </c>
      <c r="AG41" s="20"/>
      <c r="AH41" s="20" t="s">
        <v>559</v>
      </c>
      <c r="AI41" s="71" t="s">
        <v>66</v>
      </c>
      <c r="AJ41" s="20"/>
      <c r="AK41" s="20"/>
      <c r="AL41" s="20"/>
      <c r="AM41" s="20"/>
      <c r="AN41" s="20" t="s">
        <v>131</v>
      </c>
      <c r="AO41" s="21" t="s">
        <v>28</v>
      </c>
      <c r="AP41" s="21" t="s">
        <v>560</v>
      </c>
      <c r="AQ41" s="22">
        <v>0.39</v>
      </c>
      <c r="AR41" s="23">
        <v>0.48</v>
      </c>
      <c r="AS41" s="21" t="s">
        <v>112</v>
      </c>
      <c r="AT41" s="25">
        <v>0.85</v>
      </c>
      <c r="AU41" s="22">
        <f>2.7*0.46*(0.372/4.32)</f>
        <v>0.10695000000000002</v>
      </c>
      <c r="AV41" s="21" t="s">
        <v>115</v>
      </c>
      <c r="AW41" s="24"/>
      <c r="AX41" s="24"/>
      <c r="AY41" s="21"/>
      <c r="AZ41" s="22"/>
      <c r="BA41" s="22"/>
      <c r="BB41" s="24"/>
      <c r="BC41" s="26"/>
      <c r="BD41" s="22"/>
      <c r="BE41" s="24"/>
      <c r="BF41" s="26"/>
      <c r="BG41" s="22"/>
      <c r="BH41" s="24"/>
      <c r="BI41" s="22"/>
      <c r="BJ41" s="22"/>
      <c r="BK41" s="24"/>
      <c r="BL41" s="27"/>
      <c r="BM41" s="24"/>
      <c r="BN41" s="24"/>
      <c r="BO41" s="22"/>
      <c r="BP41" s="24"/>
      <c r="BQ41" s="24"/>
      <c r="BR41" s="24"/>
      <c r="BS41" s="24"/>
      <c r="BT41" s="24"/>
      <c r="BU41" s="24"/>
      <c r="BV41" s="24"/>
      <c r="BW41" s="24"/>
      <c r="BX41" s="24"/>
      <c r="BY41" s="24"/>
      <c r="BZ41" s="24"/>
      <c r="CA41" s="24"/>
      <c r="CB41" s="24"/>
      <c r="CC41" s="24"/>
      <c r="CD41" s="24"/>
      <c r="CE41" s="24"/>
      <c r="CF41" s="24"/>
      <c r="CG41" s="28"/>
      <c r="CH41" s="28"/>
      <c r="CI41" s="20"/>
      <c r="CJ41" s="28"/>
      <c r="CK41" s="28"/>
      <c r="CL41" s="20"/>
      <c r="EU41" s="31"/>
      <c r="EX41" s="31"/>
      <c r="FA41" s="31"/>
      <c r="FD41" s="31"/>
      <c r="FS41" s="31"/>
      <c r="GN41" s="31"/>
      <c r="GQ41" s="31"/>
      <c r="GT41" s="31"/>
      <c r="GW41" s="31"/>
      <c r="HL41" s="33"/>
    </row>
    <row r="42" spans="1:220" s="39" customFormat="1" ht="45" customHeight="1" x14ac:dyDescent="0.2">
      <c r="A42" s="29" t="s">
        <v>89</v>
      </c>
      <c r="B42" s="29" t="s">
        <v>90</v>
      </c>
      <c r="C42" s="29">
        <v>2023</v>
      </c>
      <c r="D42" s="30" t="s">
        <v>91</v>
      </c>
      <c r="E42" s="29" t="s">
        <v>388</v>
      </c>
      <c r="F42" s="29" t="s">
        <v>93</v>
      </c>
      <c r="G42" s="29" t="s">
        <v>50</v>
      </c>
      <c r="H42" s="29" t="s">
        <v>68</v>
      </c>
      <c r="I42" s="29" t="s">
        <v>15</v>
      </c>
      <c r="J42" s="29" t="s">
        <v>291</v>
      </c>
      <c r="K42" s="29" t="s">
        <v>467</v>
      </c>
      <c r="L42" s="29" t="s">
        <v>265</v>
      </c>
      <c r="M42" s="29" t="s">
        <v>268</v>
      </c>
      <c r="N42" s="31">
        <v>1E-4</v>
      </c>
      <c r="O42" s="31"/>
      <c r="P42" s="31"/>
      <c r="Q42" s="31">
        <v>673</v>
      </c>
      <c r="R42" s="31">
        <v>773</v>
      </c>
      <c r="S42" s="31"/>
      <c r="T42" s="31"/>
      <c r="U42" s="31"/>
      <c r="V42" s="31"/>
      <c r="W42" s="31"/>
      <c r="X42" s="31"/>
      <c r="Y42" s="31"/>
      <c r="Z42" s="31"/>
      <c r="AA42" s="31"/>
      <c r="AB42" s="31"/>
      <c r="AC42" s="31"/>
      <c r="AD42" s="31"/>
      <c r="AE42" s="31"/>
      <c r="AF42" s="29"/>
      <c r="AG42" s="29">
        <v>0.222</v>
      </c>
      <c r="AH42" s="29"/>
      <c r="AI42" s="29" t="s">
        <v>66</v>
      </c>
      <c r="AJ42" s="29"/>
      <c r="AK42" s="29"/>
      <c r="AL42" s="29"/>
      <c r="AM42" s="29"/>
      <c r="AN42" s="29" t="s">
        <v>54</v>
      </c>
      <c r="AO42" s="30" t="s">
        <v>28</v>
      </c>
      <c r="AP42" s="30" t="s">
        <v>391</v>
      </c>
      <c r="AQ42" s="32">
        <v>9.9060000000000006</v>
      </c>
      <c r="AR42" s="33"/>
      <c r="AS42" s="30" t="s">
        <v>113</v>
      </c>
      <c r="AT42" s="35">
        <v>1.22</v>
      </c>
      <c r="AU42" s="32">
        <v>6.3E-2</v>
      </c>
      <c r="AV42" s="30" t="s">
        <v>115</v>
      </c>
      <c r="AW42" s="34"/>
      <c r="AX42" s="34"/>
      <c r="AY42" s="30"/>
      <c r="AZ42" s="32"/>
      <c r="BA42" s="32"/>
      <c r="BB42" s="34"/>
      <c r="BC42" s="36"/>
      <c r="BD42" s="32"/>
      <c r="BE42" s="34"/>
      <c r="BF42" s="36"/>
      <c r="BG42" s="32"/>
      <c r="BH42" s="34"/>
      <c r="BI42" s="32"/>
      <c r="BJ42" s="32"/>
      <c r="BK42" s="34"/>
      <c r="BL42" s="37"/>
      <c r="BM42" s="34"/>
      <c r="BN42" s="34"/>
      <c r="BO42" s="32"/>
      <c r="BP42" s="34"/>
      <c r="BQ42" s="34"/>
      <c r="BR42" s="34"/>
      <c r="BS42" s="34"/>
      <c r="BT42" s="34"/>
      <c r="BU42" s="34"/>
      <c r="BV42" s="34"/>
      <c r="BW42" s="34"/>
      <c r="BX42" s="34"/>
      <c r="BY42" s="34"/>
      <c r="BZ42" s="34"/>
      <c r="CA42" s="34"/>
      <c r="CB42" s="34"/>
      <c r="CC42" s="34"/>
      <c r="CD42" s="34"/>
      <c r="CE42" s="34"/>
      <c r="CF42" s="34"/>
      <c r="CG42" s="31"/>
      <c r="CH42" s="31"/>
      <c r="CI42" s="29"/>
      <c r="CJ42" s="31"/>
      <c r="CK42" s="31"/>
      <c r="CL42" s="29"/>
      <c r="EU42" s="41"/>
      <c r="EX42" s="41"/>
      <c r="FA42" s="41"/>
      <c r="FD42" s="41"/>
      <c r="FS42" s="41"/>
      <c r="GN42" s="41"/>
      <c r="GQ42" s="41"/>
      <c r="GT42" s="41"/>
      <c r="GW42" s="41"/>
      <c r="HL42" s="43"/>
    </row>
    <row r="43" spans="1:220" s="39" customFormat="1" ht="45" customHeight="1" x14ac:dyDescent="0.2">
      <c r="A43" s="29" t="s">
        <v>89</v>
      </c>
      <c r="B43" s="29" t="s">
        <v>90</v>
      </c>
      <c r="C43" s="29">
        <v>2023</v>
      </c>
      <c r="D43" s="30" t="s">
        <v>91</v>
      </c>
      <c r="E43" s="29" t="s">
        <v>388</v>
      </c>
      <c r="F43" s="29" t="s">
        <v>92</v>
      </c>
      <c r="G43" s="29" t="s">
        <v>50</v>
      </c>
      <c r="H43" s="29" t="s">
        <v>68</v>
      </c>
      <c r="I43" s="29" t="s">
        <v>15</v>
      </c>
      <c r="J43" s="29" t="s">
        <v>291</v>
      </c>
      <c r="K43" s="29" t="s">
        <v>468</v>
      </c>
      <c r="L43" s="29" t="s">
        <v>265</v>
      </c>
      <c r="M43" s="29" t="s">
        <v>268</v>
      </c>
      <c r="N43" s="31">
        <v>1</v>
      </c>
      <c r="O43" s="31"/>
      <c r="P43" s="31"/>
      <c r="Q43" s="31">
        <v>573</v>
      </c>
      <c r="R43" s="31">
        <v>873</v>
      </c>
      <c r="S43" s="31"/>
      <c r="T43" s="31"/>
      <c r="U43" s="31"/>
      <c r="V43" s="31"/>
      <c r="W43" s="31"/>
      <c r="X43" s="31"/>
      <c r="Y43" s="31"/>
      <c r="Z43" s="31"/>
      <c r="AA43" s="31"/>
      <c r="AB43" s="31"/>
      <c r="AC43" s="31"/>
      <c r="AD43" s="31"/>
      <c r="AE43" s="31"/>
      <c r="AF43" s="29"/>
      <c r="AG43" s="29">
        <v>0.5</v>
      </c>
      <c r="AH43" s="29"/>
      <c r="AI43" s="29" t="s">
        <v>66</v>
      </c>
      <c r="AJ43" s="29"/>
      <c r="AK43" s="29"/>
      <c r="AL43" s="29"/>
      <c r="AM43" s="29"/>
      <c r="AN43" s="29" t="s">
        <v>54</v>
      </c>
      <c r="AO43" s="30" t="s">
        <v>28</v>
      </c>
      <c r="AP43" s="30" t="s">
        <v>392</v>
      </c>
      <c r="AQ43" s="32">
        <v>417.44600000000003</v>
      </c>
      <c r="AR43" s="33"/>
      <c r="AS43" s="30" t="s">
        <v>113</v>
      </c>
      <c r="AT43" s="35">
        <v>0.83699999999999997</v>
      </c>
      <c r="AU43" s="32">
        <v>3.3000000000000002E-2</v>
      </c>
      <c r="AV43" s="30" t="s">
        <v>115</v>
      </c>
      <c r="AW43" s="34"/>
      <c r="AX43" s="34"/>
      <c r="AY43" s="30"/>
      <c r="AZ43" s="32"/>
      <c r="BA43" s="32"/>
      <c r="BB43" s="34"/>
      <c r="BC43" s="36"/>
      <c r="BD43" s="32"/>
      <c r="BE43" s="34"/>
      <c r="BF43" s="36"/>
      <c r="BG43" s="32"/>
      <c r="BH43" s="34"/>
      <c r="BI43" s="32"/>
      <c r="BJ43" s="32"/>
      <c r="BK43" s="34"/>
      <c r="BL43" s="37"/>
      <c r="BM43" s="34"/>
      <c r="BN43" s="34"/>
      <c r="BO43" s="32"/>
      <c r="BP43" s="34"/>
      <c r="BQ43" s="34"/>
      <c r="BR43" s="34"/>
      <c r="BS43" s="34"/>
      <c r="BT43" s="34"/>
      <c r="BU43" s="34"/>
      <c r="BV43" s="34"/>
      <c r="BW43" s="34"/>
      <c r="BX43" s="34"/>
      <c r="BY43" s="34"/>
      <c r="BZ43" s="34"/>
      <c r="CA43" s="34"/>
      <c r="CB43" s="34"/>
      <c r="CC43" s="34"/>
      <c r="CD43" s="34"/>
      <c r="CE43" s="34"/>
      <c r="CF43" s="34"/>
      <c r="CG43" s="31"/>
      <c r="CH43" s="31"/>
      <c r="CI43" s="29"/>
      <c r="CJ43" s="31"/>
      <c r="CK43" s="31"/>
      <c r="CL43" s="29"/>
      <c r="EU43" s="41"/>
      <c r="EX43" s="41"/>
      <c r="FA43" s="41"/>
      <c r="FD43" s="41"/>
      <c r="FS43" s="41"/>
      <c r="GN43" s="41"/>
      <c r="GQ43" s="41"/>
      <c r="GT43" s="41"/>
      <c r="GW43" s="41"/>
      <c r="HL43" s="43"/>
    </row>
    <row r="44" spans="1:220" s="39" customFormat="1" ht="45" customHeight="1" x14ac:dyDescent="0.2">
      <c r="A44" s="29" t="s">
        <v>89</v>
      </c>
      <c r="B44" s="29" t="s">
        <v>90</v>
      </c>
      <c r="C44" s="29">
        <v>2023</v>
      </c>
      <c r="D44" s="30" t="s">
        <v>91</v>
      </c>
      <c r="E44" s="29" t="s">
        <v>388</v>
      </c>
      <c r="F44" s="29" t="s">
        <v>92</v>
      </c>
      <c r="G44" s="29" t="s">
        <v>50</v>
      </c>
      <c r="H44" s="29" t="s">
        <v>68</v>
      </c>
      <c r="I44" s="29" t="s">
        <v>15</v>
      </c>
      <c r="J44" s="29" t="s">
        <v>291</v>
      </c>
      <c r="K44" s="29" t="s">
        <v>469</v>
      </c>
      <c r="L44" s="29" t="s">
        <v>265</v>
      </c>
      <c r="M44" s="29" t="s">
        <v>268</v>
      </c>
      <c r="N44" s="31">
        <v>1</v>
      </c>
      <c r="O44" s="31"/>
      <c r="P44" s="31"/>
      <c r="Q44" s="31">
        <v>873</v>
      </c>
      <c r="R44" s="31">
        <v>1173</v>
      </c>
      <c r="S44" s="31"/>
      <c r="T44" s="31"/>
      <c r="U44" s="31"/>
      <c r="V44" s="31"/>
      <c r="W44" s="31"/>
      <c r="X44" s="31"/>
      <c r="Y44" s="31"/>
      <c r="Z44" s="31"/>
      <c r="AA44" s="31"/>
      <c r="AB44" s="31"/>
      <c r="AC44" s="31"/>
      <c r="AD44" s="31"/>
      <c r="AE44" s="31"/>
      <c r="AF44" s="29"/>
      <c r="AG44" s="29">
        <v>0.5</v>
      </c>
      <c r="AH44" s="29"/>
      <c r="AI44" s="29" t="s">
        <v>66</v>
      </c>
      <c r="AJ44" s="29"/>
      <c r="AK44" s="29"/>
      <c r="AL44" s="29"/>
      <c r="AM44" s="29"/>
      <c r="AN44" s="29" t="s">
        <v>54</v>
      </c>
      <c r="AO44" s="30" t="s">
        <v>28</v>
      </c>
      <c r="AP44" s="30" t="s">
        <v>391</v>
      </c>
      <c r="AQ44" s="32">
        <f>POWER(10,LOG10(759.451)-0.5)</f>
        <v>240.15949312925372</v>
      </c>
      <c r="AR44" s="33"/>
      <c r="AS44" s="30" t="s">
        <v>113</v>
      </c>
      <c r="AT44" s="35">
        <v>0.77300000000000002</v>
      </c>
      <c r="AU44" s="32">
        <v>1.2E-2</v>
      </c>
      <c r="AV44" s="30" t="s">
        <v>115</v>
      </c>
      <c r="AW44" s="34"/>
      <c r="AX44" s="34"/>
      <c r="AY44" s="30"/>
      <c r="AZ44" s="32"/>
      <c r="BA44" s="32"/>
      <c r="BB44" s="34"/>
      <c r="BC44" s="36"/>
      <c r="BD44" s="32"/>
      <c r="BE44" s="34"/>
      <c r="BF44" s="36"/>
      <c r="BG44" s="32"/>
      <c r="BH44" s="34"/>
      <c r="BI44" s="32"/>
      <c r="BJ44" s="32"/>
      <c r="BK44" s="34"/>
      <c r="BL44" s="37"/>
      <c r="BM44" s="34"/>
      <c r="BN44" s="34"/>
      <c r="BO44" s="32"/>
      <c r="BP44" s="34"/>
      <c r="BQ44" s="34"/>
      <c r="BR44" s="34"/>
      <c r="BS44" s="34"/>
      <c r="BT44" s="34"/>
      <c r="BU44" s="34"/>
      <c r="BV44" s="34"/>
      <c r="BW44" s="34"/>
      <c r="BX44" s="34"/>
      <c r="BY44" s="34"/>
      <c r="BZ44" s="34"/>
      <c r="CA44" s="34"/>
      <c r="CB44" s="34"/>
      <c r="CC44" s="34"/>
      <c r="CD44" s="34"/>
      <c r="CE44" s="34"/>
      <c r="CF44" s="34"/>
      <c r="CG44" s="31"/>
      <c r="CH44" s="31"/>
      <c r="CI44" s="29"/>
      <c r="CJ44" s="31"/>
      <c r="CK44" s="31"/>
      <c r="CL44" s="29"/>
      <c r="EU44" s="41"/>
      <c r="EX44" s="41"/>
      <c r="FA44" s="41"/>
      <c r="FD44" s="41"/>
      <c r="FS44" s="41"/>
      <c r="GN44" s="41"/>
      <c r="GQ44" s="41"/>
      <c r="GT44" s="41"/>
      <c r="GW44" s="41"/>
      <c r="HL44" s="43"/>
    </row>
    <row r="45" spans="1:220" s="39" customFormat="1" ht="45" customHeight="1" x14ac:dyDescent="0.2">
      <c r="A45" s="29" t="s">
        <v>89</v>
      </c>
      <c r="B45" s="29" t="s">
        <v>90</v>
      </c>
      <c r="C45" s="29">
        <v>2023</v>
      </c>
      <c r="D45" s="30" t="s">
        <v>91</v>
      </c>
      <c r="E45" s="29" t="s">
        <v>388</v>
      </c>
      <c r="F45" s="29" t="s">
        <v>335</v>
      </c>
      <c r="G45" s="29" t="s">
        <v>94</v>
      </c>
      <c r="H45" s="29" t="s">
        <v>68</v>
      </c>
      <c r="I45" s="29" t="s">
        <v>15</v>
      </c>
      <c r="J45" s="29" t="s">
        <v>291</v>
      </c>
      <c r="K45" s="29" t="s">
        <v>470</v>
      </c>
      <c r="L45" s="29" t="s">
        <v>265</v>
      </c>
      <c r="M45" s="29" t="s">
        <v>268</v>
      </c>
      <c r="N45" s="31">
        <v>1</v>
      </c>
      <c r="O45" s="31"/>
      <c r="P45" s="31"/>
      <c r="Q45" s="31">
        <v>573</v>
      </c>
      <c r="R45" s="31">
        <v>873</v>
      </c>
      <c r="S45" s="31"/>
      <c r="T45" s="31"/>
      <c r="U45" s="31"/>
      <c r="V45" s="31"/>
      <c r="W45" s="31"/>
      <c r="X45" s="31"/>
      <c r="Y45" s="31"/>
      <c r="Z45" s="31"/>
      <c r="AA45" s="31"/>
      <c r="AB45" s="31"/>
      <c r="AC45" s="31"/>
      <c r="AD45" s="31"/>
      <c r="AE45" s="31"/>
      <c r="AF45" s="29"/>
      <c r="AG45" s="29">
        <v>0.46100000000000002</v>
      </c>
      <c r="AH45" s="29"/>
      <c r="AI45" s="29" t="s">
        <v>66</v>
      </c>
      <c r="AJ45" s="29"/>
      <c r="AK45" s="29"/>
      <c r="AL45" s="29"/>
      <c r="AM45" s="29"/>
      <c r="AN45" s="29" t="s">
        <v>54</v>
      </c>
      <c r="AO45" s="30" t="s">
        <v>28</v>
      </c>
      <c r="AP45" s="30" t="s">
        <v>391</v>
      </c>
      <c r="AQ45" s="32">
        <v>4.9349999999999996</v>
      </c>
      <c r="AR45" s="33"/>
      <c r="AS45" s="30" t="s">
        <v>113</v>
      </c>
      <c r="AT45" s="35">
        <v>0.82399999999999995</v>
      </c>
      <c r="AU45" s="32">
        <v>3.5000000000000003E-2</v>
      </c>
      <c r="AV45" s="30" t="s">
        <v>115</v>
      </c>
      <c r="AW45" s="34"/>
      <c r="AX45" s="34"/>
      <c r="AY45" s="30"/>
      <c r="AZ45" s="32"/>
      <c r="BA45" s="32"/>
      <c r="BB45" s="34"/>
      <c r="BC45" s="36"/>
      <c r="BD45" s="32"/>
      <c r="BE45" s="34"/>
      <c r="BF45" s="36"/>
      <c r="BG45" s="32"/>
      <c r="BH45" s="34"/>
      <c r="BI45" s="32"/>
      <c r="BJ45" s="32"/>
      <c r="BK45" s="34"/>
      <c r="BL45" s="37"/>
      <c r="BM45" s="34"/>
      <c r="BN45" s="34"/>
      <c r="BO45" s="32"/>
      <c r="BP45" s="34"/>
      <c r="BQ45" s="34"/>
      <c r="BR45" s="34"/>
      <c r="BS45" s="34"/>
      <c r="BT45" s="34"/>
      <c r="BU45" s="34"/>
      <c r="BV45" s="34"/>
      <c r="BW45" s="34"/>
      <c r="BX45" s="34"/>
      <c r="BY45" s="34"/>
      <c r="BZ45" s="34"/>
      <c r="CA45" s="34"/>
      <c r="CB45" s="34"/>
      <c r="CC45" s="34"/>
      <c r="CD45" s="34"/>
      <c r="CE45" s="34"/>
      <c r="CF45" s="34"/>
      <c r="CG45" s="31"/>
      <c r="CH45" s="31"/>
      <c r="CI45" s="29"/>
      <c r="CJ45" s="31"/>
      <c r="CK45" s="31"/>
      <c r="CL45" s="29"/>
      <c r="EU45" s="41"/>
      <c r="EX45" s="41"/>
      <c r="FA45" s="41"/>
      <c r="FD45" s="41"/>
      <c r="FS45" s="41"/>
      <c r="GN45" s="41"/>
      <c r="GQ45" s="41"/>
      <c r="GT45" s="41"/>
      <c r="GW45" s="41"/>
      <c r="HL45" s="43"/>
    </row>
    <row r="46" spans="1:220" s="39" customFormat="1" ht="45" customHeight="1" x14ac:dyDescent="0.2">
      <c r="A46" s="29" t="s">
        <v>89</v>
      </c>
      <c r="B46" s="29" t="s">
        <v>90</v>
      </c>
      <c r="C46" s="29">
        <v>2023</v>
      </c>
      <c r="D46" s="30" t="s">
        <v>91</v>
      </c>
      <c r="E46" s="29" t="s">
        <v>388</v>
      </c>
      <c r="F46" s="29" t="s">
        <v>335</v>
      </c>
      <c r="G46" s="29" t="s">
        <v>94</v>
      </c>
      <c r="H46" s="29" t="s">
        <v>68</v>
      </c>
      <c r="I46" s="29" t="s">
        <v>15</v>
      </c>
      <c r="J46" s="29" t="s">
        <v>291</v>
      </c>
      <c r="K46" s="29" t="s">
        <v>471</v>
      </c>
      <c r="L46" s="29" t="s">
        <v>265</v>
      </c>
      <c r="M46" s="29" t="s">
        <v>268</v>
      </c>
      <c r="N46" s="31">
        <v>1</v>
      </c>
      <c r="O46" s="31"/>
      <c r="P46" s="31"/>
      <c r="Q46" s="31">
        <v>873</v>
      </c>
      <c r="R46" s="31">
        <v>1173</v>
      </c>
      <c r="S46" s="31"/>
      <c r="T46" s="31"/>
      <c r="U46" s="31"/>
      <c r="V46" s="31"/>
      <c r="W46" s="31"/>
      <c r="X46" s="31"/>
      <c r="Y46" s="31"/>
      <c r="Z46" s="31"/>
      <c r="AA46" s="31"/>
      <c r="AB46" s="31"/>
      <c r="AC46" s="31"/>
      <c r="AD46" s="31"/>
      <c r="AE46" s="31"/>
      <c r="AF46" s="29"/>
      <c r="AG46" s="29">
        <v>0.1</v>
      </c>
      <c r="AH46" s="29"/>
      <c r="AI46" s="29" t="s">
        <v>66</v>
      </c>
      <c r="AJ46" s="29"/>
      <c r="AK46" s="29"/>
      <c r="AL46" s="29"/>
      <c r="AM46" s="29"/>
      <c r="AN46" s="29" t="s">
        <v>54</v>
      </c>
      <c r="AO46" s="30" t="s">
        <v>28</v>
      </c>
      <c r="AP46" s="30" t="s">
        <v>391</v>
      </c>
      <c r="AQ46" s="32">
        <v>210.08699999999999</v>
      </c>
      <c r="AR46" s="33"/>
      <c r="AS46" s="30" t="s">
        <v>113</v>
      </c>
      <c r="AT46" s="35">
        <v>1.085</v>
      </c>
      <c r="AU46" s="32">
        <v>6.8000000000000005E-2</v>
      </c>
      <c r="AV46" s="30" t="s">
        <v>115</v>
      </c>
      <c r="AW46" s="34"/>
      <c r="AX46" s="34"/>
      <c r="AY46" s="30"/>
      <c r="AZ46" s="32"/>
      <c r="BA46" s="32"/>
      <c r="BB46" s="34"/>
      <c r="BC46" s="36"/>
      <c r="BD46" s="32"/>
      <c r="BE46" s="34"/>
      <c r="BF46" s="36"/>
      <c r="BG46" s="32"/>
      <c r="BH46" s="34"/>
      <c r="BI46" s="32"/>
      <c r="BJ46" s="32"/>
      <c r="BK46" s="34"/>
      <c r="BL46" s="37"/>
      <c r="BM46" s="34"/>
      <c r="BN46" s="34"/>
      <c r="BO46" s="32"/>
      <c r="BP46" s="34"/>
      <c r="BQ46" s="34"/>
      <c r="BR46" s="34"/>
      <c r="BS46" s="34"/>
      <c r="BT46" s="34"/>
      <c r="BU46" s="34"/>
      <c r="BV46" s="34"/>
      <c r="BW46" s="34"/>
      <c r="BX46" s="34"/>
      <c r="BY46" s="34"/>
      <c r="BZ46" s="34"/>
      <c r="CA46" s="34"/>
      <c r="CB46" s="34"/>
      <c r="CC46" s="34"/>
      <c r="CD46" s="34"/>
      <c r="CE46" s="34"/>
      <c r="CF46" s="34"/>
      <c r="CG46" s="31"/>
      <c r="CH46" s="31"/>
      <c r="CI46" s="29"/>
      <c r="CJ46" s="31"/>
      <c r="CK46" s="31"/>
      <c r="CL46" s="29"/>
      <c r="EU46" s="41"/>
      <c r="EX46" s="41"/>
      <c r="FA46" s="41"/>
      <c r="FD46" s="41"/>
      <c r="FS46" s="41"/>
      <c r="GN46" s="41"/>
      <c r="GQ46" s="41"/>
      <c r="GT46" s="41"/>
      <c r="GW46" s="41"/>
      <c r="HL46" s="43"/>
    </row>
    <row r="47" spans="1:220" s="39" customFormat="1" ht="45" customHeight="1" x14ac:dyDescent="0.2">
      <c r="A47" s="39" t="s">
        <v>6</v>
      </c>
      <c r="B47" s="39" t="s">
        <v>8</v>
      </c>
      <c r="C47" s="39">
        <v>2019</v>
      </c>
      <c r="D47" s="40" t="s">
        <v>7</v>
      </c>
      <c r="E47" s="39" t="s">
        <v>389</v>
      </c>
      <c r="F47" s="39" t="s">
        <v>86</v>
      </c>
      <c r="G47" s="39" t="s">
        <v>50</v>
      </c>
      <c r="H47" s="39" t="s">
        <v>68</v>
      </c>
      <c r="I47" s="39" t="s">
        <v>15</v>
      </c>
      <c r="J47" s="39" t="s">
        <v>290</v>
      </c>
      <c r="K47" s="39" t="s">
        <v>473</v>
      </c>
      <c r="L47" s="39" t="s">
        <v>265</v>
      </c>
      <c r="M47" s="39" t="s">
        <v>268</v>
      </c>
      <c r="N47" s="41">
        <v>2</v>
      </c>
      <c r="O47" s="41"/>
      <c r="P47" s="41"/>
      <c r="Q47" s="41">
        <v>623</v>
      </c>
      <c r="R47" s="41">
        <v>1073</v>
      </c>
      <c r="S47" s="41"/>
      <c r="T47" s="41"/>
      <c r="U47" s="41"/>
      <c r="V47" s="41"/>
      <c r="W47" s="41"/>
      <c r="X47" s="41"/>
      <c r="Y47" s="41"/>
      <c r="Z47" s="41"/>
      <c r="AA47" s="41"/>
      <c r="AB47" s="41"/>
      <c r="AC47" s="41"/>
      <c r="AD47" s="41"/>
      <c r="AE47" s="41"/>
      <c r="AG47" s="39">
        <v>0.59</v>
      </c>
      <c r="AH47" s="39" t="s">
        <v>578</v>
      </c>
      <c r="AI47" s="39" t="s">
        <v>66</v>
      </c>
      <c r="AN47" s="39" t="s">
        <v>54</v>
      </c>
      <c r="AO47" s="40" t="s">
        <v>28</v>
      </c>
      <c r="AP47" s="40"/>
      <c r="AQ47" s="42">
        <v>2.19</v>
      </c>
      <c r="AR47" s="43">
        <v>0.01</v>
      </c>
      <c r="AS47" s="40" t="s">
        <v>112</v>
      </c>
      <c r="AT47" s="45">
        <v>0.68</v>
      </c>
      <c r="AU47" s="42">
        <v>0.01</v>
      </c>
      <c r="AV47" s="40" t="s">
        <v>115</v>
      </c>
      <c r="AW47" s="44"/>
      <c r="AX47" s="44"/>
      <c r="AY47" s="40"/>
      <c r="AZ47" s="42"/>
      <c r="BA47" s="42"/>
      <c r="BB47" s="44"/>
      <c r="BC47" s="46"/>
      <c r="BD47" s="42"/>
      <c r="BE47" s="44"/>
      <c r="BF47" s="46"/>
      <c r="BG47" s="42"/>
      <c r="BH47" s="44"/>
      <c r="BI47" s="42"/>
      <c r="BJ47" s="42"/>
      <c r="BK47" s="44"/>
      <c r="BL47" s="47"/>
      <c r="BM47" s="44"/>
      <c r="BN47" s="44"/>
      <c r="BO47" s="42"/>
      <c r="BP47" s="44"/>
      <c r="BQ47" s="44"/>
      <c r="BR47" s="44"/>
      <c r="BS47" s="44"/>
      <c r="BT47" s="44"/>
      <c r="BU47" s="44"/>
      <c r="BV47" s="44"/>
      <c r="BW47" s="44"/>
      <c r="BX47" s="44"/>
      <c r="BY47" s="44"/>
      <c r="BZ47" s="44"/>
      <c r="CA47" s="44"/>
      <c r="CB47" s="44"/>
      <c r="CC47" s="44"/>
      <c r="CD47" s="44"/>
      <c r="CE47" s="44"/>
      <c r="CF47" s="44"/>
      <c r="CG47" s="41"/>
      <c r="CH47" s="41"/>
      <c r="CJ47" s="41"/>
      <c r="CK47" s="41"/>
      <c r="EU47" s="41"/>
      <c r="EX47" s="41"/>
      <c r="FA47" s="41"/>
      <c r="FD47" s="41"/>
      <c r="FS47" s="41"/>
      <c r="GN47" s="41"/>
      <c r="GQ47" s="41"/>
      <c r="GT47" s="41"/>
      <c r="GW47" s="41"/>
      <c r="HL47" s="43"/>
    </row>
    <row r="48" spans="1:220" s="39" customFormat="1" ht="45" customHeight="1" x14ac:dyDescent="0.2">
      <c r="A48" s="39" t="s">
        <v>6</v>
      </c>
      <c r="B48" s="39" t="s">
        <v>8</v>
      </c>
      <c r="C48" s="39">
        <v>2019</v>
      </c>
      <c r="D48" s="40" t="s">
        <v>7</v>
      </c>
      <c r="E48" s="39" t="s">
        <v>389</v>
      </c>
      <c r="F48" s="39" t="s">
        <v>87</v>
      </c>
      <c r="G48" s="39" t="s">
        <v>50</v>
      </c>
      <c r="H48" s="39" t="s">
        <v>68</v>
      </c>
      <c r="I48" s="39" t="s">
        <v>15</v>
      </c>
      <c r="J48" s="39" t="s">
        <v>290</v>
      </c>
      <c r="K48" s="39" t="s">
        <v>474</v>
      </c>
      <c r="L48" s="39" t="s">
        <v>265</v>
      </c>
      <c r="M48" s="39" t="s">
        <v>268</v>
      </c>
      <c r="N48" s="41">
        <v>2</v>
      </c>
      <c r="O48" s="41"/>
      <c r="P48" s="41"/>
      <c r="Q48" s="41">
        <v>623</v>
      </c>
      <c r="R48" s="41">
        <v>1073</v>
      </c>
      <c r="S48" s="41"/>
      <c r="T48" s="41"/>
      <c r="U48" s="41"/>
      <c r="V48" s="41"/>
      <c r="W48" s="41"/>
      <c r="X48" s="41"/>
      <c r="Y48" s="41"/>
      <c r="Z48" s="41"/>
      <c r="AA48" s="41"/>
      <c r="AB48" s="41"/>
      <c r="AC48" s="41"/>
      <c r="AD48" s="41"/>
      <c r="AE48" s="41"/>
      <c r="AG48" s="39">
        <f>8.75*0.035</f>
        <v>0.30625000000000002</v>
      </c>
      <c r="AH48" s="39" t="s">
        <v>578</v>
      </c>
      <c r="AI48" s="39" t="s">
        <v>66</v>
      </c>
      <c r="AN48" s="39" t="s">
        <v>54</v>
      </c>
      <c r="AO48" s="40" t="s">
        <v>28</v>
      </c>
      <c r="AP48" s="40"/>
      <c r="AQ48" s="42">
        <v>1.01</v>
      </c>
      <c r="AR48" s="43">
        <v>-0.05</v>
      </c>
      <c r="AS48" s="40" t="s">
        <v>112</v>
      </c>
      <c r="AT48" s="45">
        <v>0.61</v>
      </c>
      <c r="AU48" s="42">
        <v>0.01</v>
      </c>
      <c r="AV48" s="40" t="s">
        <v>115</v>
      </c>
      <c r="AW48" s="44"/>
      <c r="AX48" s="44"/>
      <c r="AY48" s="40"/>
      <c r="AZ48" s="42"/>
      <c r="BA48" s="42"/>
      <c r="BB48" s="44"/>
      <c r="BC48" s="46"/>
      <c r="BD48" s="42"/>
      <c r="BE48" s="44"/>
      <c r="BF48" s="46"/>
      <c r="BG48" s="42"/>
      <c r="BH48" s="44"/>
      <c r="BI48" s="42"/>
      <c r="BJ48" s="42"/>
      <c r="BK48" s="44"/>
      <c r="BL48" s="47"/>
      <c r="BM48" s="44"/>
      <c r="BN48" s="44"/>
      <c r="BO48" s="42"/>
      <c r="BP48" s="44"/>
      <c r="BQ48" s="44"/>
      <c r="BR48" s="44"/>
      <c r="BS48" s="44"/>
      <c r="BT48" s="44"/>
      <c r="BU48" s="44"/>
      <c r="BV48" s="44"/>
      <c r="BW48" s="44"/>
      <c r="BX48" s="44"/>
      <c r="BY48" s="44"/>
      <c r="BZ48" s="44"/>
      <c r="CA48" s="44"/>
      <c r="CB48" s="44"/>
      <c r="CC48" s="44"/>
      <c r="CD48" s="44"/>
      <c r="CE48" s="44"/>
      <c r="CF48" s="44"/>
      <c r="CG48" s="41"/>
      <c r="CH48" s="41"/>
      <c r="CJ48" s="41"/>
      <c r="CK48" s="41"/>
      <c r="EU48" s="41"/>
      <c r="EX48" s="41"/>
      <c r="FA48" s="41"/>
      <c r="FD48" s="41"/>
      <c r="FS48" s="41"/>
      <c r="GN48" s="41"/>
      <c r="GQ48" s="41"/>
      <c r="GT48" s="41"/>
      <c r="GW48" s="41"/>
      <c r="HL48" s="43"/>
    </row>
    <row r="49" spans="1:220" s="39" customFormat="1" ht="45" customHeight="1" x14ac:dyDescent="0.2">
      <c r="A49" s="39" t="s">
        <v>6</v>
      </c>
      <c r="B49" s="39" t="s">
        <v>8</v>
      </c>
      <c r="C49" s="39">
        <v>2019</v>
      </c>
      <c r="D49" s="40" t="s">
        <v>7</v>
      </c>
      <c r="E49" s="39" t="s">
        <v>389</v>
      </c>
      <c r="F49" s="39" t="s">
        <v>87</v>
      </c>
      <c r="G49" s="39" t="s">
        <v>50</v>
      </c>
      <c r="H49" s="39" t="s">
        <v>68</v>
      </c>
      <c r="I49" s="39" t="s">
        <v>15</v>
      </c>
      <c r="J49" s="39" t="s">
        <v>290</v>
      </c>
      <c r="K49" s="39" t="s">
        <v>475</v>
      </c>
      <c r="L49" s="39" t="s">
        <v>265</v>
      </c>
      <c r="M49" s="39" t="s">
        <v>268</v>
      </c>
      <c r="N49" s="41">
        <v>1</v>
      </c>
      <c r="O49" s="41"/>
      <c r="P49" s="41"/>
      <c r="Q49" s="41">
        <v>623</v>
      </c>
      <c r="R49" s="41">
        <v>773</v>
      </c>
      <c r="S49" s="41"/>
      <c r="T49" s="41"/>
      <c r="U49" s="41"/>
      <c r="V49" s="41"/>
      <c r="W49" s="41"/>
      <c r="X49" s="41"/>
      <c r="Y49" s="41"/>
      <c r="Z49" s="41"/>
      <c r="AA49" s="41"/>
      <c r="AB49" s="41"/>
      <c r="AC49" s="41"/>
      <c r="AD49" s="41"/>
      <c r="AE49" s="41"/>
      <c r="AG49" s="39">
        <f>8.75*0.035</f>
        <v>0.30625000000000002</v>
      </c>
      <c r="AH49" s="39" t="s">
        <v>578</v>
      </c>
      <c r="AI49" s="39" t="s">
        <v>66</v>
      </c>
      <c r="AN49" s="39" t="s">
        <v>54</v>
      </c>
      <c r="AO49" s="40" t="s">
        <v>28</v>
      </c>
      <c r="AP49" s="40"/>
      <c r="AQ49" s="42">
        <v>-0.56000000000000005</v>
      </c>
      <c r="AR49" s="43">
        <v>7.0000000000000007E-2</v>
      </c>
      <c r="AS49" s="40" t="s">
        <v>112</v>
      </c>
      <c r="AT49" s="45">
        <v>0.36</v>
      </c>
      <c r="AU49" s="42">
        <v>0.01</v>
      </c>
      <c r="AV49" s="40" t="s">
        <v>115</v>
      </c>
      <c r="AW49" s="44"/>
      <c r="AX49" s="44"/>
      <c r="AY49" s="40"/>
      <c r="AZ49" s="42"/>
      <c r="BA49" s="42"/>
      <c r="BB49" s="44"/>
      <c r="BC49" s="46"/>
      <c r="BD49" s="42"/>
      <c r="BE49" s="44"/>
      <c r="BF49" s="46"/>
      <c r="BG49" s="42"/>
      <c r="BH49" s="44"/>
      <c r="BI49" s="42"/>
      <c r="BJ49" s="42"/>
      <c r="BK49" s="44"/>
      <c r="BL49" s="47"/>
      <c r="BM49" s="44"/>
      <c r="BN49" s="44"/>
      <c r="BO49" s="42"/>
      <c r="BP49" s="44"/>
      <c r="BQ49" s="44"/>
      <c r="BR49" s="44"/>
      <c r="BS49" s="44"/>
      <c r="BT49" s="44"/>
      <c r="BU49" s="44"/>
      <c r="BV49" s="44"/>
      <c r="BW49" s="44"/>
      <c r="BX49" s="44"/>
      <c r="BY49" s="44"/>
      <c r="BZ49" s="44"/>
      <c r="CA49" s="44"/>
      <c r="CB49" s="44"/>
      <c r="CC49" s="44"/>
      <c r="CD49" s="44"/>
      <c r="CE49" s="44"/>
      <c r="CF49" s="44"/>
      <c r="CG49" s="41"/>
      <c r="CH49" s="41"/>
      <c r="CJ49" s="41"/>
      <c r="CK49" s="41"/>
      <c r="EU49" s="41"/>
      <c r="EX49" s="41"/>
      <c r="FA49" s="41"/>
      <c r="FD49" s="41"/>
      <c r="FS49" s="41"/>
      <c r="GN49" s="41"/>
      <c r="GQ49" s="41"/>
      <c r="GT49" s="41"/>
      <c r="GW49" s="41"/>
      <c r="HL49" s="43"/>
    </row>
    <row r="50" spans="1:220" s="29" customFormat="1" ht="45" customHeight="1" x14ac:dyDescent="0.2">
      <c r="A50" s="39" t="s">
        <v>6</v>
      </c>
      <c r="B50" s="39" t="s">
        <v>8</v>
      </c>
      <c r="C50" s="39">
        <v>2019</v>
      </c>
      <c r="D50" s="40" t="s">
        <v>7</v>
      </c>
      <c r="E50" s="39" t="s">
        <v>389</v>
      </c>
      <c r="F50" s="39" t="s">
        <v>87</v>
      </c>
      <c r="G50" s="39" t="s">
        <v>50</v>
      </c>
      <c r="H50" s="39" t="s">
        <v>68</v>
      </c>
      <c r="I50" s="39" t="s">
        <v>15</v>
      </c>
      <c r="J50" s="39" t="s">
        <v>290</v>
      </c>
      <c r="K50" s="39" t="s">
        <v>476</v>
      </c>
      <c r="L50" s="39" t="s">
        <v>265</v>
      </c>
      <c r="M50" s="39" t="s">
        <v>268</v>
      </c>
      <c r="N50" s="41">
        <v>1</v>
      </c>
      <c r="O50" s="41"/>
      <c r="P50" s="41"/>
      <c r="Q50" s="41">
        <v>823</v>
      </c>
      <c r="R50" s="41">
        <v>1073</v>
      </c>
      <c r="S50" s="41"/>
      <c r="T50" s="41"/>
      <c r="U50" s="41"/>
      <c r="V50" s="41"/>
      <c r="W50" s="41"/>
      <c r="X50" s="41"/>
      <c r="Y50" s="41"/>
      <c r="Z50" s="41"/>
      <c r="AA50" s="41"/>
      <c r="AB50" s="41"/>
      <c r="AC50" s="41"/>
      <c r="AD50" s="41"/>
      <c r="AE50" s="41"/>
      <c r="AF50" s="39"/>
      <c r="AG50" s="39">
        <f>8.75*0.035</f>
        <v>0.30625000000000002</v>
      </c>
      <c r="AH50" s="39" t="s">
        <v>578</v>
      </c>
      <c r="AI50" s="39" t="s">
        <v>66</v>
      </c>
      <c r="AJ50" s="39"/>
      <c r="AK50" s="39"/>
      <c r="AL50" s="39"/>
      <c r="AM50" s="39"/>
      <c r="AN50" s="39" t="s">
        <v>54</v>
      </c>
      <c r="AO50" s="40" t="s">
        <v>28</v>
      </c>
      <c r="AP50" s="40"/>
      <c r="AQ50" s="42">
        <v>1.08</v>
      </c>
      <c r="AR50" s="43">
        <v>0.03</v>
      </c>
      <c r="AS50" s="40" t="s">
        <v>112</v>
      </c>
      <c r="AT50" s="45">
        <v>0.62</v>
      </c>
      <c r="AU50" s="42">
        <v>0.01</v>
      </c>
      <c r="AV50" s="40" t="s">
        <v>115</v>
      </c>
      <c r="AW50" s="44"/>
      <c r="AX50" s="44"/>
      <c r="AY50" s="40"/>
      <c r="AZ50" s="42"/>
      <c r="BA50" s="42"/>
      <c r="BB50" s="44"/>
      <c r="BC50" s="46"/>
      <c r="BD50" s="42"/>
      <c r="BE50" s="44"/>
      <c r="BF50" s="46"/>
      <c r="BG50" s="42"/>
      <c r="BH50" s="44"/>
      <c r="BI50" s="42"/>
      <c r="BJ50" s="42"/>
      <c r="BK50" s="44"/>
      <c r="BL50" s="47"/>
      <c r="BM50" s="44"/>
      <c r="BN50" s="44"/>
      <c r="BO50" s="42"/>
      <c r="BP50" s="44"/>
      <c r="BQ50" s="44"/>
      <c r="BR50" s="44"/>
      <c r="BS50" s="44"/>
      <c r="BT50" s="44"/>
      <c r="BU50" s="44"/>
      <c r="BV50" s="44"/>
      <c r="BW50" s="44"/>
      <c r="BX50" s="44"/>
      <c r="BY50" s="44"/>
      <c r="BZ50" s="44"/>
      <c r="CA50" s="44"/>
      <c r="CB50" s="44"/>
      <c r="CC50" s="44"/>
      <c r="CD50" s="44"/>
      <c r="CE50" s="44"/>
      <c r="CF50" s="44"/>
      <c r="CG50" s="41"/>
      <c r="CH50" s="41"/>
      <c r="CI50" s="39"/>
      <c r="CJ50" s="41"/>
      <c r="CK50" s="41"/>
      <c r="CL50" s="39"/>
      <c r="EU50" s="31"/>
      <c r="EX50" s="31"/>
      <c r="FA50" s="31"/>
      <c r="FD50" s="31"/>
      <c r="FS50" s="31"/>
      <c r="GN50" s="31"/>
      <c r="GQ50" s="31"/>
      <c r="GT50" s="31"/>
      <c r="GW50" s="31"/>
      <c r="HL50" s="33"/>
    </row>
    <row r="51" spans="1:220" s="29" customFormat="1" ht="45" customHeight="1" x14ac:dyDescent="0.2">
      <c r="A51" s="39" t="s">
        <v>6</v>
      </c>
      <c r="B51" s="39" t="s">
        <v>8</v>
      </c>
      <c r="C51" s="39">
        <v>2019</v>
      </c>
      <c r="D51" s="40" t="s">
        <v>7</v>
      </c>
      <c r="E51" s="39" t="s">
        <v>389</v>
      </c>
      <c r="F51" s="39" t="s">
        <v>88</v>
      </c>
      <c r="G51" s="39" t="s">
        <v>50</v>
      </c>
      <c r="H51" s="39" t="s">
        <v>68</v>
      </c>
      <c r="I51" s="39" t="s">
        <v>15</v>
      </c>
      <c r="J51" s="39" t="s">
        <v>290</v>
      </c>
      <c r="K51" s="39" t="s">
        <v>477</v>
      </c>
      <c r="L51" s="39" t="s">
        <v>265</v>
      </c>
      <c r="M51" s="39" t="s">
        <v>268</v>
      </c>
      <c r="N51" s="41">
        <v>2</v>
      </c>
      <c r="O51" s="41"/>
      <c r="P51" s="41"/>
      <c r="Q51" s="41">
        <v>623</v>
      </c>
      <c r="R51" s="41">
        <v>723</v>
      </c>
      <c r="S51" s="41"/>
      <c r="T51" s="41"/>
      <c r="U51" s="41"/>
      <c r="V51" s="41"/>
      <c r="W51" s="41"/>
      <c r="X51" s="41"/>
      <c r="Y51" s="41"/>
      <c r="Z51" s="41"/>
      <c r="AA51" s="41"/>
      <c r="AB51" s="41"/>
      <c r="AC51" s="41"/>
      <c r="AD51" s="41"/>
      <c r="AE51" s="41"/>
      <c r="AF51" s="39"/>
      <c r="AG51" s="39">
        <v>0.22</v>
      </c>
      <c r="AH51" s="39" t="s">
        <v>578</v>
      </c>
      <c r="AI51" s="39" t="s">
        <v>66</v>
      </c>
      <c r="AJ51" s="39"/>
      <c r="AK51" s="39"/>
      <c r="AL51" s="39"/>
      <c r="AM51" s="39"/>
      <c r="AN51" s="39" t="s">
        <v>54</v>
      </c>
      <c r="AO51" s="40" t="s">
        <v>28</v>
      </c>
      <c r="AP51" s="40"/>
      <c r="AQ51" s="42">
        <v>-0.46</v>
      </c>
      <c r="AR51" s="43">
        <v>0.18</v>
      </c>
      <c r="AS51" s="40" t="s">
        <v>112</v>
      </c>
      <c r="AT51" s="45">
        <v>0.42</v>
      </c>
      <c r="AU51" s="42">
        <v>0.02</v>
      </c>
      <c r="AV51" s="40" t="s">
        <v>115</v>
      </c>
      <c r="AW51" s="44"/>
      <c r="AX51" s="44"/>
      <c r="AY51" s="40"/>
      <c r="AZ51" s="42"/>
      <c r="BA51" s="42"/>
      <c r="BB51" s="44"/>
      <c r="BC51" s="46"/>
      <c r="BD51" s="42"/>
      <c r="BE51" s="44"/>
      <c r="BF51" s="46"/>
      <c r="BG51" s="42"/>
      <c r="BH51" s="44"/>
      <c r="BI51" s="42"/>
      <c r="BJ51" s="42"/>
      <c r="BK51" s="44"/>
      <c r="BL51" s="47"/>
      <c r="BM51" s="44"/>
      <c r="BN51" s="44"/>
      <c r="BO51" s="42"/>
      <c r="BP51" s="44"/>
      <c r="BQ51" s="44"/>
      <c r="BR51" s="44"/>
      <c r="BS51" s="44"/>
      <c r="BT51" s="44"/>
      <c r="BU51" s="44"/>
      <c r="BV51" s="44"/>
      <c r="BW51" s="44"/>
      <c r="BX51" s="44"/>
      <c r="BY51" s="44"/>
      <c r="BZ51" s="44"/>
      <c r="CA51" s="44"/>
      <c r="CB51" s="44"/>
      <c r="CC51" s="44"/>
      <c r="CD51" s="44"/>
      <c r="CE51" s="44"/>
      <c r="CF51" s="44"/>
      <c r="CG51" s="41"/>
      <c r="CH51" s="41"/>
      <c r="CI51" s="39"/>
      <c r="CJ51" s="41"/>
      <c r="CK51" s="41"/>
      <c r="CL51" s="39"/>
      <c r="EU51" s="31"/>
      <c r="EX51" s="31"/>
      <c r="FA51" s="31"/>
      <c r="FD51" s="31"/>
      <c r="FS51" s="31"/>
      <c r="GN51" s="31"/>
      <c r="GQ51" s="31"/>
      <c r="GT51" s="31"/>
      <c r="GW51" s="31"/>
      <c r="HL51" s="33"/>
    </row>
    <row r="52" spans="1:220" s="29" customFormat="1" ht="45" customHeight="1" x14ac:dyDescent="0.2">
      <c r="A52" s="39" t="s">
        <v>6</v>
      </c>
      <c r="B52" s="39" t="s">
        <v>8</v>
      </c>
      <c r="C52" s="39">
        <v>2019</v>
      </c>
      <c r="D52" s="40" t="s">
        <v>7</v>
      </c>
      <c r="E52" s="39" t="s">
        <v>389</v>
      </c>
      <c r="F52" s="39" t="s">
        <v>88</v>
      </c>
      <c r="G52" s="39" t="s">
        <v>50</v>
      </c>
      <c r="H52" s="39" t="s">
        <v>68</v>
      </c>
      <c r="I52" s="39" t="s">
        <v>15</v>
      </c>
      <c r="J52" s="39" t="s">
        <v>290</v>
      </c>
      <c r="K52" s="39" t="s">
        <v>478</v>
      </c>
      <c r="L52" s="39" t="s">
        <v>265</v>
      </c>
      <c r="M52" s="39" t="s">
        <v>268</v>
      </c>
      <c r="N52" s="41">
        <v>2</v>
      </c>
      <c r="O52" s="41"/>
      <c r="P52" s="41"/>
      <c r="Q52" s="41">
        <v>773</v>
      </c>
      <c r="R52" s="41">
        <v>1073</v>
      </c>
      <c r="S52" s="41"/>
      <c r="T52" s="41"/>
      <c r="U52" s="41"/>
      <c r="V52" s="41"/>
      <c r="W52" s="41"/>
      <c r="X52" s="41"/>
      <c r="Y52" s="41"/>
      <c r="Z52" s="41"/>
      <c r="AA52" s="41"/>
      <c r="AB52" s="41"/>
      <c r="AC52" s="41"/>
      <c r="AD52" s="41"/>
      <c r="AE52" s="41"/>
      <c r="AF52" s="39"/>
      <c r="AG52" s="39">
        <v>0.22</v>
      </c>
      <c r="AH52" s="39" t="s">
        <v>578</v>
      </c>
      <c r="AI52" s="39" t="s">
        <v>66</v>
      </c>
      <c r="AJ52" s="39"/>
      <c r="AK52" s="39"/>
      <c r="AL52" s="39"/>
      <c r="AM52" s="39"/>
      <c r="AN52" s="39" t="s">
        <v>54</v>
      </c>
      <c r="AO52" s="40" t="s">
        <v>28</v>
      </c>
      <c r="AP52" s="40"/>
      <c r="AQ52" s="42">
        <v>0.99</v>
      </c>
      <c r="AR52" s="43">
        <v>0.04</v>
      </c>
      <c r="AS52" s="40" t="s">
        <v>112</v>
      </c>
      <c r="AT52" s="45">
        <v>0.63</v>
      </c>
      <c r="AU52" s="42">
        <v>0.01</v>
      </c>
      <c r="AV52" s="40" t="s">
        <v>115</v>
      </c>
      <c r="AW52" s="44"/>
      <c r="AX52" s="44"/>
      <c r="AY52" s="40"/>
      <c r="AZ52" s="42"/>
      <c r="BA52" s="42"/>
      <c r="BB52" s="44"/>
      <c r="BC52" s="46"/>
      <c r="BD52" s="42"/>
      <c r="BE52" s="44"/>
      <c r="BF52" s="46"/>
      <c r="BG52" s="42"/>
      <c r="BH52" s="44"/>
      <c r="BI52" s="42"/>
      <c r="BJ52" s="42"/>
      <c r="BK52" s="44"/>
      <c r="BL52" s="47"/>
      <c r="BM52" s="44"/>
      <c r="BN52" s="44"/>
      <c r="BO52" s="42"/>
      <c r="BP52" s="44"/>
      <c r="BQ52" s="44"/>
      <c r="BR52" s="44"/>
      <c r="BS52" s="44"/>
      <c r="BT52" s="44"/>
      <c r="BU52" s="44"/>
      <c r="BV52" s="44"/>
      <c r="BW52" s="44"/>
      <c r="BX52" s="44"/>
      <c r="BY52" s="44"/>
      <c r="BZ52" s="44"/>
      <c r="CA52" s="44"/>
      <c r="CB52" s="44"/>
      <c r="CC52" s="44"/>
      <c r="CD52" s="44"/>
      <c r="CE52" s="44"/>
      <c r="CF52" s="44"/>
      <c r="CG52" s="41"/>
      <c r="CH52" s="41"/>
      <c r="CI52" s="39"/>
      <c r="CJ52" s="41"/>
      <c r="CK52" s="41"/>
      <c r="CL52" s="39"/>
      <c r="EU52" s="31"/>
      <c r="EX52" s="31"/>
      <c r="FA52" s="31"/>
      <c r="FD52" s="31"/>
      <c r="FS52" s="31"/>
      <c r="GN52" s="31"/>
      <c r="GQ52" s="31"/>
      <c r="GT52" s="31"/>
      <c r="GW52" s="31"/>
      <c r="HL52" s="33"/>
    </row>
    <row r="53" spans="1:220" s="29" customFormat="1" ht="45" customHeight="1" x14ac:dyDescent="0.2">
      <c r="A53" s="39" t="s">
        <v>6</v>
      </c>
      <c r="B53" s="39" t="s">
        <v>8</v>
      </c>
      <c r="C53" s="39">
        <v>2019</v>
      </c>
      <c r="D53" s="40" t="s">
        <v>7</v>
      </c>
      <c r="E53" s="39" t="s">
        <v>389</v>
      </c>
      <c r="F53" s="39" t="s">
        <v>88</v>
      </c>
      <c r="G53" s="39" t="s">
        <v>50</v>
      </c>
      <c r="H53" s="39" t="s">
        <v>68</v>
      </c>
      <c r="I53" s="39" t="s">
        <v>15</v>
      </c>
      <c r="J53" s="39" t="s">
        <v>290</v>
      </c>
      <c r="K53" s="39" t="s">
        <v>479</v>
      </c>
      <c r="L53" s="39" t="s">
        <v>265</v>
      </c>
      <c r="M53" s="39" t="s">
        <v>268</v>
      </c>
      <c r="N53" s="41">
        <v>3</v>
      </c>
      <c r="O53" s="41"/>
      <c r="P53" s="41"/>
      <c r="Q53" s="41">
        <v>623</v>
      </c>
      <c r="R53" s="41">
        <v>723</v>
      </c>
      <c r="S53" s="41"/>
      <c r="T53" s="41"/>
      <c r="U53" s="41"/>
      <c r="V53" s="41"/>
      <c r="W53" s="41"/>
      <c r="X53" s="41"/>
      <c r="Y53" s="41"/>
      <c r="Z53" s="41"/>
      <c r="AA53" s="41"/>
      <c r="AB53" s="41"/>
      <c r="AC53" s="41"/>
      <c r="AD53" s="41"/>
      <c r="AE53" s="41"/>
      <c r="AF53" s="39"/>
      <c r="AG53" s="39">
        <v>0.22</v>
      </c>
      <c r="AH53" s="39" t="s">
        <v>578</v>
      </c>
      <c r="AI53" s="39" t="s">
        <v>66</v>
      </c>
      <c r="AJ53" s="39"/>
      <c r="AK53" s="39"/>
      <c r="AL53" s="39"/>
      <c r="AM53" s="39"/>
      <c r="AN53" s="39" t="s">
        <v>54</v>
      </c>
      <c r="AO53" s="40" t="s">
        <v>28</v>
      </c>
      <c r="AP53" s="40"/>
      <c r="AQ53" s="42">
        <v>-1.1599999999999999</v>
      </c>
      <c r="AR53" s="43">
        <v>0.14000000000000001</v>
      </c>
      <c r="AS53" s="40" t="s">
        <v>112</v>
      </c>
      <c r="AT53" s="45">
        <v>0.36</v>
      </c>
      <c r="AU53" s="42">
        <v>0.02</v>
      </c>
      <c r="AV53" s="40" t="s">
        <v>115</v>
      </c>
      <c r="AW53" s="44"/>
      <c r="AX53" s="44"/>
      <c r="AY53" s="40"/>
      <c r="AZ53" s="42"/>
      <c r="BA53" s="42"/>
      <c r="BB53" s="44"/>
      <c r="BC53" s="46"/>
      <c r="BD53" s="42"/>
      <c r="BE53" s="44"/>
      <c r="BF53" s="46"/>
      <c r="BG53" s="42"/>
      <c r="BH53" s="44"/>
      <c r="BI53" s="42"/>
      <c r="BJ53" s="42"/>
      <c r="BK53" s="44"/>
      <c r="BL53" s="47"/>
      <c r="BM53" s="44"/>
      <c r="BN53" s="44"/>
      <c r="BO53" s="42"/>
      <c r="BP53" s="44"/>
      <c r="BQ53" s="44"/>
      <c r="BR53" s="44"/>
      <c r="BS53" s="44"/>
      <c r="BT53" s="44"/>
      <c r="BU53" s="44"/>
      <c r="BV53" s="44"/>
      <c r="BW53" s="44"/>
      <c r="BX53" s="44"/>
      <c r="BY53" s="44"/>
      <c r="BZ53" s="44"/>
      <c r="CA53" s="44"/>
      <c r="CB53" s="44"/>
      <c r="CC53" s="44"/>
      <c r="CD53" s="44"/>
      <c r="CE53" s="44"/>
      <c r="CF53" s="44"/>
      <c r="CG53" s="41"/>
      <c r="CH53" s="41"/>
      <c r="CI53" s="39"/>
      <c r="CJ53" s="41"/>
      <c r="CK53" s="41"/>
      <c r="CL53" s="39"/>
      <c r="EU53" s="31"/>
      <c r="EX53" s="31"/>
      <c r="FA53" s="31"/>
      <c r="FD53" s="31"/>
      <c r="FS53" s="31"/>
      <c r="GN53" s="31"/>
      <c r="GQ53" s="31"/>
      <c r="GT53" s="31"/>
      <c r="GW53" s="31"/>
      <c r="HL53" s="33"/>
    </row>
    <row r="54" spans="1:220" s="29" customFormat="1" ht="45" customHeight="1" x14ac:dyDescent="0.2">
      <c r="A54" s="39" t="s">
        <v>6</v>
      </c>
      <c r="B54" s="39" t="s">
        <v>8</v>
      </c>
      <c r="C54" s="39">
        <v>2019</v>
      </c>
      <c r="D54" s="40" t="s">
        <v>7</v>
      </c>
      <c r="E54" s="39" t="s">
        <v>389</v>
      </c>
      <c r="F54" s="39" t="s">
        <v>88</v>
      </c>
      <c r="G54" s="39" t="s">
        <v>50</v>
      </c>
      <c r="H54" s="39" t="s">
        <v>68</v>
      </c>
      <c r="I54" s="39" t="s">
        <v>15</v>
      </c>
      <c r="J54" s="39" t="s">
        <v>290</v>
      </c>
      <c r="K54" s="39" t="s">
        <v>480</v>
      </c>
      <c r="L54" s="39" t="s">
        <v>265</v>
      </c>
      <c r="M54" s="39" t="s">
        <v>268</v>
      </c>
      <c r="N54" s="41">
        <v>3</v>
      </c>
      <c r="O54" s="41"/>
      <c r="P54" s="41"/>
      <c r="Q54" s="41">
        <v>773</v>
      </c>
      <c r="R54" s="41">
        <v>1073</v>
      </c>
      <c r="S54" s="41"/>
      <c r="T54" s="41"/>
      <c r="U54" s="41"/>
      <c r="V54" s="41"/>
      <c r="W54" s="41"/>
      <c r="X54" s="41"/>
      <c r="Y54" s="41"/>
      <c r="Z54" s="41"/>
      <c r="AA54" s="41"/>
      <c r="AB54" s="41"/>
      <c r="AC54" s="41"/>
      <c r="AD54" s="41"/>
      <c r="AE54" s="41"/>
      <c r="AF54" s="39"/>
      <c r="AG54" s="39">
        <v>0.22</v>
      </c>
      <c r="AH54" s="39" t="s">
        <v>578</v>
      </c>
      <c r="AI54" s="39" t="s">
        <v>66</v>
      </c>
      <c r="AJ54" s="39"/>
      <c r="AK54" s="39"/>
      <c r="AL54" s="39"/>
      <c r="AM54" s="39"/>
      <c r="AN54" s="39" t="s">
        <v>54</v>
      </c>
      <c r="AO54" s="40" t="s">
        <v>28</v>
      </c>
      <c r="AP54" s="40"/>
      <c r="AQ54" s="42">
        <v>0.17</v>
      </c>
      <c r="AR54" s="43">
        <v>0.02</v>
      </c>
      <c r="AS54" s="40" t="s">
        <v>112</v>
      </c>
      <c r="AT54" s="45">
        <v>0.55000000000000004</v>
      </c>
      <c r="AU54" s="42">
        <v>0.01</v>
      </c>
      <c r="AV54" s="40" t="s">
        <v>115</v>
      </c>
      <c r="AW54" s="44"/>
      <c r="AX54" s="44"/>
      <c r="AY54" s="40"/>
      <c r="AZ54" s="42"/>
      <c r="BA54" s="42"/>
      <c r="BB54" s="44"/>
      <c r="BC54" s="46"/>
      <c r="BD54" s="42"/>
      <c r="BE54" s="44"/>
      <c r="BF54" s="46"/>
      <c r="BG54" s="42"/>
      <c r="BH54" s="44"/>
      <c r="BI54" s="42"/>
      <c r="BJ54" s="42"/>
      <c r="BK54" s="44"/>
      <c r="BL54" s="47"/>
      <c r="BM54" s="44"/>
      <c r="BN54" s="44"/>
      <c r="BO54" s="42"/>
      <c r="BP54" s="44"/>
      <c r="BQ54" s="44"/>
      <c r="BR54" s="44"/>
      <c r="BS54" s="44"/>
      <c r="BT54" s="44"/>
      <c r="BU54" s="44"/>
      <c r="BV54" s="44"/>
      <c r="BW54" s="44"/>
      <c r="BX54" s="44"/>
      <c r="BY54" s="44"/>
      <c r="BZ54" s="44"/>
      <c r="CA54" s="44"/>
      <c r="CB54" s="44"/>
      <c r="CC54" s="44"/>
      <c r="CD54" s="44"/>
      <c r="CE54" s="44"/>
      <c r="CF54" s="44"/>
      <c r="CG54" s="41"/>
      <c r="CH54" s="41"/>
      <c r="CI54" s="39"/>
      <c r="CJ54" s="41"/>
      <c r="CK54" s="41"/>
      <c r="CL54" s="39"/>
      <c r="EU54" s="31"/>
      <c r="EX54" s="31"/>
      <c r="FA54" s="31"/>
      <c r="FD54" s="31"/>
      <c r="FS54" s="31"/>
      <c r="GN54" s="31"/>
      <c r="GQ54" s="31"/>
      <c r="GT54" s="31"/>
      <c r="GW54" s="31"/>
      <c r="HL54" s="33"/>
    </row>
    <row r="55" spans="1:220" s="29" customFormat="1" ht="45" customHeight="1" x14ac:dyDescent="0.2">
      <c r="A55" s="29" t="s">
        <v>518</v>
      </c>
      <c r="B55" s="29" t="s">
        <v>174</v>
      </c>
      <c r="C55" s="29">
        <v>1992</v>
      </c>
      <c r="D55" s="30" t="s">
        <v>175</v>
      </c>
      <c r="E55" s="29" t="s">
        <v>64</v>
      </c>
      <c r="F55" s="29" t="s">
        <v>64</v>
      </c>
      <c r="G55" s="29" t="s">
        <v>42</v>
      </c>
      <c r="H55" s="29" t="s">
        <v>176</v>
      </c>
      <c r="I55" s="29" t="s">
        <v>177</v>
      </c>
      <c r="J55" s="29" t="s">
        <v>298</v>
      </c>
      <c r="K55" s="29" t="s">
        <v>442</v>
      </c>
      <c r="L55" s="29" t="s">
        <v>265</v>
      </c>
      <c r="M55" s="29" t="s">
        <v>268</v>
      </c>
      <c r="N55" s="31">
        <v>1E-4</v>
      </c>
      <c r="O55" s="31"/>
      <c r="P55" s="31"/>
      <c r="Q55" s="31">
        <f>720+273</f>
        <v>993</v>
      </c>
      <c r="R55" s="31">
        <f>1500+273</f>
        <v>1773</v>
      </c>
      <c r="S55" s="31"/>
      <c r="T55" s="31"/>
      <c r="U55" s="31"/>
      <c r="V55" s="31"/>
      <c r="W55" s="31"/>
      <c r="X55" s="31"/>
      <c r="Y55" s="31"/>
      <c r="Z55" s="31"/>
      <c r="AA55" s="31"/>
      <c r="AB55" s="31"/>
      <c r="AC55" s="31"/>
      <c r="AD55" s="31"/>
      <c r="AE55" s="31"/>
      <c r="AO55" s="30" t="s">
        <v>28</v>
      </c>
      <c r="AP55" s="30"/>
      <c r="AQ55" s="32">
        <v>2.4020000000000001</v>
      </c>
      <c r="AR55" s="33"/>
      <c r="AS55" s="30" t="s">
        <v>112</v>
      </c>
      <c r="AT55" s="35">
        <v>1.6</v>
      </c>
      <c r="AU55" s="32">
        <v>0.02</v>
      </c>
      <c r="AV55" s="30" t="s">
        <v>115</v>
      </c>
      <c r="AW55" s="34">
        <v>9.17</v>
      </c>
      <c r="AX55" s="34"/>
      <c r="AY55" s="30" t="s">
        <v>112</v>
      </c>
      <c r="AZ55" s="32">
        <v>4.25</v>
      </c>
      <c r="BA55" s="32"/>
      <c r="BB55" s="34" t="s">
        <v>115</v>
      </c>
      <c r="BC55" s="36"/>
      <c r="BD55" s="32"/>
      <c r="BE55" s="34"/>
      <c r="BF55" s="36"/>
      <c r="BG55" s="32"/>
      <c r="BH55" s="34"/>
      <c r="BI55" s="32"/>
      <c r="BJ55" s="32"/>
      <c r="BK55" s="34"/>
      <c r="BL55" s="37"/>
      <c r="BM55" s="34"/>
      <c r="BN55" s="34"/>
      <c r="BO55" s="32"/>
      <c r="BP55" s="34"/>
      <c r="BQ55" s="34"/>
      <c r="BR55" s="34"/>
      <c r="BS55" s="34"/>
      <c r="BT55" s="34"/>
      <c r="BU55" s="34"/>
      <c r="BV55" s="34"/>
      <c r="BW55" s="34"/>
      <c r="BX55" s="34"/>
      <c r="BY55" s="34"/>
      <c r="BZ55" s="34"/>
      <c r="CA55" s="34"/>
      <c r="CB55" s="34"/>
      <c r="CC55" s="34"/>
      <c r="CD55" s="34"/>
      <c r="CE55" s="34"/>
      <c r="CF55" s="34"/>
      <c r="CG55" s="31"/>
      <c r="CH55" s="31"/>
      <c r="CJ55" s="31"/>
      <c r="CK55" s="31"/>
      <c r="EU55" s="31"/>
      <c r="EX55" s="31"/>
      <c r="FA55" s="31"/>
      <c r="FD55" s="31"/>
      <c r="FS55" s="31"/>
      <c r="GN55" s="31"/>
      <c r="GQ55" s="31"/>
      <c r="GT55" s="31"/>
      <c r="GW55" s="31"/>
      <c r="HL55" s="33"/>
    </row>
    <row r="56" spans="1:220" s="29" customFormat="1" ht="45" customHeight="1" x14ac:dyDescent="0.2">
      <c r="A56" s="38" t="s">
        <v>179</v>
      </c>
      <c r="B56" s="29" t="s">
        <v>178</v>
      </c>
      <c r="C56" s="29">
        <v>2000</v>
      </c>
      <c r="D56" s="59" t="s">
        <v>13</v>
      </c>
      <c r="E56" s="29" t="s">
        <v>64</v>
      </c>
      <c r="F56" s="29" t="s">
        <v>64</v>
      </c>
      <c r="G56" s="29" t="s">
        <v>136</v>
      </c>
      <c r="H56" s="29" t="s">
        <v>138</v>
      </c>
      <c r="I56" s="29" t="s">
        <v>137</v>
      </c>
      <c r="J56" s="29" t="s">
        <v>299</v>
      </c>
      <c r="K56" s="29" t="s">
        <v>439</v>
      </c>
      <c r="L56" s="29" t="s">
        <v>265</v>
      </c>
      <c r="M56" s="29" t="s">
        <v>269</v>
      </c>
      <c r="N56" s="31"/>
      <c r="O56" s="31">
        <v>4</v>
      </c>
      <c r="P56" s="31">
        <v>10</v>
      </c>
      <c r="Q56" s="31">
        <v>1273</v>
      </c>
      <c r="R56" s="31">
        <v>1673</v>
      </c>
      <c r="S56" s="31"/>
      <c r="T56" s="31"/>
      <c r="U56" s="31"/>
      <c r="V56" s="31"/>
      <c r="W56" s="31"/>
      <c r="X56" s="31"/>
      <c r="Y56" s="31"/>
      <c r="Z56" s="31"/>
      <c r="AA56" s="31"/>
      <c r="AB56" s="31"/>
      <c r="AC56" s="31"/>
      <c r="AD56" s="31"/>
      <c r="AE56" s="31"/>
      <c r="AN56" s="29" t="s">
        <v>61</v>
      </c>
      <c r="AO56" s="30" t="s">
        <v>261</v>
      </c>
      <c r="AP56" s="30"/>
      <c r="AQ56" s="32">
        <v>2.67</v>
      </c>
      <c r="AR56" s="33">
        <v>0.14000000000000001</v>
      </c>
      <c r="AS56" s="30" t="s">
        <v>112</v>
      </c>
      <c r="AT56" s="35">
        <v>1.5</v>
      </c>
      <c r="AU56" s="32">
        <v>0.04</v>
      </c>
      <c r="AV56" s="30" t="s">
        <v>115</v>
      </c>
      <c r="AW56" s="34">
        <v>0.86</v>
      </c>
      <c r="AX56" s="34">
        <v>0.15</v>
      </c>
      <c r="AY56" s="30" t="s">
        <v>123</v>
      </c>
      <c r="AZ56" s="32"/>
      <c r="BA56" s="32"/>
      <c r="BB56" s="34"/>
      <c r="BC56" s="36"/>
      <c r="BD56" s="32"/>
      <c r="BE56" s="34"/>
      <c r="BF56" s="36"/>
      <c r="BG56" s="32"/>
      <c r="BH56" s="34"/>
      <c r="BI56" s="32"/>
      <c r="BJ56" s="32"/>
      <c r="BK56" s="34"/>
      <c r="BL56" s="37"/>
      <c r="BM56" s="34"/>
      <c r="BN56" s="34"/>
      <c r="BO56" s="32"/>
      <c r="BP56" s="34"/>
      <c r="BQ56" s="34"/>
      <c r="BR56" s="34"/>
      <c r="BS56" s="34"/>
      <c r="BT56" s="34"/>
      <c r="BU56" s="34"/>
      <c r="BV56" s="34"/>
      <c r="BW56" s="34"/>
      <c r="BX56" s="34"/>
      <c r="BY56" s="34"/>
      <c r="BZ56" s="34"/>
      <c r="CA56" s="34"/>
      <c r="CB56" s="34"/>
      <c r="CC56" s="34"/>
      <c r="CD56" s="34"/>
      <c r="CE56" s="34"/>
      <c r="CF56" s="34"/>
      <c r="CG56" s="31"/>
      <c r="CH56" s="31"/>
      <c r="CJ56" s="31"/>
      <c r="CK56" s="31"/>
      <c r="EU56" s="31"/>
      <c r="EX56" s="31"/>
      <c r="FA56" s="31"/>
      <c r="FD56" s="31"/>
      <c r="FS56" s="31"/>
      <c r="GN56" s="31"/>
      <c r="GQ56" s="31"/>
      <c r="GT56" s="31"/>
      <c r="GW56" s="31"/>
      <c r="HL56" s="33"/>
    </row>
    <row r="57" spans="1:220" s="29" customFormat="1" ht="45" customHeight="1" x14ac:dyDescent="0.2">
      <c r="A57" s="38" t="s">
        <v>179</v>
      </c>
      <c r="B57" s="29" t="s">
        <v>178</v>
      </c>
      <c r="C57" s="29">
        <v>2000</v>
      </c>
      <c r="D57" s="59" t="s">
        <v>13</v>
      </c>
      <c r="E57" s="29" t="s">
        <v>64</v>
      </c>
      <c r="F57" s="29" t="s">
        <v>64</v>
      </c>
      <c r="G57" s="29" t="s">
        <v>136</v>
      </c>
      <c r="H57" s="29" t="s">
        <v>138</v>
      </c>
      <c r="I57" s="29" t="s">
        <v>137</v>
      </c>
      <c r="J57" s="29" t="s">
        <v>299</v>
      </c>
      <c r="K57" s="29" t="s">
        <v>440</v>
      </c>
      <c r="L57" s="29" t="s">
        <v>265</v>
      </c>
      <c r="M57" s="29" t="s">
        <v>269</v>
      </c>
      <c r="N57" s="31"/>
      <c r="O57" s="31">
        <v>4</v>
      </c>
      <c r="P57" s="31">
        <v>10</v>
      </c>
      <c r="Q57" s="31">
        <v>1273</v>
      </c>
      <c r="R57" s="31">
        <v>1673</v>
      </c>
      <c r="S57" s="31"/>
      <c r="T57" s="31"/>
      <c r="U57" s="31"/>
      <c r="V57" s="31"/>
      <c r="W57" s="31"/>
      <c r="X57" s="31"/>
      <c r="Y57" s="31"/>
      <c r="Z57" s="31"/>
      <c r="AA57" s="31"/>
      <c r="AB57" s="31"/>
      <c r="AC57" s="31"/>
      <c r="AD57" s="31"/>
      <c r="AE57" s="31"/>
      <c r="AN57" s="29" t="s">
        <v>61</v>
      </c>
      <c r="AO57" s="30" t="s">
        <v>263</v>
      </c>
      <c r="AP57" s="30"/>
      <c r="AQ57" s="32">
        <v>2.39</v>
      </c>
      <c r="AR57" s="33">
        <v>0.06</v>
      </c>
      <c r="AS57" s="30" t="s">
        <v>112</v>
      </c>
      <c r="AT57" s="35">
        <v>1.17</v>
      </c>
      <c r="AU57" s="32">
        <v>0.04</v>
      </c>
      <c r="AV57" s="30" t="s">
        <v>115</v>
      </c>
      <c r="AW57" s="34">
        <v>0.96</v>
      </c>
      <c r="AX57" s="34">
        <v>0.06</v>
      </c>
      <c r="AY57" s="30" t="s">
        <v>123</v>
      </c>
      <c r="AZ57" s="32"/>
      <c r="BA57" s="32"/>
      <c r="BB57" s="34"/>
      <c r="BC57" s="36"/>
      <c r="BD57" s="32"/>
      <c r="BE57" s="34"/>
      <c r="BF57" s="36"/>
      <c r="BG57" s="32"/>
      <c r="BH57" s="34"/>
      <c r="BI57" s="32"/>
      <c r="BJ57" s="32"/>
      <c r="BK57" s="34"/>
      <c r="BL57" s="37"/>
      <c r="BM57" s="34"/>
      <c r="BN57" s="34"/>
      <c r="BO57" s="32"/>
      <c r="BP57" s="34"/>
      <c r="BQ57" s="34"/>
      <c r="BR57" s="34"/>
      <c r="BS57" s="34"/>
      <c r="BT57" s="34"/>
      <c r="BU57" s="34"/>
      <c r="BV57" s="34"/>
      <c r="BW57" s="34"/>
      <c r="BX57" s="34"/>
      <c r="BY57" s="34"/>
      <c r="BZ57" s="34"/>
      <c r="CA57" s="34"/>
      <c r="CB57" s="34"/>
      <c r="CC57" s="34"/>
      <c r="CD57" s="34"/>
      <c r="CE57" s="34"/>
      <c r="CF57" s="34"/>
      <c r="CG57" s="31"/>
      <c r="CH57" s="31"/>
      <c r="CJ57" s="31"/>
      <c r="CK57" s="31"/>
      <c r="EU57" s="31"/>
      <c r="EX57" s="31"/>
      <c r="FA57" s="31"/>
      <c r="FD57" s="31"/>
      <c r="FS57" s="31"/>
      <c r="GN57" s="31"/>
      <c r="GQ57" s="31"/>
      <c r="GT57" s="31"/>
      <c r="GW57" s="31"/>
      <c r="HL57" s="33"/>
    </row>
    <row r="58" spans="1:220" s="29" customFormat="1" ht="45" customHeight="1" x14ac:dyDescent="0.2">
      <c r="A58" s="38" t="s">
        <v>179</v>
      </c>
      <c r="B58" s="29" t="s">
        <v>178</v>
      </c>
      <c r="C58" s="29">
        <v>2000</v>
      </c>
      <c r="D58" s="59" t="s">
        <v>13</v>
      </c>
      <c r="E58" s="29" t="s">
        <v>64</v>
      </c>
      <c r="F58" s="29" t="s">
        <v>64</v>
      </c>
      <c r="G58" s="29" t="s">
        <v>136</v>
      </c>
      <c r="H58" s="29" t="s">
        <v>68</v>
      </c>
      <c r="I58" s="29" t="s">
        <v>15</v>
      </c>
      <c r="J58" s="29" t="s">
        <v>299</v>
      </c>
      <c r="K58" s="29" t="s">
        <v>441</v>
      </c>
      <c r="L58" s="29" t="s">
        <v>265</v>
      </c>
      <c r="M58" s="29" t="s">
        <v>269</v>
      </c>
      <c r="N58" s="31"/>
      <c r="O58" s="31">
        <v>4</v>
      </c>
      <c r="P58" s="31">
        <v>10</v>
      </c>
      <c r="Q58" s="31">
        <v>1273</v>
      </c>
      <c r="R58" s="31">
        <v>1673</v>
      </c>
      <c r="S58" s="31"/>
      <c r="T58" s="31"/>
      <c r="U58" s="31"/>
      <c r="V58" s="31"/>
      <c r="W58" s="31"/>
      <c r="X58" s="31"/>
      <c r="Y58" s="31"/>
      <c r="Z58" s="31"/>
      <c r="AA58" s="31"/>
      <c r="AB58" s="31"/>
      <c r="AC58" s="31"/>
      <c r="AD58" s="31"/>
      <c r="AE58" s="31"/>
      <c r="AN58" s="29" t="s">
        <v>61</v>
      </c>
      <c r="AO58" s="30" t="s">
        <v>262</v>
      </c>
      <c r="AP58" s="30"/>
      <c r="AQ58" s="32">
        <v>3.33</v>
      </c>
      <c r="AR58" s="33">
        <v>0.28000000000000003</v>
      </c>
      <c r="AS58" s="30" t="s">
        <v>112</v>
      </c>
      <c r="AT58" s="35">
        <v>1.79</v>
      </c>
      <c r="AU58" s="32">
        <v>0.08</v>
      </c>
      <c r="AV58" s="30" t="s">
        <v>115</v>
      </c>
      <c r="AW58" s="34"/>
      <c r="AX58" s="34"/>
      <c r="AY58" s="30"/>
      <c r="AZ58" s="32"/>
      <c r="BA58" s="32"/>
      <c r="BB58" s="34"/>
      <c r="BC58" s="36"/>
      <c r="BD58" s="32"/>
      <c r="BE58" s="34"/>
      <c r="BF58" s="36"/>
      <c r="BG58" s="32"/>
      <c r="BH58" s="34"/>
      <c r="BI58" s="32"/>
      <c r="BJ58" s="32"/>
      <c r="BK58" s="34"/>
      <c r="BL58" s="37"/>
      <c r="BM58" s="34"/>
      <c r="BN58" s="34"/>
      <c r="BO58" s="32"/>
      <c r="BP58" s="34"/>
      <c r="BQ58" s="34"/>
      <c r="BR58" s="34"/>
      <c r="BS58" s="34"/>
      <c r="BT58" s="34"/>
      <c r="BU58" s="34"/>
      <c r="BV58" s="34"/>
      <c r="BW58" s="34"/>
      <c r="BX58" s="34"/>
      <c r="BY58" s="34"/>
      <c r="BZ58" s="34"/>
      <c r="CA58" s="34"/>
      <c r="CB58" s="34"/>
      <c r="CC58" s="34"/>
      <c r="CD58" s="34"/>
      <c r="CE58" s="34"/>
      <c r="CF58" s="34"/>
      <c r="CG58" s="31"/>
      <c r="CH58" s="31"/>
      <c r="CJ58" s="31"/>
      <c r="CK58" s="31"/>
      <c r="EU58" s="31"/>
      <c r="EX58" s="31"/>
      <c r="FA58" s="31"/>
      <c r="FD58" s="31"/>
      <c r="FS58" s="31"/>
      <c r="GN58" s="31"/>
      <c r="GQ58" s="31"/>
      <c r="GT58" s="31"/>
      <c r="GW58" s="31"/>
      <c r="HL58" s="33"/>
    </row>
    <row r="59" spans="1:220" s="29" customFormat="1" ht="45" customHeight="1" x14ac:dyDescent="0.2">
      <c r="A59" s="38" t="s">
        <v>179</v>
      </c>
      <c r="B59" s="29" t="s">
        <v>178</v>
      </c>
      <c r="C59" s="29">
        <v>2000</v>
      </c>
      <c r="D59" s="59" t="s">
        <v>13</v>
      </c>
      <c r="E59" s="29" t="s">
        <v>64</v>
      </c>
      <c r="F59" s="29" t="s">
        <v>64</v>
      </c>
      <c r="G59" s="29" t="s">
        <v>180</v>
      </c>
      <c r="H59" s="29" t="s">
        <v>138</v>
      </c>
      <c r="I59" s="29" t="s">
        <v>137</v>
      </c>
      <c r="J59" s="29" t="s">
        <v>299</v>
      </c>
      <c r="K59" s="29" t="s">
        <v>438</v>
      </c>
      <c r="L59" s="29" t="s">
        <v>265</v>
      </c>
      <c r="M59" s="29" t="s">
        <v>268</v>
      </c>
      <c r="N59" s="31"/>
      <c r="O59" s="31">
        <v>4</v>
      </c>
      <c r="P59" s="31">
        <v>10</v>
      </c>
      <c r="Q59" s="31">
        <v>1273</v>
      </c>
      <c r="R59" s="31">
        <v>1673</v>
      </c>
      <c r="S59" s="31"/>
      <c r="T59" s="31"/>
      <c r="U59" s="31"/>
      <c r="V59" s="31"/>
      <c r="W59" s="31"/>
      <c r="X59" s="31"/>
      <c r="Y59" s="31"/>
      <c r="Z59" s="31"/>
      <c r="AA59" s="31"/>
      <c r="AB59" s="31"/>
      <c r="AC59" s="31"/>
      <c r="AD59" s="31"/>
      <c r="AE59" s="31"/>
      <c r="AN59" s="29" t="s">
        <v>61</v>
      </c>
      <c r="AO59" s="30" t="s">
        <v>28</v>
      </c>
      <c r="AP59" s="30"/>
      <c r="AQ59" s="32">
        <v>2.69</v>
      </c>
      <c r="AR59" s="33">
        <v>0.15</v>
      </c>
      <c r="AS59" s="30" t="s">
        <v>112</v>
      </c>
      <c r="AT59" s="35">
        <v>1.62</v>
      </c>
      <c r="AU59" s="32">
        <v>0.05</v>
      </c>
      <c r="AV59" s="30" t="s">
        <v>115</v>
      </c>
      <c r="AW59" s="34">
        <v>0.68</v>
      </c>
      <c r="AX59" s="34">
        <v>0.25</v>
      </c>
      <c r="AY59" s="30" t="s">
        <v>123</v>
      </c>
      <c r="AZ59" s="32"/>
      <c r="BA59" s="32"/>
      <c r="BB59" s="34"/>
      <c r="BC59" s="36"/>
      <c r="BD59" s="32"/>
      <c r="BE59" s="34"/>
      <c r="BF59" s="36"/>
      <c r="BG59" s="32"/>
      <c r="BH59" s="34"/>
      <c r="BI59" s="32"/>
      <c r="BJ59" s="32"/>
      <c r="BK59" s="34"/>
      <c r="BL59" s="37"/>
      <c r="BM59" s="34"/>
      <c r="BN59" s="34"/>
      <c r="BO59" s="32"/>
      <c r="BP59" s="34"/>
      <c r="BQ59" s="34"/>
      <c r="BR59" s="34"/>
      <c r="BS59" s="34"/>
      <c r="BT59" s="34"/>
      <c r="BU59" s="34"/>
      <c r="BV59" s="34"/>
      <c r="BW59" s="34"/>
      <c r="BX59" s="34"/>
      <c r="BY59" s="34"/>
      <c r="BZ59" s="34"/>
      <c r="CA59" s="34"/>
      <c r="CB59" s="34"/>
      <c r="CC59" s="34"/>
      <c r="CD59" s="34"/>
      <c r="CE59" s="34"/>
      <c r="CF59" s="34"/>
      <c r="CG59" s="31"/>
      <c r="CH59" s="31"/>
      <c r="CJ59" s="31"/>
      <c r="CK59" s="31"/>
      <c r="EU59" s="31"/>
      <c r="EX59" s="31"/>
      <c r="FA59" s="31"/>
      <c r="FD59" s="31"/>
      <c r="FS59" s="31"/>
      <c r="GN59" s="31"/>
      <c r="GQ59" s="31"/>
      <c r="GT59" s="31"/>
      <c r="GW59" s="31"/>
      <c r="HL59" s="33"/>
    </row>
    <row r="60" spans="1:220" s="29" customFormat="1" ht="45" customHeight="1" x14ac:dyDescent="0.2">
      <c r="A60" s="38" t="s">
        <v>181</v>
      </c>
      <c r="B60" s="38" t="s">
        <v>182</v>
      </c>
      <c r="C60" s="38">
        <v>2005</v>
      </c>
      <c r="D60" s="38" t="s">
        <v>183</v>
      </c>
      <c r="E60" s="38" t="s">
        <v>64</v>
      </c>
      <c r="F60" s="38" t="s">
        <v>64</v>
      </c>
      <c r="G60" s="38" t="s">
        <v>184</v>
      </c>
      <c r="H60" s="38" t="s">
        <v>187</v>
      </c>
      <c r="I60" s="38" t="s">
        <v>185</v>
      </c>
      <c r="J60" s="38" t="s">
        <v>300</v>
      </c>
      <c r="K60" s="38" t="s">
        <v>435</v>
      </c>
      <c r="L60" s="38" t="s">
        <v>265</v>
      </c>
      <c r="M60" s="38" t="s">
        <v>269</v>
      </c>
      <c r="N60" s="60">
        <v>0.4</v>
      </c>
      <c r="O60" s="60"/>
      <c r="P60" s="60"/>
      <c r="Q60" s="60">
        <v>1373</v>
      </c>
      <c r="R60" s="60">
        <v>1573</v>
      </c>
      <c r="S60" s="60"/>
      <c r="T60" s="60"/>
      <c r="U60" s="60"/>
      <c r="V60" s="60"/>
      <c r="W60" s="60"/>
      <c r="X60" s="60"/>
      <c r="Y60" s="60"/>
      <c r="Z60" s="60"/>
      <c r="AA60" s="60"/>
      <c r="AB60" s="60"/>
      <c r="AC60" s="60"/>
      <c r="AD60" s="60"/>
      <c r="AE60" s="60"/>
      <c r="AF60" s="38"/>
      <c r="AG60" s="38"/>
      <c r="AH60" s="38"/>
      <c r="AI60" s="38"/>
      <c r="AJ60" s="38"/>
      <c r="AK60" s="38"/>
      <c r="AL60" s="38"/>
      <c r="AM60" s="38"/>
      <c r="AN60" s="38" t="s">
        <v>186</v>
      </c>
      <c r="AO60" s="38" t="s">
        <v>262</v>
      </c>
      <c r="AP60" s="38"/>
      <c r="AQ60" s="61">
        <v>0.432</v>
      </c>
      <c r="AR60" s="62">
        <v>0.14699999999999999</v>
      </c>
      <c r="AS60" s="59" t="s">
        <v>113</v>
      </c>
      <c r="AT60" s="64">
        <f>2/11</f>
        <v>0.18181818181818182</v>
      </c>
      <c r="AU60" s="61"/>
      <c r="AV60" s="59" t="s">
        <v>116</v>
      </c>
      <c r="AW60" s="65">
        <v>0.32200000000000001</v>
      </c>
      <c r="AX60" s="65">
        <v>4.8000000000000001E-2</v>
      </c>
      <c r="AY60" s="59" t="s">
        <v>115</v>
      </c>
      <c r="AZ60" s="61">
        <v>1.1900000000000001E-2</v>
      </c>
      <c r="BA60" s="61">
        <v>5.1000000000000004E-3</v>
      </c>
      <c r="BB60" s="63" t="s">
        <v>113</v>
      </c>
      <c r="BC60" s="66">
        <v>0.32200000000000001</v>
      </c>
      <c r="BD60" s="61">
        <v>4.8000000000000001E-2</v>
      </c>
      <c r="BE60" s="63" t="s">
        <v>115</v>
      </c>
      <c r="BF60" s="66"/>
      <c r="BG60" s="61"/>
      <c r="BH60" s="63"/>
      <c r="BI60" s="61"/>
      <c r="BJ60" s="61"/>
      <c r="BK60" s="63"/>
      <c r="BL60" s="67"/>
      <c r="BM60" s="63"/>
      <c r="BN60" s="63"/>
      <c r="BO60" s="61"/>
      <c r="BP60" s="63"/>
      <c r="BQ60" s="63"/>
      <c r="BR60" s="63"/>
      <c r="BS60" s="63"/>
      <c r="BT60" s="63"/>
      <c r="BU60" s="63"/>
      <c r="BV60" s="63"/>
      <c r="BW60" s="63"/>
      <c r="BX60" s="63"/>
      <c r="BY60" s="63"/>
      <c r="BZ60" s="63"/>
      <c r="CA60" s="63"/>
      <c r="CB60" s="63"/>
      <c r="CC60" s="63"/>
      <c r="CD60" s="63"/>
      <c r="CE60" s="63"/>
      <c r="CF60" s="63"/>
      <c r="CG60" s="60"/>
      <c r="CH60" s="60"/>
      <c r="CI60" s="38"/>
      <c r="CJ60" s="60"/>
      <c r="CK60" s="60"/>
      <c r="CL60" s="38"/>
      <c r="EU60" s="31"/>
      <c r="EX60" s="31"/>
      <c r="FA60" s="31"/>
      <c r="FD60" s="31"/>
      <c r="FS60" s="31"/>
      <c r="GN60" s="31"/>
      <c r="GQ60" s="31"/>
      <c r="GT60" s="31"/>
      <c r="GW60" s="31"/>
      <c r="HL60" s="33"/>
    </row>
    <row r="61" spans="1:220" s="29" customFormat="1" ht="45" customHeight="1" x14ac:dyDescent="0.2">
      <c r="A61" s="38" t="s">
        <v>181</v>
      </c>
      <c r="B61" s="38" t="s">
        <v>182</v>
      </c>
      <c r="C61" s="38">
        <v>2005</v>
      </c>
      <c r="D61" s="38" t="s">
        <v>183</v>
      </c>
      <c r="E61" s="38" t="s">
        <v>64</v>
      </c>
      <c r="F61" s="38" t="s">
        <v>64</v>
      </c>
      <c r="G61" s="38" t="s">
        <v>184</v>
      </c>
      <c r="H61" s="38" t="s">
        <v>187</v>
      </c>
      <c r="I61" s="38" t="s">
        <v>185</v>
      </c>
      <c r="J61" s="38" t="s">
        <v>300</v>
      </c>
      <c r="K61" s="38" t="s">
        <v>436</v>
      </c>
      <c r="L61" s="38" t="s">
        <v>265</v>
      </c>
      <c r="M61" s="38" t="s">
        <v>269</v>
      </c>
      <c r="N61" s="60">
        <v>0.4</v>
      </c>
      <c r="O61" s="60"/>
      <c r="P61" s="60"/>
      <c r="Q61" s="60">
        <v>1373</v>
      </c>
      <c r="R61" s="60">
        <v>1573</v>
      </c>
      <c r="S61" s="60"/>
      <c r="T61" s="60"/>
      <c r="U61" s="60"/>
      <c r="V61" s="60"/>
      <c r="W61" s="60"/>
      <c r="X61" s="60"/>
      <c r="Y61" s="60"/>
      <c r="Z61" s="60"/>
      <c r="AA61" s="60"/>
      <c r="AB61" s="60"/>
      <c r="AC61" s="60"/>
      <c r="AD61" s="60"/>
      <c r="AE61" s="60"/>
      <c r="AF61" s="38"/>
      <c r="AG61" s="38"/>
      <c r="AH61" s="38"/>
      <c r="AI61" s="38"/>
      <c r="AJ61" s="38"/>
      <c r="AK61" s="38"/>
      <c r="AL61" s="38"/>
      <c r="AM61" s="38"/>
      <c r="AN61" s="38" t="s">
        <v>186</v>
      </c>
      <c r="AO61" s="38" t="s">
        <v>263</v>
      </c>
      <c r="AP61" s="38"/>
      <c r="AQ61" s="61">
        <v>2.39</v>
      </c>
      <c r="AR61" s="62">
        <v>0.35</v>
      </c>
      <c r="AS61" s="59" t="s">
        <v>113</v>
      </c>
      <c r="AT61" s="64">
        <f>2/11</f>
        <v>0.18181818181818182</v>
      </c>
      <c r="AU61" s="61"/>
      <c r="AV61" s="59" t="s">
        <v>116</v>
      </c>
      <c r="AW61" s="65">
        <v>0.56100000000000005</v>
      </c>
      <c r="AX61" s="65">
        <v>2.1000000000000001E-2</v>
      </c>
      <c r="AY61" s="59" t="s">
        <v>115</v>
      </c>
      <c r="AZ61" s="61">
        <v>7.9799999999999996E-2</v>
      </c>
      <c r="BA61" s="61">
        <v>1.47E-2</v>
      </c>
      <c r="BB61" s="63" t="s">
        <v>113</v>
      </c>
      <c r="BC61" s="66">
        <v>0.56100000000000005</v>
      </c>
      <c r="BD61" s="61">
        <v>2.1000000000000001E-2</v>
      </c>
      <c r="BE61" s="63" t="s">
        <v>115</v>
      </c>
      <c r="BF61" s="66"/>
      <c r="BG61" s="61"/>
      <c r="BH61" s="63"/>
      <c r="BI61" s="61"/>
      <c r="BJ61" s="61"/>
      <c r="BK61" s="63"/>
      <c r="BL61" s="67"/>
      <c r="BM61" s="63"/>
      <c r="BN61" s="63"/>
      <c r="BO61" s="61"/>
      <c r="BP61" s="63"/>
      <c r="BQ61" s="63"/>
      <c r="BR61" s="63"/>
      <c r="BS61" s="63"/>
      <c r="BT61" s="63"/>
      <c r="BU61" s="63"/>
      <c r="BV61" s="63"/>
      <c r="BW61" s="63"/>
      <c r="BX61" s="63"/>
      <c r="BY61" s="63"/>
      <c r="BZ61" s="63"/>
      <c r="CA61" s="63"/>
      <c r="CB61" s="63"/>
      <c r="CC61" s="63"/>
      <c r="CD61" s="63"/>
      <c r="CE61" s="63"/>
      <c r="CF61" s="63"/>
      <c r="CG61" s="60"/>
      <c r="CH61" s="60"/>
      <c r="CI61" s="38"/>
      <c r="CJ61" s="60"/>
      <c r="CK61" s="60"/>
      <c r="CL61" s="38"/>
      <c r="EU61" s="31"/>
      <c r="EX61" s="31"/>
      <c r="FA61" s="31"/>
      <c r="FD61" s="31"/>
      <c r="FS61" s="31"/>
      <c r="GN61" s="31"/>
      <c r="GQ61" s="31"/>
      <c r="GT61" s="31"/>
      <c r="GW61" s="31"/>
      <c r="HL61" s="33"/>
    </row>
    <row r="62" spans="1:220" s="29" customFormat="1" ht="45" customHeight="1" x14ac:dyDescent="0.2">
      <c r="A62" s="38" t="s">
        <v>181</v>
      </c>
      <c r="B62" s="38" t="s">
        <v>182</v>
      </c>
      <c r="C62" s="38">
        <v>2005</v>
      </c>
      <c r="D62" s="38" t="s">
        <v>183</v>
      </c>
      <c r="E62" s="38" t="s">
        <v>64</v>
      </c>
      <c r="F62" s="38" t="s">
        <v>64</v>
      </c>
      <c r="G62" s="38" t="s">
        <v>184</v>
      </c>
      <c r="H62" s="38" t="s">
        <v>187</v>
      </c>
      <c r="I62" s="38" t="s">
        <v>185</v>
      </c>
      <c r="J62" s="38" t="s">
        <v>300</v>
      </c>
      <c r="K62" s="38" t="s">
        <v>437</v>
      </c>
      <c r="L62" s="38" t="s">
        <v>265</v>
      </c>
      <c r="M62" s="38" t="s">
        <v>269</v>
      </c>
      <c r="N62" s="60">
        <v>0.4</v>
      </c>
      <c r="O62" s="60"/>
      <c r="P62" s="60"/>
      <c r="Q62" s="60">
        <v>1373</v>
      </c>
      <c r="R62" s="60">
        <v>1573</v>
      </c>
      <c r="S62" s="60"/>
      <c r="T62" s="60"/>
      <c r="U62" s="60"/>
      <c r="V62" s="60"/>
      <c r="W62" s="60"/>
      <c r="X62" s="60"/>
      <c r="Y62" s="60"/>
      <c r="Z62" s="60"/>
      <c r="AA62" s="60"/>
      <c r="AB62" s="60"/>
      <c r="AC62" s="60"/>
      <c r="AD62" s="60"/>
      <c r="AE62" s="60"/>
      <c r="AF62" s="38"/>
      <c r="AG62" s="38"/>
      <c r="AH62" s="38"/>
      <c r="AI62" s="38"/>
      <c r="AJ62" s="38"/>
      <c r="AK62" s="38"/>
      <c r="AL62" s="38"/>
      <c r="AM62" s="38"/>
      <c r="AN62" s="38" t="s">
        <v>186</v>
      </c>
      <c r="AO62" s="38" t="s">
        <v>261</v>
      </c>
      <c r="AP62" s="38"/>
      <c r="AQ62" s="61">
        <v>15.3</v>
      </c>
      <c r="AR62" s="62">
        <v>2.9</v>
      </c>
      <c r="AS62" s="59" t="s">
        <v>113</v>
      </c>
      <c r="AT62" s="64">
        <f>2/11</f>
        <v>0.18181818181818182</v>
      </c>
      <c r="AU62" s="61"/>
      <c r="AV62" s="59" t="s">
        <v>116</v>
      </c>
      <c r="AW62" s="65">
        <v>0.71</v>
      </c>
      <c r="AX62" s="65">
        <v>2.7E-2</v>
      </c>
      <c r="AY62" s="59" t="s">
        <v>115</v>
      </c>
      <c r="AZ62" s="61">
        <v>0.29299999999999998</v>
      </c>
      <c r="BA62" s="61">
        <v>7.1999999999999995E-2</v>
      </c>
      <c r="BB62" s="63" t="s">
        <v>113</v>
      </c>
      <c r="BC62" s="66">
        <v>0.71</v>
      </c>
      <c r="BD62" s="61">
        <v>2.7E-2</v>
      </c>
      <c r="BE62" s="63" t="s">
        <v>115</v>
      </c>
      <c r="BF62" s="66"/>
      <c r="BG62" s="61"/>
      <c r="BH62" s="63"/>
      <c r="BI62" s="61"/>
      <c r="BJ62" s="61"/>
      <c r="BK62" s="63"/>
      <c r="BL62" s="67"/>
      <c r="BM62" s="63"/>
      <c r="BN62" s="63"/>
      <c r="BO62" s="61"/>
      <c r="BP62" s="63"/>
      <c r="BQ62" s="63"/>
      <c r="BR62" s="63"/>
      <c r="BS62" s="63"/>
      <c r="BT62" s="63"/>
      <c r="BU62" s="63"/>
      <c r="BV62" s="63"/>
      <c r="BW62" s="63"/>
      <c r="BX62" s="63"/>
      <c r="BY62" s="63"/>
      <c r="BZ62" s="63"/>
      <c r="CA62" s="63"/>
      <c r="CB62" s="63"/>
      <c r="CC62" s="63"/>
      <c r="CD62" s="63"/>
      <c r="CE62" s="63"/>
      <c r="CF62" s="63"/>
      <c r="CG62" s="60"/>
      <c r="CH62" s="60"/>
      <c r="CI62" s="38"/>
      <c r="CJ62" s="60"/>
      <c r="CK62" s="60"/>
      <c r="CL62" s="38"/>
      <c r="EU62" s="31"/>
      <c r="EX62" s="31"/>
      <c r="FA62" s="31"/>
      <c r="FD62" s="31"/>
      <c r="FS62" s="31"/>
      <c r="GN62" s="31"/>
      <c r="GQ62" s="31"/>
      <c r="GT62" s="31"/>
      <c r="GW62" s="31"/>
      <c r="HL62" s="33"/>
    </row>
    <row r="63" spans="1:220" s="29" customFormat="1" ht="45" customHeight="1" x14ac:dyDescent="0.2">
      <c r="A63" s="38" t="s">
        <v>188</v>
      </c>
      <c r="B63" s="38" t="s">
        <v>189</v>
      </c>
      <c r="C63" s="38">
        <v>2006</v>
      </c>
      <c r="D63" s="38" t="s">
        <v>190</v>
      </c>
      <c r="E63" s="38" t="s">
        <v>64</v>
      </c>
      <c r="F63" s="38" t="s">
        <v>64</v>
      </c>
      <c r="G63" s="38" t="s">
        <v>191</v>
      </c>
      <c r="H63" s="38" t="s">
        <v>405</v>
      </c>
      <c r="I63" s="38" t="s">
        <v>404</v>
      </c>
      <c r="J63" s="38" t="s">
        <v>301</v>
      </c>
      <c r="K63" s="38" t="s">
        <v>434</v>
      </c>
      <c r="L63" s="38" t="s">
        <v>265</v>
      </c>
      <c r="M63" s="38" t="s">
        <v>268</v>
      </c>
      <c r="N63" s="60">
        <v>1E-3</v>
      </c>
      <c r="O63" s="60"/>
      <c r="P63" s="60"/>
      <c r="Q63" s="60">
        <v>1273</v>
      </c>
      <c r="R63" s="60">
        <v>1573</v>
      </c>
      <c r="S63" s="60"/>
      <c r="T63" s="60"/>
      <c r="U63" s="60"/>
      <c r="V63" s="60"/>
      <c r="W63" s="60"/>
      <c r="X63" s="60"/>
      <c r="Y63" s="60"/>
      <c r="Z63" s="60"/>
      <c r="AA63" s="60"/>
      <c r="AB63" s="60"/>
      <c r="AC63" s="60"/>
      <c r="AD63" s="60"/>
      <c r="AE63" s="60"/>
      <c r="AF63" s="38"/>
      <c r="AG63" s="38"/>
      <c r="AH63" s="38"/>
      <c r="AI63" s="38"/>
      <c r="AJ63" s="38"/>
      <c r="AK63" s="38"/>
      <c r="AL63" s="38"/>
      <c r="AM63" s="38"/>
      <c r="AN63" s="38"/>
      <c r="AO63" s="38" t="s">
        <v>28</v>
      </c>
      <c r="AP63" s="38"/>
      <c r="AQ63" s="61">
        <v>5.0599999999999997E+24</v>
      </c>
      <c r="AR63" s="62"/>
      <c r="AS63" s="59" t="s">
        <v>113</v>
      </c>
      <c r="AT63" s="64">
        <v>0.35699999999999998</v>
      </c>
      <c r="AU63" s="68"/>
      <c r="AV63" s="59" t="s">
        <v>115</v>
      </c>
      <c r="AW63" s="69">
        <v>3.33E+24</v>
      </c>
      <c r="AX63" s="69"/>
      <c r="AY63" s="59" t="s">
        <v>113</v>
      </c>
      <c r="AZ63" s="68">
        <v>0.02</v>
      </c>
      <c r="BA63" s="68"/>
      <c r="BB63" s="38" t="s">
        <v>115</v>
      </c>
      <c r="BC63" s="66">
        <f>1/6</f>
        <v>0.16666666666666666</v>
      </c>
      <c r="BD63" s="68"/>
      <c r="BE63" s="38" t="s">
        <v>116</v>
      </c>
      <c r="BF63" s="66">
        <v>1.22E-5</v>
      </c>
      <c r="BG63" s="68"/>
      <c r="BH63" s="38" t="s">
        <v>113</v>
      </c>
      <c r="BI63" s="68">
        <v>1.05</v>
      </c>
      <c r="BJ63" s="68"/>
      <c r="BK63" s="38" t="s">
        <v>115</v>
      </c>
      <c r="BL63" s="67">
        <v>4.5799999999999999E+26</v>
      </c>
      <c r="BM63" s="38"/>
      <c r="BN63" s="38" t="s">
        <v>116</v>
      </c>
      <c r="BO63" s="38">
        <v>0.752</v>
      </c>
      <c r="BP63" s="38"/>
      <c r="BQ63" s="38" t="s">
        <v>115</v>
      </c>
      <c r="BR63" s="62">
        <v>6.2100000000000003E+30</v>
      </c>
      <c r="BS63" s="38"/>
      <c r="BT63" s="38" t="s">
        <v>113</v>
      </c>
      <c r="BU63" s="38">
        <v>1.83</v>
      </c>
      <c r="BV63" s="38"/>
      <c r="BW63" s="38" t="s">
        <v>115</v>
      </c>
      <c r="BX63" s="38">
        <f>1/6</f>
        <v>0.16666666666666666</v>
      </c>
      <c r="BY63" s="38"/>
      <c r="BZ63" s="38" t="s">
        <v>406</v>
      </c>
      <c r="CA63" s="38">
        <f>2*0.00000272</f>
        <v>5.4399999999999996E-6</v>
      </c>
      <c r="CB63" s="38"/>
      <c r="CC63" s="38" t="s">
        <v>116</v>
      </c>
      <c r="CD63" s="38">
        <v>1.0900000000000001</v>
      </c>
      <c r="CE63" s="38"/>
      <c r="CF63" s="38" t="s">
        <v>116</v>
      </c>
      <c r="CG63" s="38"/>
      <c r="CH63" s="38"/>
      <c r="CI63" s="38"/>
      <c r="CJ63" s="38"/>
      <c r="CK63" s="38"/>
      <c r="CL63" s="38"/>
      <c r="EU63" s="31"/>
      <c r="EX63" s="31"/>
      <c r="FA63" s="31"/>
      <c r="FD63" s="31"/>
      <c r="FS63" s="31"/>
      <c r="GN63" s="31"/>
      <c r="GQ63" s="31"/>
      <c r="GT63" s="31"/>
      <c r="GW63" s="31"/>
      <c r="HL63" s="33"/>
    </row>
    <row r="64" spans="1:220" s="29" customFormat="1" ht="45" customHeight="1" x14ac:dyDescent="0.2">
      <c r="A64" s="29" t="s">
        <v>223</v>
      </c>
      <c r="B64" s="29" t="s">
        <v>272</v>
      </c>
      <c r="C64" s="29">
        <v>2006</v>
      </c>
      <c r="D64" s="59" t="s">
        <v>224</v>
      </c>
      <c r="E64" s="29" t="s">
        <v>64</v>
      </c>
      <c r="F64" s="29" t="s">
        <v>64</v>
      </c>
      <c r="G64" s="29" t="s">
        <v>225</v>
      </c>
      <c r="H64" s="29" t="s">
        <v>229</v>
      </c>
      <c r="I64" s="29" t="s">
        <v>228</v>
      </c>
      <c r="J64" s="29" t="s">
        <v>302</v>
      </c>
      <c r="K64" s="29" t="s">
        <v>227</v>
      </c>
      <c r="L64" s="29" t="s">
        <v>265</v>
      </c>
      <c r="M64" s="29" t="s">
        <v>268</v>
      </c>
      <c r="N64" s="60">
        <v>4</v>
      </c>
      <c r="O64" s="31"/>
      <c r="P64" s="31"/>
      <c r="Q64" s="31">
        <v>873</v>
      </c>
      <c r="R64" s="31">
        <v>1273</v>
      </c>
      <c r="S64" s="31"/>
      <c r="T64" s="31"/>
      <c r="U64" s="31"/>
      <c r="V64" s="31"/>
      <c r="W64" s="31"/>
      <c r="X64" s="31"/>
      <c r="Y64" s="31"/>
      <c r="Z64" s="31"/>
      <c r="AA64" s="31"/>
      <c r="AB64" s="31"/>
      <c r="AC64" s="31"/>
      <c r="AD64" s="31"/>
      <c r="AE64" s="31">
        <v>0.01</v>
      </c>
      <c r="AF64" s="38">
        <v>2.7E-2</v>
      </c>
      <c r="AH64" s="39" t="s">
        <v>577</v>
      </c>
      <c r="AI64" s="29" t="s">
        <v>66</v>
      </c>
      <c r="AN64" s="38" t="s">
        <v>226</v>
      </c>
      <c r="AO64" s="30" t="s">
        <v>28</v>
      </c>
      <c r="AP64" s="30"/>
      <c r="AQ64" s="32">
        <v>2.4</v>
      </c>
      <c r="AR64" s="33"/>
      <c r="AS64" s="30" t="s">
        <v>112</v>
      </c>
      <c r="AT64" s="35">
        <v>1.5860000000000001</v>
      </c>
      <c r="AU64" s="32"/>
      <c r="AV64" s="30" t="s">
        <v>115</v>
      </c>
      <c r="AW64" s="34">
        <v>3</v>
      </c>
      <c r="AX64" s="34">
        <v>0.4</v>
      </c>
      <c r="AY64" s="30" t="s">
        <v>112</v>
      </c>
      <c r="AZ64" s="32">
        <v>0.62</v>
      </c>
      <c r="BA64" s="32">
        <v>0.15</v>
      </c>
      <c r="BB64" s="34" t="s">
        <v>116</v>
      </c>
      <c r="BC64" s="36">
        <v>0.90169999999999995</v>
      </c>
      <c r="BD64" s="32">
        <v>5.1819999999999998E-2</v>
      </c>
      <c r="BE64" s="34" t="s">
        <v>115</v>
      </c>
      <c r="BF64" s="36"/>
      <c r="BG64" s="32"/>
      <c r="BH64" s="34"/>
      <c r="BI64" s="32"/>
      <c r="BJ64" s="32"/>
      <c r="BK64" s="34"/>
      <c r="BL64" s="37"/>
      <c r="BM64" s="34"/>
      <c r="BN64" s="34"/>
      <c r="BO64" s="32"/>
      <c r="BP64" s="34"/>
      <c r="BQ64" s="34"/>
      <c r="BR64" s="34"/>
      <c r="BS64" s="34"/>
      <c r="BT64" s="34"/>
      <c r="BU64" s="34"/>
      <c r="BV64" s="34"/>
      <c r="BW64" s="34"/>
      <c r="BX64" s="34"/>
      <c r="BY64" s="34"/>
      <c r="BZ64" s="34"/>
      <c r="CA64" s="34"/>
      <c r="CB64" s="34"/>
      <c r="CC64" s="34"/>
      <c r="CD64" s="34"/>
      <c r="CE64" s="34"/>
      <c r="CF64" s="34"/>
      <c r="CG64" s="31"/>
      <c r="CH64" s="31"/>
      <c r="CJ64" s="31"/>
      <c r="CK64" s="31"/>
      <c r="EU64" s="31"/>
      <c r="EX64" s="31"/>
      <c r="FA64" s="31"/>
      <c r="FD64" s="31"/>
      <c r="FS64" s="31"/>
      <c r="GN64" s="31"/>
      <c r="GQ64" s="31"/>
      <c r="GT64" s="31"/>
      <c r="GW64" s="31"/>
      <c r="HL64" s="33"/>
    </row>
    <row r="65" spans="1:220" s="29" customFormat="1" ht="45" customHeight="1" x14ac:dyDescent="0.2">
      <c r="A65" s="38" t="s">
        <v>58</v>
      </c>
      <c r="B65" s="38" t="s">
        <v>60</v>
      </c>
      <c r="C65" s="38">
        <v>2009</v>
      </c>
      <c r="D65" s="38" t="s">
        <v>59</v>
      </c>
      <c r="E65" s="38" t="s">
        <v>64</v>
      </c>
      <c r="F65" s="38" t="s">
        <v>64</v>
      </c>
      <c r="G65" s="38" t="s">
        <v>65</v>
      </c>
      <c r="H65" s="38" t="s">
        <v>67</v>
      </c>
      <c r="I65" s="38" t="s">
        <v>228</v>
      </c>
      <c r="J65" s="38" t="s">
        <v>310</v>
      </c>
      <c r="K65" s="38" t="s">
        <v>490</v>
      </c>
      <c r="L65" s="38" t="s">
        <v>265</v>
      </c>
      <c r="M65" s="38" t="s">
        <v>268</v>
      </c>
      <c r="N65" s="60">
        <v>8</v>
      </c>
      <c r="O65" s="60"/>
      <c r="P65" s="60"/>
      <c r="Q65" s="60">
        <v>873</v>
      </c>
      <c r="R65" s="60">
        <v>1273</v>
      </c>
      <c r="S65" s="60"/>
      <c r="T65" s="60"/>
      <c r="U65" s="60"/>
      <c r="V65" s="60"/>
      <c r="W65" s="60"/>
      <c r="X65" s="60"/>
      <c r="Y65" s="60"/>
      <c r="Z65" s="60"/>
      <c r="AA65" s="60"/>
      <c r="AB65" s="60"/>
      <c r="AC65" s="60"/>
      <c r="AD65" s="60"/>
      <c r="AE65" s="60">
        <v>0</v>
      </c>
      <c r="AF65" s="38">
        <v>4.2000000000000003E-2</v>
      </c>
      <c r="AG65" s="38"/>
      <c r="AH65" s="39" t="s">
        <v>577</v>
      </c>
      <c r="AI65" s="38" t="s">
        <v>66</v>
      </c>
      <c r="AJ65" s="38"/>
      <c r="AK65" s="38"/>
      <c r="AL65" s="38"/>
      <c r="AM65" s="38"/>
      <c r="AN65" s="38" t="s">
        <v>61</v>
      </c>
      <c r="AO65" s="38" t="s">
        <v>28</v>
      </c>
      <c r="AP65" s="38" t="s">
        <v>407</v>
      </c>
      <c r="AQ65" s="61">
        <v>2.2000000000000002</v>
      </c>
      <c r="AR65" s="62"/>
      <c r="AS65" s="59" t="s">
        <v>112</v>
      </c>
      <c r="AT65" s="64">
        <v>1.5960000000000001</v>
      </c>
      <c r="AU65" s="68"/>
      <c r="AV65" s="59" t="s">
        <v>115</v>
      </c>
      <c r="AW65" s="69">
        <v>2.35</v>
      </c>
      <c r="AX65" s="69"/>
      <c r="AY65" s="59" t="s">
        <v>112</v>
      </c>
      <c r="AZ65" s="68">
        <v>0.62</v>
      </c>
      <c r="BA65" s="68"/>
      <c r="BB65" s="38" t="s">
        <v>114</v>
      </c>
      <c r="BC65" s="66">
        <v>0.84989999999999999</v>
      </c>
      <c r="BD65" s="68"/>
      <c r="BE65" s="38" t="s">
        <v>115</v>
      </c>
      <c r="BF65" s="66"/>
      <c r="BG65" s="68"/>
      <c r="BH65" s="38"/>
      <c r="BI65" s="68"/>
      <c r="BJ65" s="68"/>
      <c r="BK65" s="38"/>
      <c r="BL65" s="67"/>
      <c r="BM65" s="38"/>
      <c r="BN65" s="38"/>
      <c r="BO65" s="38"/>
      <c r="BP65" s="38"/>
      <c r="BQ65" s="38"/>
      <c r="BR65" s="38"/>
      <c r="BS65" s="38"/>
      <c r="BT65" s="38"/>
      <c r="BU65" s="38"/>
      <c r="BV65" s="38"/>
      <c r="BW65" s="38"/>
      <c r="BX65" s="38"/>
      <c r="BY65" s="38"/>
      <c r="BZ65" s="38"/>
      <c r="CA65" s="38"/>
      <c r="CB65" s="38"/>
      <c r="CC65" s="38"/>
      <c r="CD65" s="38"/>
      <c r="CE65" s="38"/>
      <c r="CF65" s="38"/>
      <c r="CG65" s="38"/>
      <c r="CH65" s="38"/>
      <c r="CI65" s="38"/>
      <c r="CJ65" s="38"/>
      <c r="CK65" s="38"/>
      <c r="CL65" s="38"/>
      <c r="EU65" s="31"/>
      <c r="EX65" s="31"/>
      <c r="FA65" s="31"/>
      <c r="FD65" s="31"/>
      <c r="FS65" s="31"/>
      <c r="GN65" s="31"/>
      <c r="GQ65" s="31"/>
      <c r="GT65" s="31"/>
      <c r="GW65" s="31"/>
      <c r="HL65" s="33"/>
    </row>
    <row r="66" spans="1:220" s="38" customFormat="1" ht="45" customHeight="1" x14ac:dyDescent="0.2">
      <c r="A66" s="29" t="s">
        <v>231</v>
      </c>
      <c r="B66" s="29" t="s">
        <v>232</v>
      </c>
      <c r="C66" s="29">
        <v>2009</v>
      </c>
      <c r="D66" s="59" t="s">
        <v>233</v>
      </c>
      <c r="E66" s="29" t="s">
        <v>64</v>
      </c>
      <c r="F66" s="29" t="s">
        <v>519</v>
      </c>
      <c r="G66" s="29" t="s">
        <v>230</v>
      </c>
      <c r="H66" s="29" t="s">
        <v>521</v>
      </c>
      <c r="I66" s="29" t="s">
        <v>177</v>
      </c>
      <c r="J66" s="29" t="s">
        <v>303</v>
      </c>
      <c r="K66" s="29" t="s">
        <v>520</v>
      </c>
      <c r="L66" s="29" t="s">
        <v>265</v>
      </c>
      <c r="M66" s="29" t="s">
        <v>268</v>
      </c>
      <c r="N66" s="60">
        <v>10</v>
      </c>
      <c r="O66" s="31"/>
      <c r="P66" s="31"/>
      <c r="Q66" s="60">
        <v>500</v>
      </c>
      <c r="R66" s="60">
        <v>2000</v>
      </c>
      <c r="S66" s="60"/>
      <c r="T66" s="60"/>
      <c r="U66" s="60"/>
      <c r="V66" s="60"/>
      <c r="W66" s="60"/>
      <c r="X66" s="60"/>
      <c r="Y66" s="60"/>
      <c r="Z66" s="60"/>
      <c r="AA66" s="60"/>
      <c r="AB66" s="60"/>
      <c r="AC66" s="60"/>
      <c r="AD66" s="60"/>
      <c r="AE66" s="31">
        <v>5.0000000000000001E-3</v>
      </c>
      <c r="AF66" s="38">
        <v>0.17899999999999999</v>
      </c>
      <c r="AG66" s="29"/>
      <c r="AH66" s="39" t="s">
        <v>577</v>
      </c>
      <c r="AI66" s="29" t="s">
        <v>66</v>
      </c>
      <c r="AJ66" s="29"/>
      <c r="AK66" s="29"/>
      <c r="AL66" s="29"/>
      <c r="AM66" s="29"/>
      <c r="AN66" s="29" t="s">
        <v>61</v>
      </c>
      <c r="AO66" s="30" t="s">
        <v>28</v>
      </c>
      <c r="AP66" s="30"/>
      <c r="AQ66" s="32">
        <v>4.7300000000000004</v>
      </c>
      <c r="AR66" s="33">
        <v>0.53</v>
      </c>
      <c r="AS66" s="30" t="s">
        <v>112</v>
      </c>
      <c r="AT66" s="35">
        <v>2.31</v>
      </c>
      <c r="AU66" s="32">
        <v>7.0000000000000007E-2</v>
      </c>
      <c r="AV66" s="30" t="s">
        <v>115</v>
      </c>
      <c r="AW66" s="34">
        <v>2.98</v>
      </c>
      <c r="AX66" s="34">
        <v>0.85</v>
      </c>
      <c r="AY66" s="30" t="s">
        <v>112</v>
      </c>
      <c r="AZ66" s="32">
        <v>1.71</v>
      </c>
      <c r="BA66" s="32">
        <v>0.44</v>
      </c>
      <c r="BB66" s="34" t="s">
        <v>115</v>
      </c>
      <c r="BC66" s="36"/>
      <c r="BD66" s="32"/>
      <c r="BE66" s="34"/>
      <c r="BF66" s="36"/>
      <c r="BG66" s="32"/>
      <c r="BH66" s="34"/>
      <c r="BI66" s="32"/>
      <c r="BJ66" s="32"/>
      <c r="BK66" s="34"/>
      <c r="BL66" s="37"/>
      <c r="BM66" s="34"/>
      <c r="BN66" s="34"/>
      <c r="BO66" s="32"/>
      <c r="BP66" s="34"/>
      <c r="BQ66" s="34"/>
      <c r="BR66" s="34"/>
      <c r="BS66" s="34"/>
      <c r="BT66" s="34"/>
      <c r="BU66" s="34"/>
      <c r="BV66" s="34"/>
      <c r="BW66" s="34"/>
      <c r="BX66" s="34"/>
      <c r="BY66" s="34"/>
      <c r="BZ66" s="34"/>
      <c r="CA66" s="34"/>
      <c r="CB66" s="34"/>
      <c r="CC66" s="34"/>
      <c r="CD66" s="34"/>
      <c r="CE66" s="34"/>
      <c r="CF66" s="34"/>
      <c r="CG66" s="31"/>
      <c r="CH66" s="31"/>
      <c r="CI66" s="29"/>
      <c r="CJ66" s="31"/>
      <c r="CK66" s="31"/>
      <c r="CL66" s="29"/>
      <c r="EU66" s="60"/>
      <c r="EX66" s="60"/>
      <c r="FA66" s="60"/>
      <c r="FD66" s="60"/>
      <c r="FS66" s="60"/>
      <c r="GN66" s="60"/>
      <c r="GQ66" s="60"/>
      <c r="GT66" s="60"/>
      <c r="GW66" s="60"/>
      <c r="HL66" s="62"/>
    </row>
    <row r="67" spans="1:220" s="38" customFormat="1" ht="45" customHeight="1" x14ac:dyDescent="0.2">
      <c r="A67" s="29" t="s">
        <v>231</v>
      </c>
      <c r="B67" s="29" t="s">
        <v>232</v>
      </c>
      <c r="C67" s="29">
        <v>2009</v>
      </c>
      <c r="D67" s="59" t="s">
        <v>233</v>
      </c>
      <c r="E67" s="29" t="s">
        <v>64</v>
      </c>
      <c r="F67" s="29" t="s">
        <v>64</v>
      </c>
      <c r="G67" s="29" t="s">
        <v>230</v>
      </c>
      <c r="H67" s="29" t="s">
        <v>371</v>
      </c>
      <c r="I67" s="29" t="s">
        <v>276</v>
      </c>
      <c r="J67" s="29" t="s">
        <v>303</v>
      </c>
      <c r="K67" s="29" t="s">
        <v>494</v>
      </c>
      <c r="L67" s="29" t="s">
        <v>265</v>
      </c>
      <c r="M67" s="29" t="s">
        <v>268</v>
      </c>
      <c r="N67" s="60">
        <v>10</v>
      </c>
      <c r="O67" s="31"/>
      <c r="P67" s="31"/>
      <c r="Q67" s="60">
        <v>500</v>
      </c>
      <c r="R67" s="60">
        <v>2000</v>
      </c>
      <c r="S67" s="60"/>
      <c r="T67" s="60"/>
      <c r="U67" s="60"/>
      <c r="V67" s="60"/>
      <c r="W67" s="60"/>
      <c r="X67" s="60"/>
      <c r="Y67" s="60"/>
      <c r="Z67" s="60"/>
      <c r="AA67" s="60"/>
      <c r="AB67" s="60"/>
      <c r="AC67" s="60"/>
      <c r="AD67" s="60"/>
      <c r="AE67" s="31">
        <v>5.0000000000000001E-3</v>
      </c>
      <c r="AF67" s="38">
        <v>0.17899999999999999</v>
      </c>
      <c r="AG67" s="29"/>
      <c r="AH67" s="39" t="s">
        <v>577</v>
      </c>
      <c r="AI67" s="29" t="s">
        <v>66</v>
      </c>
      <c r="AJ67" s="29"/>
      <c r="AK67" s="29"/>
      <c r="AL67" s="29"/>
      <c r="AM67" s="29"/>
      <c r="AN67" s="29" t="s">
        <v>61</v>
      </c>
      <c r="AO67" s="30" t="s">
        <v>28</v>
      </c>
      <c r="AP67" s="30"/>
      <c r="AQ67" s="32">
        <v>4.7300000000000004</v>
      </c>
      <c r="AR67" s="33">
        <v>0.53</v>
      </c>
      <c r="AS67" s="30" t="s">
        <v>112</v>
      </c>
      <c r="AT67" s="35">
        <v>2.31</v>
      </c>
      <c r="AU67" s="32">
        <v>7.0000000000000007E-2</v>
      </c>
      <c r="AV67" s="30" t="s">
        <v>115</v>
      </c>
      <c r="AW67" s="34">
        <v>2.98</v>
      </c>
      <c r="AX67" s="34">
        <v>0.85</v>
      </c>
      <c r="AY67" s="30" t="s">
        <v>112</v>
      </c>
      <c r="AZ67" s="32">
        <v>1.71</v>
      </c>
      <c r="BA67" s="32">
        <v>0.44</v>
      </c>
      <c r="BB67" s="34" t="s">
        <v>115</v>
      </c>
      <c r="BC67" s="36">
        <v>1.9</v>
      </c>
      <c r="BD67" s="32">
        <v>0.44</v>
      </c>
      <c r="BE67" s="34" t="s">
        <v>112</v>
      </c>
      <c r="BF67" s="36">
        <v>0.92</v>
      </c>
      <c r="BG67" s="32">
        <v>0.04</v>
      </c>
      <c r="BH67" s="34" t="s">
        <v>115</v>
      </c>
      <c r="BI67" s="32">
        <v>-0.16</v>
      </c>
      <c r="BJ67" s="32">
        <v>0.02</v>
      </c>
      <c r="BK67" s="34" t="s">
        <v>116</v>
      </c>
      <c r="BL67" s="37">
        <v>0.33333333333333331</v>
      </c>
      <c r="BM67" s="34"/>
      <c r="BN67" s="34" t="s">
        <v>116</v>
      </c>
      <c r="BO67" s="32"/>
      <c r="BP67" s="34"/>
      <c r="BQ67" s="34"/>
      <c r="BR67" s="34"/>
      <c r="BS67" s="34"/>
      <c r="BT67" s="34"/>
      <c r="BU67" s="34"/>
      <c r="BV67" s="34"/>
      <c r="BW67" s="34"/>
      <c r="BX67" s="34"/>
      <c r="BY67" s="34"/>
      <c r="BZ67" s="34"/>
      <c r="CA67" s="34"/>
      <c r="CB67" s="34"/>
      <c r="CC67" s="34"/>
      <c r="CD67" s="34"/>
      <c r="CE67" s="34"/>
      <c r="CF67" s="34"/>
      <c r="CG67" s="31"/>
      <c r="CH67" s="31"/>
      <c r="CI67" s="29"/>
      <c r="CJ67" s="31"/>
      <c r="CK67" s="31"/>
      <c r="CL67" s="29"/>
      <c r="EU67" s="60"/>
      <c r="EX67" s="60"/>
      <c r="FA67" s="60"/>
      <c r="FD67" s="60"/>
      <c r="FS67" s="60"/>
      <c r="GN67" s="60"/>
      <c r="GQ67" s="60"/>
      <c r="GT67" s="60"/>
      <c r="GW67" s="60"/>
      <c r="HL67" s="62"/>
    </row>
    <row r="68" spans="1:220" s="38" customFormat="1" ht="45" customHeight="1" x14ac:dyDescent="0.2">
      <c r="A68" s="38" t="s">
        <v>234</v>
      </c>
      <c r="B68" s="38" t="s">
        <v>235</v>
      </c>
      <c r="C68" s="38">
        <v>2012</v>
      </c>
      <c r="D68" s="38" t="s">
        <v>236</v>
      </c>
      <c r="E68" s="38" t="s">
        <v>64</v>
      </c>
      <c r="F68" s="38" t="s">
        <v>64</v>
      </c>
      <c r="G68" s="38" t="s">
        <v>230</v>
      </c>
      <c r="H68" s="38" t="s">
        <v>237</v>
      </c>
      <c r="I68" s="38" t="s">
        <v>279</v>
      </c>
      <c r="J68" s="38" t="s">
        <v>304</v>
      </c>
      <c r="K68" s="38" t="s">
        <v>495</v>
      </c>
      <c r="L68" s="38" t="s">
        <v>265</v>
      </c>
      <c r="M68" s="38" t="s">
        <v>268</v>
      </c>
      <c r="N68" s="60"/>
      <c r="O68" s="60">
        <v>5</v>
      </c>
      <c r="P68" s="60">
        <v>18</v>
      </c>
      <c r="Q68" s="60">
        <v>500</v>
      </c>
      <c r="R68" s="60">
        <v>1600</v>
      </c>
      <c r="S68" s="60"/>
      <c r="T68" s="60"/>
      <c r="U68" s="60"/>
      <c r="V68" s="60"/>
      <c r="W68" s="60"/>
      <c r="X68" s="60"/>
      <c r="Y68" s="60"/>
      <c r="Z68" s="60"/>
      <c r="AA68" s="60"/>
      <c r="AB68" s="60"/>
      <c r="AC68" s="60"/>
      <c r="AD68" s="60"/>
      <c r="AE68" s="60"/>
      <c r="AN68" s="38" t="s">
        <v>61</v>
      </c>
      <c r="AO68" s="38" t="s">
        <v>28</v>
      </c>
      <c r="AQ68" s="61">
        <v>525</v>
      </c>
      <c r="AR68" s="62">
        <v>37</v>
      </c>
      <c r="AS68" s="59" t="s">
        <v>113</v>
      </c>
      <c r="AT68" s="64">
        <v>1.96</v>
      </c>
      <c r="AU68" s="68">
        <v>0.02</v>
      </c>
      <c r="AV68" s="59" t="s">
        <v>115</v>
      </c>
      <c r="AW68" s="69">
        <v>-1.49</v>
      </c>
      <c r="AX68" s="69">
        <v>0.03</v>
      </c>
      <c r="AY68" s="59" t="s">
        <v>116</v>
      </c>
      <c r="AZ68" s="68">
        <v>-0.01</v>
      </c>
      <c r="BA68" s="68">
        <v>0.04</v>
      </c>
      <c r="BB68" s="38" t="s">
        <v>123</v>
      </c>
      <c r="BC68" s="66">
        <v>-0.22</v>
      </c>
      <c r="BD68" s="68">
        <v>0.34</v>
      </c>
      <c r="BE68" s="38" t="s">
        <v>116</v>
      </c>
      <c r="BF68" s="66"/>
      <c r="BG68" s="68"/>
      <c r="BI68" s="68"/>
      <c r="BJ68" s="68"/>
      <c r="BL68" s="67"/>
      <c r="EU68" s="60"/>
      <c r="EX68" s="60"/>
      <c r="FA68" s="60"/>
      <c r="FD68" s="60"/>
      <c r="FS68" s="60"/>
      <c r="GN68" s="60"/>
      <c r="GQ68" s="60"/>
      <c r="GT68" s="60"/>
      <c r="GW68" s="60"/>
      <c r="HL68" s="62"/>
    </row>
    <row r="69" spans="1:220" s="38" customFormat="1" ht="45" customHeight="1" x14ac:dyDescent="0.2">
      <c r="A69" s="29" t="s">
        <v>311</v>
      </c>
      <c r="B69" s="29" t="s">
        <v>312</v>
      </c>
      <c r="C69" s="29">
        <v>2012</v>
      </c>
      <c r="D69" s="29" t="s">
        <v>313</v>
      </c>
      <c r="E69" s="29" t="s">
        <v>64</v>
      </c>
      <c r="F69" s="29" t="s">
        <v>64</v>
      </c>
      <c r="G69" s="29" t="s">
        <v>62</v>
      </c>
      <c r="H69" s="29" t="s">
        <v>68</v>
      </c>
      <c r="I69" s="29" t="s">
        <v>15</v>
      </c>
      <c r="J69" s="49" t="s">
        <v>387</v>
      </c>
      <c r="K69" s="29" t="s">
        <v>431</v>
      </c>
      <c r="L69" s="29" t="s">
        <v>265</v>
      </c>
      <c r="M69" s="29" t="s">
        <v>269</v>
      </c>
      <c r="N69" s="31">
        <v>0.1</v>
      </c>
      <c r="O69" s="31"/>
      <c r="P69" s="31"/>
      <c r="Q69" s="31">
        <v>473.15</v>
      </c>
      <c r="R69" s="31">
        <v>1073.1500000000001</v>
      </c>
      <c r="S69" s="31"/>
      <c r="T69" s="31"/>
      <c r="U69" s="31"/>
      <c r="V69" s="31"/>
      <c r="W69" s="31"/>
      <c r="X69" s="31"/>
      <c r="Y69" s="31"/>
      <c r="Z69" s="31"/>
      <c r="AA69" s="31"/>
      <c r="AB69" s="31"/>
      <c r="AC69" s="31"/>
      <c r="AD69" s="31"/>
      <c r="AE69" s="31">
        <v>35</v>
      </c>
      <c r="AF69" s="29">
        <v>40</v>
      </c>
      <c r="AG69" s="29"/>
      <c r="AH69" s="29" t="s">
        <v>583</v>
      </c>
      <c r="AI69" s="29" t="s">
        <v>55</v>
      </c>
      <c r="AJ69" s="29"/>
      <c r="AK69" s="29"/>
      <c r="AL69" s="29"/>
      <c r="AM69" s="29"/>
      <c r="AN69" s="29" t="s">
        <v>54</v>
      </c>
      <c r="AO69" s="30" t="s">
        <v>262</v>
      </c>
      <c r="AP69" s="30"/>
      <c r="AQ69" s="32">
        <v>0.93</v>
      </c>
      <c r="AR69" s="33">
        <v>0.26</v>
      </c>
      <c r="AS69" s="30" t="s">
        <v>112</v>
      </c>
      <c r="AT69" s="35">
        <v>0.95311999999999997</v>
      </c>
      <c r="AU69" s="32">
        <v>4.1439999999999998E-2</v>
      </c>
      <c r="AV69" s="30" t="s">
        <v>115</v>
      </c>
      <c r="AW69" s="34"/>
      <c r="AX69" s="34"/>
      <c r="AY69" s="30"/>
      <c r="AZ69" s="32"/>
      <c r="BA69" s="32"/>
      <c r="BB69" s="34"/>
      <c r="BC69" s="36"/>
      <c r="BD69" s="32"/>
      <c r="BE69" s="34"/>
      <c r="BF69" s="36"/>
      <c r="BG69" s="32"/>
      <c r="BH69" s="34"/>
      <c r="BI69" s="32"/>
      <c r="BJ69" s="32"/>
      <c r="BK69" s="34"/>
      <c r="BL69" s="37"/>
      <c r="BM69" s="34"/>
      <c r="BN69" s="34"/>
      <c r="BO69" s="32"/>
      <c r="BP69" s="34"/>
      <c r="BQ69" s="34"/>
      <c r="BR69" s="34"/>
      <c r="BS69" s="34"/>
      <c r="BT69" s="34"/>
      <c r="BU69" s="34"/>
      <c r="BV69" s="34"/>
      <c r="BW69" s="34"/>
      <c r="BX69" s="34"/>
      <c r="BY69" s="34"/>
      <c r="BZ69" s="34"/>
      <c r="CA69" s="34"/>
      <c r="CB69" s="34"/>
      <c r="CC69" s="34"/>
      <c r="CD69" s="34"/>
      <c r="CE69" s="34"/>
      <c r="CF69" s="34"/>
      <c r="CG69" s="31"/>
      <c r="CH69" s="31"/>
      <c r="CI69" s="29"/>
      <c r="CJ69" s="31"/>
      <c r="CK69" s="31"/>
      <c r="CL69" s="29"/>
      <c r="EU69" s="60"/>
      <c r="EX69" s="60"/>
      <c r="FA69" s="60"/>
      <c r="FD69" s="60"/>
      <c r="FS69" s="60"/>
      <c r="GN69" s="60"/>
      <c r="GQ69" s="60"/>
      <c r="GT69" s="60"/>
      <c r="GW69" s="60"/>
      <c r="HL69" s="62"/>
    </row>
    <row r="70" spans="1:220" s="29" customFormat="1" ht="45" customHeight="1" x14ac:dyDescent="0.2">
      <c r="A70" s="29" t="s">
        <v>311</v>
      </c>
      <c r="B70" s="29" t="s">
        <v>312</v>
      </c>
      <c r="C70" s="29">
        <v>2012</v>
      </c>
      <c r="D70" s="29" t="s">
        <v>313</v>
      </c>
      <c r="E70" s="29" t="s">
        <v>64</v>
      </c>
      <c r="F70" s="29" t="s">
        <v>64</v>
      </c>
      <c r="G70" s="29" t="s">
        <v>62</v>
      </c>
      <c r="H70" s="29" t="s">
        <v>68</v>
      </c>
      <c r="I70" s="29" t="s">
        <v>15</v>
      </c>
      <c r="J70" s="49" t="s">
        <v>387</v>
      </c>
      <c r="K70" s="29" t="s">
        <v>432</v>
      </c>
      <c r="L70" s="29" t="s">
        <v>265</v>
      </c>
      <c r="M70" s="29" t="s">
        <v>269</v>
      </c>
      <c r="N70" s="31">
        <v>0.1</v>
      </c>
      <c r="O70" s="31"/>
      <c r="P70" s="31"/>
      <c r="Q70" s="31">
        <v>473.15</v>
      </c>
      <c r="R70" s="31">
        <v>1073.1500000000001</v>
      </c>
      <c r="S70" s="31"/>
      <c r="T70" s="31"/>
      <c r="U70" s="31"/>
      <c r="V70" s="31"/>
      <c r="W70" s="31"/>
      <c r="X70" s="31"/>
      <c r="Y70" s="31"/>
      <c r="Z70" s="31"/>
      <c r="AA70" s="31"/>
      <c r="AB70" s="31"/>
      <c r="AC70" s="31"/>
      <c r="AD70" s="31"/>
      <c r="AE70" s="31">
        <v>35</v>
      </c>
      <c r="AF70" s="29">
        <v>40</v>
      </c>
      <c r="AH70" s="29" t="s">
        <v>583</v>
      </c>
      <c r="AI70" s="29" t="s">
        <v>55</v>
      </c>
      <c r="AN70" s="29" t="s">
        <v>54</v>
      </c>
      <c r="AO70" s="30" t="s">
        <v>263</v>
      </c>
      <c r="AP70" s="30"/>
      <c r="AQ70" s="32">
        <v>0.93</v>
      </c>
      <c r="AR70" s="33">
        <v>0.52</v>
      </c>
      <c r="AS70" s="30" t="s">
        <v>112</v>
      </c>
      <c r="AT70" s="35">
        <v>0.95311999999999997</v>
      </c>
      <c r="AU70" s="32">
        <v>7.2520000000000001E-2</v>
      </c>
      <c r="AV70" s="30" t="s">
        <v>115</v>
      </c>
      <c r="AW70" s="34"/>
      <c r="AX70" s="34"/>
      <c r="AY70" s="30"/>
      <c r="AZ70" s="32"/>
      <c r="BA70" s="32"/>
      <c r="BB70" s="34"/>
      <c r="BC70" s="36"/>
      <c r="BD70" s="32"/>
      <c r="BE70" s="34"/>
      <c r="BF70" s="36"/>
      <c r="BG70" s="32"/>
      <c r="BH70" s="34"/>
      <c r="BI70" s="32"/>
      <c r="BJ70" s="32"/>
      <c r="BK70" s="34"/>
      <c r="BL70" s="37"/>
      <c r="BM70" s="34"/>
      <c r="BN70" s="34"/>
      <c r="BO70" s="32"/>
      <c r="BP70" s="34"/>
      <c r="BQ70" s="34"/>
      <c r="BR70" s="34"/>
      <c r="BS70" s="34"/>
      <c r="BT70" s="34"/>
      <c r="BU70" s="34"/>
      <c r="BV70" s="34"/>
      <c r="BW70" s="34"/>
      <c r="BX70" s="34"/>
      <c r="BY70" s="34"/>
      <c r="BZ70" s="34"/>
      <c r="CA70" s="34"/>
      <c r="CB70" s="34"/>
      <c r="CC70" s="34"/>
      <c r="CD70" s="34"/>
      <c r="CE70" s="34"/>
      <c r="CF70" s="34"/>
      <c r="CG70" s="31"/>
      <c r="CH70" s="31"/>
      <c r="CJ70" s="31"/>
      <c r="CK70" s="31"/>
      <c r="EU70" s="31"/>
      <c r="EX70" s="31"/>
      <c r="FA70" s="31"/>
      <c r="FD70" s="31"/>
      <c r="FS70" s="31"/>
      <c r="GN70" s="31"/>
      <c r="GQ70" s="31"/>
      <c r="GT70" s="31"/>
      <c r="GW70" s="31"/>
      <c r="HL70" s="33"/>
    </row>
    <row r="71" spans="1:220" s="29" customFormat="1" ht="45" customHeight="1" x14ac:dyDescent="0.2">
      <c r="A71" s="29" t="s">
        <v>311</v>
      </c>
      <c r="B71" s="29" t="s">
        <v>312</v>
      </c>
      <c r="C71" s="29">
        <v>2012</v>
      </c>
      <c r="D71" s="29" t="s">
        <v>313</v>
      </c>
      <c r="E71" s="29" t="s">
        <v>64</v>
      </c>
      <c r="F71" s="29" t="s">
        <v>64</v>
      </c>
      <c r="G71" s="29" t="s">
        <v>62</v>
      </c>
      <c r="H71" s="29" t="s">
        <v>68</v>
      </c>
      <c r="I71" s="29" t="s">
        <v>15</v>
      </c>
      <c r="J71" s="49" t="s">
        <v>387</v>
      </c>
      <c r="K71" s="29" t="s">
        <v>433</v>
      </c>
      <c r="L71" s="29" t="s">
        <v>265</v>
      </c>
      <c r="M71" s="29" t="s">
        <v>269</v>
      </c>
      <c r="N71" s="31">
        <v>0.1</v>
      </c>
      <c r="O71" s="31"/>
      <c r="P71" s="31"/>
      <c r="Q71" s="31">
        <v>473.15</v>
      </c>
      <c r="R71" s="31">
        <v>1073.1500000000001</v>
      </c>
      <c r="S71" s="31"/>
      <c r="T71" s="31"/>
      <c r="U71" s="31"/>
      <c r="V71" s="31"/>
      <c r="W71" s="31"/>
      <c r="X71" s="31"/>
      <c r="Y71" s="31"/>
      <c r="Z71" s="31"/>
      <c r="AA71" s="31"/>
      <c r="AB71" s="31"/>
      <c r="AC71" s="31"/>
      <c r="AD71" s="31"/>
      <c r="AE71" s="31">
        <v>35</v>
      </c>
      <c r="AF71" s="29">
        <v>40</v>
      </c>
      <c r="AH71" s="29" t="s">
        <v>583</v>
      </c>
      <c r="AI71" s="29" t="s">
        <v>55</v>
      </c>
      <c r="AN71" s="29" t="s">
        <v>54</v>
      </c>
      <c r="AO71" s="30" t="s">
        <v>261</v>
      </c>
      <c r="AP71" s="30"/>
      <c r="AQ71" s="32">
        <v>0.38</v>
      </c>
      <c r="AR71" s="33">
        <v>0.47</v>
      </c>
      <c r="AS71" s="30" t="s">
        <v>112</v>
      </c>
      <c r="AT71" s="35">
        <v>0.8702399999999999</v>
      </c>
      <c r="AU71" s="32">
        <v>6.2159999999999993E-2</v>
      </c>
      <c r="AV71" s="30" t="s">
        <v>115</v>
      </c>
      <c r="AW71" s="34"/>
      <c r="AX71" s="34"/>
      <c r="AY71" s="30"/>
      <c r="AZ71" s="32"/>
      <c r="BA71" s="32"/>
      <c r="BB71" s="34"/>
      <c r="BC71" s="36"/>
      <c r="BD71" s="32"/>
      <c r="BE71" s="34"/>
      <c r="BF71" s="36"/>
      <c r="BG71" s="32"/>
      <c r="BH71" s="34"/>
      <c r="BI71" s="32"/>
      <c r="BJ71" s="32"/>
      <c r="BK71" s="34"/>
      <c r="BL71" s="37"/>
      <c r="BM71" s="34"/>
      <c r="BN71" s="34"/>
      <c r="BO71" s="32"/>
      <c r="BP71" s="34"/>
      <c r="BQ71" s="34"/>
      <c r="BR71" s="34"/>
      <c r="BS71" s="34"/>
      <c r="BT71" s="34"/>
      <c r="BU71" s="34"/>
      <c r="BV71" s="34"/>
      <c r="BW71" s="34"/>
      <c r="BX71" s="34"/>
      <c r="BY71" s="34"/>
      <c r="BZ71" s="34"/>
      <c r="CA71" s="34"/>
      <c r="CB71" s="34"/>
      <c r="CC71" s="34"/>
      <c r="CD71" s="34"/>
      <c r="CE71" s="34"/>
      <c r="CF71" s="34"/>
      <c r="CG71" s="31"/>
      <c r="CH71" s="31"/>
      <c r="CJ71" s="31"/>
      <c r="CK71" s="31"/>
      <c r="EU71" s="31"/>
      <c r="EX71" s="31"/>
      <c r="FA71" s="31"/>
      <c r="FD71" s="31"/>
      <c r="FS71" s="31"/>
      <c r="GN71" s="31"/>
      <c r="GQ71" s="31"/>
      <c r="GT71" s="31"/>
      <c r="GW71" s="31"/>
      <c r="HL71" s="33"/>
    </row>
    <row r="72" spans="1:220" s="29" customFormat="1" ht="45" customHeight="1" x14ac:dyDescent="0.2">
      <c r="A72" s="38" t="s">
        <v>238</v>
      </c>
      <c r="B72" s="38" t="s">
        <v>239</v>
      </c>
      <c r="C72" s="38">
        <v>2014</v>
      </c>
      <c r="D72" s="38" t="s">
        <v>240</v>
      </c>
      <c r="E72" s="38" t="s">
        <v>64</v>
      </c>
      <c r="F72" s="38" t="s">
        <v>64</v>
      </c>
      <c r="G72" s="38" t="s">
        <v>191</v>
      </c>
      <c r="H72" s="38" t="s">
        <v>373</v>
      </c>
      <c r="I72" s="38" t="s">
        <v>276</v>
      </c>
      <c r="J72" s="38" t="s">
        <v>306</v>
      </c>
      <c r="K72" s="38" t="s">
        <v>496</v>
      </c>
      <c r="L72" s="38" t="s">
        <v>265</v>
      </c>
      <c r="M72" s="38" t="s">
        <v>269</v>
      </c>
      <c r="N72" s="60"/>
      <c r="O72" s="60">
        <v>1E-3</v>
      </c>
      <c r="P72" s="60">
        <v>10</v>
      </c>
      <c r="Q72" s="60">
        <v>473</v>
      </c>
      <c r="R72" s="60">
        <v>2000</v>
      </c>
      <c r="S72" s="60"/>
      <c r="T72" s="60"/>
      <c r="U72" s="60"/>
      <c r="V72" s="60"/>
      <c r="W72" s="60"/>
      <c r="X72" s="60"/>
      <c r="Y72" s="60"/>
      <c r="Z72" s="60"/>
      <c r="AA72" s="60"/>
      <c r="AB72" s="60"/>
      <c r="AC72" s="60"/>
      <c r="AD72" s="60"/>
      <c r="AE72" s="60">
        <v>0</v>
      </c>
      <c r="AF72" s="38">
        <v>1500</v>
      </c>
      <c r="AG72" s="38"/>
      <c r="AH72" s="38" t="s">
        <v>581</v>
      </c>
      <c r="AI72" s="38" t="s">
        <v>55</v>
      </c>
      <c r="AJ72" s="38"/>
      <c r="AK72" s="38"/>
      <c r="AL72" s="38"/>
      <c r="AM72" s="38"/>
      <c r="AN72" s="38"/>
      <c r="AO72" s="38" t="s">
        <v>262</v>
      </c>
      <c r="AP72" s="38" t="s">
        <v>845</v>
      </c>
      <c r="AQ72" s="61">
        <v>5.92</v>
      </c>
      <c r="AR72" s="62">
        <v>1.99</v>
      </c>
      <c r="AS72" s="59" t="s">
        <v>112</v>
      </c>
      <c r="AT72" s="64">
        <f>261*0.00008617333262/0.00831446261815324</f>
        <v>2.7050743802388544</v>
      </c>
      <c r="AU72" s="68">
        <v>0.49727999999999994</v>
      </c>
      <c r="AV72" s="59" t="s">
        <v>115</v>
      </c>
      <c r="AW72" s="69">
        <v>2.19</v>
      </c>
      <c r="AX72" s="69">
        <v>1.0900000000000001</v>
      </c>
      <c r="AY72" s="59" t="s">
        <v>112</v>
      </c>
      <c r="AZ72" s="68">
        <f>146*0.00008617333262/0.00831446261815324</f>
        <v>1.5131833697887844</v>
      </c>
      <c r="BA72" s="68">
        <v>0.27971999999999997</v>
      </c>
      <c r="BB72" s="38" t="s">
        <v>115</v>
      </c>
      <c r="BC72" s="66">
        <v>-1.48</v>
      </c>
      <c r="BD72" s="68">
        <v>0.56999999999999995</v>
      </c>
      <c r="BE72" s="38" t="s">
        <v>112</v>
      </c>
      <c r="BF72" s="66">
        <f>92*0.00008617333262/0.00831446261815324</f>
        <v>0.95351280836005603</v>
      </c>
      <c r="BG72" s="68">
        <v>9.323999999999999E-2</v>
      </c>
      <c r="BH72" s="38" t="s">
        <v>115</v>
      </c>
      <c r="BI72" s="68">
        <f>-2.56*0.00008617333262/0.00831446261815324</f>
        <v>-2.653253031958417E-2</v>
      </c>
      <c r="BJ72" s="68">
        <f>0.59*0.00008617333262/0.00831446261815324</f>
        <v>6.1149190970916627E-3</v>
      </c>
      <c r="BK72" s="38" t="s">
        <v>116</v>
      </c>
      <c r="BL72" s="67">
        <v>0.33333333333333331</v>
      </c>
      <c r="BM72" s="62">
        <v>1.0000000000000001E-9</v>
      </c>
      <c r="BN72" s="38" t="s">
        <v>116</v>
      </c>
      <c r="BO72" s="38"/>
      <c r="BP72" s="38"/>
      <c r="BQ72" s="38"/>
      <c r="BR72" s="38"/>
      <c r="BS72" s="38"/>
      <c r="BT72" s="38"/>
      <c r="BU72" s="38"/>
      <c r="BV72" s="38"/>
      <c r="BW72" s="38"/>
      <c r="BX72" s="38"/>
      <c r="BY72" s="38"/>
      <c r="BZ72" s="38"/>
      <c r="CA72" s="38"/>
      <c r="CB72" s="38"/>
      <c r="CC72" s="38"/>
      <c r="CD72" s="38"/>
      <c r="CE72" s="38"/>
      <c r="CF72" s="38"/>
      <c r="CG72" s="38"/>
      <c r="CH72" s="38"/>
      <c r="CI72" s="38"/>
      <c r="CJ72" s="38"/>
      <c r="CK72" s="38"/>
      <c r="CL72" s="38"/>
      <c r="EU72" s="31"/>
      <c r="EX72" s="31"/>
      <c r="FA72" s="31"/>
      <c r="FD72" s="31"/>
      <c r="FS72" s="31"/>
      <c r="GN72" s="31"/>
      <c r="GQ72" s="31"/>
      <c r="GT72" s="31"/>
      <c r="GW72" s="31"/>
      <c r="HL72" s="33"/>
    </row>
    <row r="73" spans="1:220" s="38" customFormat="1" ht="45" customHeight="1" x14ac:dyDescent="0.2">
      <c r="A73" s="38" t="s">
        <v>238</v>
      </c>
      <c r="B73" s="38" t="s">
        <v>239</v>
      </c>
      <c r="C73" s="38">
        <v>2014</v>
      </c>
      <c r="D73" s="38" t="s">
        <v>240</v>
      </c>
      <c r="E73" s="38" t="s">
        <v>64</v>
      </c>
      <c r="F73" s="38" t="s">
        <v>64</v>
      </c>
      <c r="G73" s="38" t="s">
        <v>191</v>
      </c>
      <c r="H73" s="38" t="s">
        <v>373</v>
      </c>
      <c r="I73" s="38" t="s">
        <v>276</v>
      </c>
      <c r="J73" s="38" t="s">
        <v>306</v>
      </c>
      <c r="K73" s="38" t="s">
        <v>497</v>
      </c>
      <c r="L73" s="38" t="s">
        <v>265</v>
      </c>
      <c r="M73" s="38" t="s">
        <v>269</v>
      </c>
      <c r="N73" s="60"/>
      <c r="O73" s="60">
        <v>1E-3</v>
      </c>
      <c r="P73" s="60">
        <v>10</v>
      </c>
      <c r="Q73" s="60">
        <v>473</v>
      </c>
      <c r="R73" s="60">
        <v>2000</v>
      </c>
      <c r="S73" s="60"/>
      <c r="T73" s="60"/>
      <c r="U73" s="60"/>
      <c r="V73" s="60"/>
      <c r="W73" s="60"/>
      <c r="X73" s="60"/>
      <c r="Y73" s="60"/>
      <c r="Z73" s="60"/>
      <c r="AA73" s="60"/>
      <c r="AB73" s="60"/>
      <c r="AC73" s="60"/>
      <c r="AD73" s="60"/>
      <c r="AE73" s="60">
        <v>0</v>
      </c>
      <c r="AF73" s="38">
        <v>1500</v>
      </c>
      <c r="AH73" s="38" t="s">
        <v>581</v>
      </c>
      <c r="AI73" s="38" t="s">
        <v>55</v>
      </c>
      <c r="AO73" s="38" t="s">
        <v>263</v>
      </c>
      <c r="AP73" s="38" t="s">
        <v>845</v>
      </c>
      <c r="AQ73" s="61">
        <v>5.45</v>
      </c>
      <c r="AR73" s="62">
        <v>2.0699999999999998</v>
      </c>
      <c r="AS73" s="59" t="s">
        <v>112</v>
      </c>
      <c r="AT73" s="64">
        <f>268*0.00008617333262/0.00831446261815324</f>
        <v>2.7776242678314675</v>
      </c>
      <c r="AU73" s="68">
        <f>55*0.00008617333262/0.00831446261815324</f>
        <v>0.57003483108481612</v>
      </c>
      <c r="AV73" s="59" t="s">
        <v>115</v>
      </c>
      <c r="AW73" s="69">
        <v>2.38</v>
      </c>
      <c r="AX73" s="69">
        <v>1.1000000000000001</v>
      </c>
      <c r="AY73" s="59" t="s">
        <v>112</v>
      </c>
      <c r="AZ73" s="68">
        <f>141*0.00008617333262/0.00831446261815324</f>
        <v>1.4613620215083465</v>
      </c>
      <c r="BA73" s="68">
        <v>0.21755999999999998</v>
      </c>
      <c r="BB73" s="38" t="s">
        <v>115</v>
      </c>
      <c r="BC73" s="66">
        <f>-0.7</f>
        <v>-0.7</v>
      </c>
      <c r="BD73" s="68">
        <v>0.99</v>
      </c>
      <c r="BE73" s="38" t="s">
        <v>112</v>
      </c>
      <c r="BF73" s="66">
        <f>95*0.00008617333262/0.00831446261815324</f>
        <v>0.98460561732831875</v>
      </c>
      <c r="BG73" s="68">
        <v>0.13467999999999999</v>
      </c>
      <c r="BH73" s="38" t="s">
        <v>115</v>
      </c>
      <c r="BI73" s="68">
        <f>-0.88*0.00008617333262/0.00831446261815324</f>
        <v>-9.120557297357057E-3</v>
      </c>
      <c r="BJ73" s="68">
        <f>0.59*0.00008617333262/0.00831446261815324</f>
        <v>6.1149190970916627E-3</v>
      </c>
      <c r="BK73" s="38" t="s">
        <v>116</v>
      </c>
      <c r="BL73" s="67">
        <v>0.33333333333333331</v>
      </c>
      <c r="BM73" s="62">
        <v>1.0000000000000001E-9</v>
      </c>
      <c r="BN73" s="38" t="s">
        <v>116</v>
      </c>
      <c r="EU73" s="60"/>
      <c r="EX73" s="60"/>
      <c r="FA73" s="60"/>
      <c r="FD73" s="60"/>
      <c r="FS73" s="60"/>
      <c r="GN73" s="60"/>
      <c r="GQ73" s="60"/>
      <c r="GT73" s="60"/>
      <c r="GW73" s="60"/>
      <c r="HL73" s="62"/>
    </row>
    <row r="74" spans="1:220" s="38" customFormat="1" ht="45" customHeight="1" x14ac:dyDescent="0.2">
      <c r="A74" s="38" t="s">
        <v>238</v>
      </c>
      <c r="B74" s="38" t="s">
        <v>239</v>
      </c>
      <c r="C74" s="38">
        <v>2014</v>
      </c>
      <c r="D74" s="38" t="s">
        <v>240</v>
      </c>
      <c r="E74" s="38" t="s">
        <v>64</v>
      </c>
      <c r="F74" s="38" t="s">
        <v>64</v>
      </c>
      <c r="G74" s="38" t="s">
        <v>191</v>
      </c>
      <c r="H74" s="38" t="s">
        <v>373</v>
      </c>
      <c r="I74" s="38" t="s">
        <v>276</v>
      </c>
      <c r="J74" s="38" t="s">
        <v>306</v>
      </c>
      <c r="K74" s="38" t="s">
        <v>498</v>
      </c>
      <c r="L74" s="38" t="s">
        <v>265</v>
      </c>
      <c r="M74" s="38" t="s">
        <v>269</v>
      </c>
      <c r="N74" s="60"/>
      <c r="O74" s="60">
        <v>1E-3</v>
      </c>
      <c r="P74" s="60">
        <v>10</v>
      </c>
      <c r="Q74" s="60">
        <v>473</v>
      </c>
      <c r="R74" s="60">
        <v>2000</v>
      </c>
      <c r="S74" s="60"/>
      <c r="T74" s="60"/>
      <c r="U74" s="60"/>
      <c r="V74" s="60"/>
      <c r="W74" s="60"/>
      <c r="X74" s="60"/>
      <c r="Y74" s="60"/>
      <c r="Z74" s="60"/>
      <c r="AA74" s="60"/>
      <c r="AB74" s="60"/>
      <c r="AC74" s="60"/>
      <c r="AD74" s="60"/>
      <c r="AE74" s="60">
        <v>0</v>
      </c>
      <c r="AF74" s="38">
        <v>1500</v>
      </c>
      <c r="AH74" s="38" t="s">
        <v>581</v>
      </c>
      <c r="AI74" s="38" t="s">
        <v>55</v>
      </c>
      <c r="AO74" s="38" t="s">
        <v>261</v>
      </c>
      <c r="AP74" s="38" t="s">
        <v>845</v>
      </c>
      <c r="AQ74" s="61">
        <v>4.67</v>
      </c>
      <c r="AR74" s="62">
        <v>1.94</v>
      </c>
      <c r="AS74" s="59" t="s">
        <v>112</v>
      </c>
      <c r="AT74" s="64">
        <f>234*0.00008617333262/0.00831446261815324</f>
        <v>2.4252390995244903</v>
      </c>
      <c r="AU74" s="68">
        <v>0.48691999999999996</v>
      </c>
      <c r="AV74" s="59" t="s">
        <v>115</v>
      </c>
      <c r="AW74" s="69">
        <v>2.5099999999999998</v>
      </c>
      <c r="AX74" s="69">
        <v>1.06</v>
      </c>
      <c r="AY74" s="59" t="s">
        <v>112</v>
      </c>
      <c r="AZ74" s="68">
        <f>146*0.00008617333262/0.00831446261815324</f>
        <v>1.5131833697887844</v>
      </c>
      <c r="BA74" s="68">
        <v>0.24863999999999997</v>
      </c>
      <c r="BB74" s="38" t="s">
        <v>115</v>
      </c>
      <c r="BC74" s="66">
        <v>-1.97</v>
      </c>
      <c r="BD74" s="68">
        <v>0.69</v>
      </c>
      <c r="BE74" s="38" t="s">
        <v>112</v>
      </c>
      <c r="BF74" s="66">
        <f>81*0.00008617333262/0.00831446261815324</f>
        <v>0.83950584214309276</v>
      </c>
      <c r="BG74" s="68">
        <v>9.323999999999999E-2</v>
      </c>
      <c r="BH74" s="38" t="s">
        <v>115</v>
      </c>
      <c r="BI74" s="68">
        <f>-1.94*0.00008617333262/0.00831446261815324</f>
        <v>-2.0106683132809874E-2</v>
      </c>
      <c r="BJ74" s="68">
        <f>0.54*0.00008617333262/0.00831446261815324</f>
        <v>5.5967056142872855E-3</v>
      </c>
      <c r="BK74" s="38" t="s">
        <v>116</v>
      </c>
      <c r="BL74" s="67">
        <v>0.33333333333333331</v>
      </c>
      <c r="BM74" s="62">
        <v>1.0000000000000001E-9</v>
      </c>
      <c r="BN74" s="38" t="s">
        <v>116</v>
      </c>
      <c r="EU74" s="60"/>
      <c r="EX74" s="60"/>
      <c r="FA74" s="60"/>
      <c r="FD74" s="60"/>
      <c r="FS74" s="60"/>
      <c r="GN74" s="60"/>
      <c r="GQ74" s="60"/>
      <c r="GT74" s="60"/>
      <c r="GW74" s="60"/>
      <c r="HL74" s="62"/>
    </row>
    <row r="75" spans="1:220" s="38" customFormat="1" ht="45" customHeight="1" x14ac:dyDescent="0.2">
      <c r="A75" s="38" t="s">
        <v>238</v>
      </c>
      <c r="B75" s="38" t="s">
        <v>239</v>
      </c>
      <c r="C75" s="38">
        <v>2014</v>
      </c>
      <c r="D75" s="38" t="s">
        <v>240</v>
      </c>
      <c r="E75" s="38" t="s">
        <v>64</v>
      </c>
      <c r="F75" s="38" t="s">
        <v>64</v>
      </c>
      <c r="G75" s="38" t="s">
        <v>191</v>
      </c>
      <c r="H75" s="38" t="s">
        <v>373</v>
      </c>
      <c r="I75" s="38" t="s">
        <v>276</v>
      </c>
      <c r="J75" s="38" t="s">
        <v>306</v>
      </c>
      <c r="K75" s="38" t="s">
        <v>499</v>
      </c>
      <c r="L75" s="38" t="s">
        <v>265</v>
      </c>
      <c r="M75" s="38" t="s">
        <v>269</v>
      </c>
      <c r="N75" s="60"/>
      <c r="O75" s="60">
        <v>1E-3</v>
      </c>
      <c r="P75" s="60">
        <v>10</v>
      </c>
      <c r="Q75" s="60">
        <v>473</v>
      </c>
      <c r="R75" s="60">
        <v>2000</v>
      </c>
      <c r="S75" s="60"/>
      <c r="T75" s="60"/>
      <c r="U75" s="60"/>
      <c r="V75" s="60"/>
      <c r="W75" s="60"/>
      <c r="X75" s="60"/>
      <c r="Y75" s="60"/>
      <c r="Z75" s="60"/>
      <c r="AA75" s="60"/>
      <c r="AB75" s="60"/>
      <c r="AC75" s="60"/>
      <c r="AD75" s="60"/>
      <c r="AE75" s="60">
        <v>0</v>
      </c>
      <c r="AF75" s="38">
        <v>1500</v>
      </c>
      <c r="AH75" s="38" t="s">
        <v>581</v>
      </c>
      <c r="AI75" s="38" t="s">
        <v>55</v>
      </c>
      <c r="AO75" s="38" t="s">
        <v>262</v>
      </c>
      <c r="AP75" s="38" t="s">
        <v>845</v>
      </c>
      <c r="AQ75" s="61">
        <v>5.92</v>
      </c>
      <c r="AR75" s="62">
        <v>1.99</v>
      </c>
      <c r="AS75" s="59" t="s">
        <v>112</v>
      </c>
      <c r="AT75" s="64">
        <f>261*0.00008617333262/0.00831446261815324</f>
        <v>2.7050743802388544</v>
      </c>
      <c r="AU75" s="68">
        <v>0.49727999999999994</v>
      </c>
      <c r="AV75" s="59" t="s">
        <v>115</v>
      </c>
      <c r="AW75" s="69">
        <v>2.19</v>
      </c>
      <c r="AX75" s="69">
        <v>1.0900000000000001</v>
      </c>
      <c r="AY75" s="59" t="s">
        <v>112</v>
      </c>
      <c r="AZ75" s="68">
        <f>146*0.00008617333262/0.00831446261815324</f>
        <v>1.5131833697887844</v>
      </c>
      <c r="BA75" s="68">
        <v>0.27971999999999997</v>
      </c>
      <c r="BB75" s="38" t="s">
        <v>115</v>
      </c>
      <c r="BC75" s="66">
        <v>-1.28</v>
      </c>
      <c r="BD75" s="68">
        <v>0.56999999999999995</v>
      </c>
      <c r="BE75" s="38" t="s">
        <v>112</v>
      </c>
      <c r="BF75" s="66">
        <f>92*0.00008617333262/0.00831446261815324</f>
        <v>0.95351280836005603</v>
      </c>
      <c r="BG75" s="68">
        <f>9*0.00008617333262/0.00831446261815324</f>
        <v>9.3278426904788089E-2</v>
      </c>
      <c r="BH75" s="38" t="s">
        <v>115</v>
      </c>
      <c r="BI75" s="68">
        <f>-2.99*0.00008617333262/0.00831446261815324</f>
        <v>-3.0989166271701819E-2</v>
      </c>
      <c r="BJ75" s="68">
        <f>0.69*0.00008617333262/0.00831446261815324</f>
        <v>7.1513460627004198E-3</v>
      </c>
      <c r="BK75" s="38" t="s">
        <v>116</v>
      </c>
      <c r="BL75" s="67">
        <v>0.33333333333333331</v>
      </c>
      <c r="BM75" s="62">
        <v>1.0000000000000001E-9</v>
      </c>
      <c r="BN75" s="38" t="s">
        <v>116</v>
      </c>
      <c r="EU75" s="60"/>
      <c r="EX75" s="60"/>
      <c r="FA75" s="60"/>
      <c r="FD75" s="60"/>
      <c r="FS75" s="60"/>
      <c r="GN75" s="60"/>
      <c r="GQ75" s="60"/>
      <c r="GT75" s="60"/>
      <c r="GW75" s="60"/>
      <c r="HL75" s="62"/>
    </row>
    <row r="76" spans="1:220" s="38" customFormat="1" ht="45" customHeight="1" x14ac:dyDescent="0.2">
      <c r="A76" s="38" t="s">
        <v>238</v>
      </c>
      <c r="B76" s="38" t="s">
        <v>239</v>
      </c>
      <c r="C76" s="38">
        <v>2014</v>
      </c>
      <c r="D76" s="38" t="s">
        <v>240</v>
      </c>
      <c r="E76" s="38" t="s">
        <v>64</v>
      </c>
      <c r="F76" s="38" t="s">
        <v>64</v>
      </c>
      <c r="G76" s="38" t="s">
        <v>191</v>
      </c>
      <c r="H76" s="38" t="s">
        <v>373</v>
      </c>
      <c r="I76" s="38" t="s">
        <v>276</v>
      </c>
      <c r="J76" s="38" t="s">
        <v>306</v>
      </c>
      <c r="K76" s="38" t="s">
        <v>500</v>
      </c>
      <c r="L76" s="38" t="s">
        <v>265</v>
      </c>
      <c r="M76" s="38" t="s">
        <v>269</v>
      </c>
      <c r="N76" s="60"/>
      <c r="O76" s="60">
        <v>1E-3</v>
      </c>
      <c r="P76" s="60">
        <v>10</v>
      </c>
      <c r="Q76" s="60">
        <v>473</v>
      </c>
      <c r="R76" s="60">
        <v>2000</v>
      </c>
      <c r="S76" s="60"/>
      <c r="T76" s="60"/>
      <c r="U76" s="60"/>
      <c r="V76" s="60"/>
      <c r="W76" s="60"/>
      <c r="X76" s="60"/>
      <c r="Y76" s="60"/>
      <c r="Z76" s="60"/>
      <c r="AA76" s="60"/>
      <c r="AB76" s="60"/>
      <c r="AC76" s="60"/>
      <c r="AD76" s="60"/>
      <c r="AE76" s="60">
        <v>0</v>
      </c>
      <c r="AF76" s="38">
        <v>1500</v>
      </c>
      <c r="AH76" s="38" t="s">
        <v>581</v>
      </c>
      <c r="AI76" s="38" t="s">
        <v>55</v>
      </c>
      <c r="AO76" s="38" t="s">
        <v>263</v>
      </c>
      <c r="AP76" s="38" t="s">
        <v>845</v>
      </c>
      <c r="AQ76" s="61">
        <v>5.45</v>
      </c>
      <c r="AR76" s="62">
        <v>2.0699999999999998</v>
      </c>
      <c r="AS76" s="59" t="s">
        <v>112</v>
      </c>
      <c r="AT76" s="64">
        <f>268*0.00008617333262/0.00831446261815324</f>
        <v>2.7776242678314675</v>
      </c>
      <c r="AU76" s="68">
        <f>55*0.00008617333262/0.00831446261815324</f>
        <v>0.57003483108481612</v>
      </c>
      <c r="AV76" s="59" t="s">
        <v>115</v>
      </c>
      <c r="AW76" s="69">
        <v>2.38</v>
      </c>
      <c r="AX76" s="69">
        <v>1.1000000000000001</v>
      </c>
      <c r="AY76" s="59" t="s">
        <v>112</v>
      </c>
      <c r="AZ76" s="68">
        <f>141*0.00008617333262/0.00831446261815324</f>
        <v>1.4613620215083465</v>
      </c>
      <c r="BA76" s="68">
        <v>0.21755999999999998</v>
      </c>
      <c r="BB76" s="38" t="s">
        <v>115</v>
      </c>
      <c r="BC76" s="66">
        <f>-0.51</f>
        <v>-0.51</v>
      </c>
      <c r="BD76" s="68">
        <v>0.99</v>
      </c>
      <c r="BE76" s="38" t="s">
        <v>112</v>
      </c>
      <c r="BF76" s="66">
        <f>95*0.00008617333262/0.00831446261815324</f>
        <v>0.98460561732831875</v>
      </c>
      <c r="BG76" s="68">
        <v>0.13467999999999999</v>
      </c>
      <c r="BH76" s="38" t="s">
        <v>115</v>
      </c>
      <c r="BI76" s="68">
        <f>-1.03*0.00008617333262/0.00831446261815324</f>
        <v>-1.0675197745770193E-2</v>
      </c>
      <c r="BJ76" s="68">
        <f>0.69*0.00008617333262/0.00831446261815324</f>
        <v>7.1513460627004198E-3</v>
      </c>
      <c r="BK76" s="38" t="s">
        <v>116</v>
      </c>
      <c r="BL76" s="67">
        <v>0.33333333333333331</v>
      </c>
      <c r="BM76" s="62">
        <v>1.0000000000000001E-9</v>
      </c>
      <c r="BN76" s="38" t="s">
        <v>116</v>
      </c>
      <c r="EU76" s="60"/>
      <c r="EX76" s="60"/>
      <c r="FA76" s="60"/>
      <c r="FD76" s="60"/>
      <c r="FS76" s="60"/>
      <c r="GN76" s="60"/>
      <c r="GQ76" s="60"/>
      <c r="GT76" s="60"/>
      <c r="GW76" s="60"/>
      <c r="HL76" s="62"/>
    </row>
    <row r="77" spans="1:220" s="38" customFormat="1" ht="45" customHeight="1" x14ac:dyDescent="0.2">
      <c r="A77" s="38" t="s">
        <v>238</v>
      </c>
      <c r="B77" s="38" t="s">
        <v>239</v>
      </c>
      <c r="C77" s="38">
        <v>2014</v>
      </c>
      <c r="D77" s="38" t="s">
        <v>240</v>
      </c>
      <c r="E77" s="38" t="s">
        <v>64</v>
      </c>
      <c r="F77" s="38" t="s">
        <v>64</v>
      </c>
      <c r="G77" s="38" t="s">
        <v>191</v>
      </c>
      <c r="H77" s="38" t="s">
        <v>373</v>
      </c>
      <c r="I77" s="38" t="s">
        <v>276</v>
      </c>
      <c r="J77" s="38" t="s">
        <v>306</v>
      </c>
      <c r="K77" s="38" t="s">
        <v>501</v>
      </c>
      <c r="L77" s="38" t="s">
        <v>265</v>
      </c>
      <c r="M77" s="38" t="s">
        <v>269</v>
      </c>
      <c r="N77" s="60"/>
      <c r="O77" s="60">
        <v>1E-3</v>
      </c>
      <c r="P77" s="60">
        <v>10</v>
      </c>
      <c r="Q77" s="60">
        <v>473</v>
      </c>
      <c r="R77" s="60">
        <v>2000</v>
      </c>
      <c r="S77" s="60"/>
      <c r="T77" s="60"/>
      <c r="U77" s="60"/>
      <c r="V77" s="60"/>
      <c r="W77" s="60"/>
      <c r="X77" s="60"/>
      <c r="Y77" s="60"/>
      <c r="Z77" s="60"/>
      <c r="AA77" s="60"/>
      <c r="AB77" s="60"/>
      <c r="AC77" s="60"/>
      <c r="AD77" s="60"/>
      <c r="AE77" s="60">
        <v>0</v>
      </c>
      <c r="AF77" s="38">
        <v>1500</v>
      </c>
      <c r="AH77" s="38" t="s">
        <v>581</v>
      </c>
      <c r="AI77" s="38" t="s">
        <v>55</v>
      </c>
      <c r="AO77" s="38" t="s">
        <v>261</v>
      </c>
      <c r="AP77" s="38" t="s">
        <v>845</v>
      </c>
      <c r="AQ77" s="61">
        <v>4.67</v>
      </c>
      <c r="AR77" s="62">
        <v>1.94</v>
      </c>
      <c r="AS77" s="59" t="s">
        <v>112</v>
      </c>
      <c r="AT77" s="64">
        <f>234*0.00008617333262/0.00831446261815324</f>
        <v>2.4252390995244903</v>
      </c>
      <c r="AU77" s="68">
        <v>0.48691999999999996</v>
      </c>
      <c r="AV77" s="59" t="s">
        <v>115</v>
      </c>
      <c r="AW77" s="69">
        <v>2.5099999999999998</v>
      </c>
      <c r="AX77" s="69">
        <v>1.06</v>
      </c>
      <c r="AY77" s="59" t="s">
        <v>112</v>
      </c>
      <c r="AZ77" s="68">
        <f>146*0.00008617333262/0.00831446261815324</f>
        <v>1.5131833697887844</v>
      </c>
      <c r="BA77" s="68">
        <v>0.24863999999999997</v>
      </c>
      <c r="BB77" s="38" t="s">
        <v>115</v>
      </c>
      <c r="BC77" s="66">
        <v>-1.77</v>
      </c>
      <c r="BD77" s="68">
        <v>0.69</v>
      </c>
      <c r="BE77" s="38" t="s">
        <v>112</v>
      </c>
      <c r="BF77" s="66">
        <f>81*0.00008617333262/0.00831446261815324</f>
        <v>0.83950584214309276</v>
      </c>
      <c r="BG77" s="68">
        <v>9.323999999999999E-2</v>
      </c>
      <c r="BH77" s="38" t="s">
        <v>115</v>
      </c>
      <c r="BI77" s="68">
        <f>-2.25*0.00008617333262/0.00831446261815324</f>
        <v>-2.3319606726197022E-2</v>
      </c>
      <c r="BJ77" s="68">
        <f>0.55*0.00008617333262/0.00831446261815324</f>
        <v>5.7003483108481606E-3</v>
      </c>
      <c r="BK77" s="38" t="s">
        <v>116</v>
      </c>
      <c r="BL77" s="67">
        <v>0.33333333333333331</v>
      </c>
      <c r="BM77" s="62">
        <v>1.0000000000000001E-9</v>
      </c>
      <c r="BN77" s="38" t="s">
        <v>116</v>
      </c>
      <c r="EU77" s="60"/>
      <c r="EX77" s="60"/>
      <c r="FA77" s="60"/>
      <c r="FD77" s="60"/>
      <c r="FS77" s="60"/>
      <c r="GN77" s="60"/>
      <c r="GQ77" s="60"/>
      <c r="GT77" s="60"/>
      <c r="GW77" s="60"/>
      <c r="HL77" s="62"/>
    </row>
    <row r="78" spans="1:220" s="38" customFormat="1" ht="45" customHeight="1" x14ac:dyDescent="0.2">
      <c r="A78" s="29" t="s">
        <v>241</v>
      </c>
      <c r="B78" s="29" t="s">
        <v>242</v>
      </c>
      <c r="C78" s="38">
        <v>2016</v>
      </c>
      <c r="D78" s="59" t="s">
        <v>243</v>
      </c>
      <c r="E78" s="29" t="s">
        <v>64</v>
      </c>
      <c r="F78" s="29" t="s">
        <v>244</v>
      </c>
      <c r="G78" s="29"/>
      <c r="H78" s="29" t="s">
        <v>254</v>
      </c>
      <c r="I78" s="29" t="s">
        <v>255</v>
      </c>
      <c r="J78" s="29" t="s">
        <v>408</v>
      </c>
      <c r="K78" s="29" t="s">
        <v>502</v>
      </c>
      <c r="L78" s="29" t="s">
        <v>270</v>
      </c>
      <c r="M78" s="29" t="s">
        <v>269</v>
      </c>
      <c r="N78" s="31"/>
      <c r="O78" s="31">
        <v>3.5</v>
      </c>
      <c r="P78" s="31">
        <v>14.9</v>
      </c>
      <c r="Q78" s="60">
        <v>1300</v>
      </c>
      <c r="R78" s="31">
        <v>2100</v>
      </c>
      <c r="S78" s="31"/>
      <c r="T78" s="31"/>
      <c r="U78" s="31"/>
      <c r="V78" s="31"/>
      <c r="W78" s="31"/>
      <c r="X78" s="31"/>
      <c r="Y78" s="31"/>
      <c r="Z78" s="31"/>
      <c r="AA78" s="31"/>
      <c r="AB78" s="31"/>
      <c r="AC78" s="31"/>
      <c r="AD78" s="31"/>
      <c r="AE78" s="31"/>
      <c r="AG78" s="29"/>
      <c r="AH78" s="29"/>
      <c r="AI78" s="29"/>
      <c r="AJ78" s="29"/>
      <c r="AK78" s="29"/>
      <c r="AL78" s="29"/>
      <c r="AM78" s="29"/>
      <c r="AN78" s="29" t="s">
        <v>131</v>
      </c>
      <c r="AO78" s="30" t="s">
        <v>262</v>
      </c>
      <c r="AP78" s="30"/>
      <c r="AQ78" s="32">
        <v>110000</v>
      </c>
      <c r="AR78" s="33">
        <v>60000</v>
      </c>
      <c r="AS78" s="30" t="s">
        <v>113</v>
      </c>
      <c r="AT78" s="35">
        <v>1.75</v>
      </c>
      <c r="AU78" s="32">
        <v>0.23</v>
      </c>
      <c r="AV78" s="30" t="s">
        <v>115</v>
      </c>
      <c r="AW78" s="34">
        <v>18.600000000000001</v>
      </c>
      <c r="AX78" s="34">
        <v>5.6</v>
      </c>
      <c r="AY78" s="30" t="s">
        <v>123</v>
      </c>
      <c r="AZ78" s="32">
        <v>1300000</v>
      </c>
      <c r="BA78" s="32">
        <v>520000</v>
      </c>
      <c r="BB78" s="34" t="s">
        <v>113</v>
      </c>
      <c r="BC78" s="36">
        <v>3.05</v>
      </c>
      <c r="BD78" s="32">
        <v>0.21</v>
      </c>
      <c r="BE78" s="34" t="s">
        <v>115</v>
      </c>
      <c r="BF78" s="36">
        <v>0.3</v>
      </c>
      <c r="BG78" s="32">
        <v>0.3</v>
      </c>
      <c r="BH78" s="34" t="s">
        <v>123</v>
      </c>
      <c r="BI78" s="32"/>
      <c r="BJ78" s="32"/>
      <c r="BK78" s="34"/>
      <c r="BL78" s="37"/>
      <c r="BM78" s="34"/>
      <c r="BN78" s="34"/>
      <c r="BO78" s="32"/>
      <c r="BP78" s="34"/>
      <c r="BQ78" s="34"/>
      <c r="BR78" s="34"/>
      <c r="BS78" s="34"/>
      <c r="BT78" s="34"/>
      <c r="BU78" s="34"/>
      <c r="BV78" s="34"/>
      <c r="BW78" s="34"/>
      <c r="BX78" s="34"/>
      <c r="BY78" s="34"/>
      <c r="BZ78" s="34"/>
      <c r="CA78" s="34"/>
      <c r="CB78" s="34"/>
      <c r="CC78" s="34"/>
      <c r="CD78" s="34"/>
      <c r="CE78" s="34"/>
      <c r="CF78" s="34"/>
      <c r="CG78" s="31"/>
      <c r="CH78" s="31"/>
      <c r="CI78" s="29"/>
      <c r="CJ78" s="31"/>
      <c r="CK78" s="31"/>
      <c r="CL78" s="29"/>
      <c r="EU78" s="60"/>
      <c r="EX78" s="60"/>
      <c r="FA78" s="60"/>
      <c r="FD78" s="60"/>
      <c r="FS78" s="60"/>
      <c r="GN78" s="60"/>
      <c r="GQ78" s="60"/>
      <c r="GT78" s="60"/>
      <c r="GW78" s="60"/>
      <c r="HL78" s="62"/>
    </row>
    <row r="79" spans="1:220" s="38" customFormat="1" ht="45" customHeight="1" x14ac:dyDescent="0.2">
      <c r="A79" s="29" t="s">
        <v>241</v>
      </c>
      <c r="B79" s="29" t="s">
        <v>242</v>
      </c>
      <c r="C79" s="38">
        <v>2016</v>
      </c>
      <c r="D79" s="59" t="s">
        <v>243</v>
      </c>
      <c r="E79" s="29" t="s">
        <v>64</v>
      </c>
      <c r="F79" s="29" t="s">
        <v>244</v>
      </c>
      <c r="G79" s="29"/>
      <c r="H79" s="29" t="s">
        <v>254</v>
      </c>
      <c r="I79" s="29" t="s">
        <v>255</v>
      </c>
      <c r="J79" s="29" t="s">
        <v>408</v>
      </c>
      <c r="K79" s="29" t="s">
        <v>503</v>
      </c>
      <c r="L79" s="29" t="s">
        <v>270</v>
      </c>
      <c r="M79" s="29" t="s">
        <v>269</v>
      </c>
      <c r="N79" s="31"/>
      <c r="O79" s="31">
        <v>3.5</v>
      </c>
      <c r="P79" s="31">
        <v>14.9</v>
      </c>
      <c r="Q79" s="60">
        <v>1300</v>
      </c>
      <c r="R79" s="31">
        <v>2100</v>
      </c>
      <c r="S79" s="31"/>
      <c r="T79" s="31"/>
      <c r="U79" s="31"/>
      <c r="V79" s="31"/>
      <c r="W79" s="31"/>
      <c r="X79" s="31"/>
      <c r="Y79" s="31"/>
      <c r="Z79" s="31"/>
      <c r="AA79" s="31"/>
      <c r="AB79" s="31"/>
      <c r="AC79" s="31"/>
      <c r="AD79" s="31"/>
      <c r="AE79" s="31"/>
      <c r="AF79" s="29"/>
      <c r="AG79" s="29"/>
      <c r="AH79" s="29"/>
      <c r="AI79" s="29"/>
      <c r="AJ79" s="29"/>
      <c r="AK79" s="29"/>
      <c r="AL79" s="29"/>
      <c r="AM79" s="29"/>
      <c r="AN79" s="29" t="s">
        <v>131</v>
      </c>
      <c r="AO79" s="30" t="s">
        <v>263</v>
      </c>
      <c r="AP79" s="30"/>
      <c r="AQ79" s="32">
        <v>340000</v>
      </c>
      <c r="AR79" s="33">
        <v>3500</v>
      </c>
      <c r="AS79" s="30" t="s">
        <v>113</v>
      </c>
      <c r="AT79" s="35">
        <v>2.38</v>
      </c>
      <c r="AU79" s="32">
        <v>0.11</v>
      </c>
      <c r="AV79" s="30" t="s">
        <v>115</v>
      </c>
      <c r="AW79" s="34">
        <v>6.9</v>
      </c>
      <c r="AX79" s="34">
        <v>0.5</v>
      </c>
      <c r="AY79" s="30" t="s">
        <v>123</v>
      </c>
      <c r="AZ79" s="32">
        <v>11000</v>
      </c>
      <c r="BA79" s="32">
        <v>4000</v>
      </c>
      <c r="BB79" s="34" t="s">
        <v>113</v>
      </c>
      <c r="BC79" s="36">
        <v>2.23</v>
      </c>
      <c r="BD79" s="32">
        <v>0.06</v>
      </c>
      <c r="BE79" s="34" t="s">
        <v>115</v>
      </c>
      <c r="BF79" s="36">
        <v>-0.8</v>
      </c>
      <c r="BG79" s="32">
        <v>0.3</v>
      </c>
      <c r="BH79" s="34" t="s">
        <v>123</v>
      </c>
      <c r="BI79" s="32"/>
      <c r="BJ79" s="32"/>
      <c r="BK79" s="34"/>
      <c r="BL79" s="37"/>
      <c r="BM79" s="34"/>
      <c r="BN79" s="34"/>
      <c r="BO79" s="32"/>
      <c r="BP79" s="34"/>
      <c r="BQ79" s="34"/>
      <c r="BR79" s="34"/>
      <c r="BS79" s="34"/>
      <c r="BT79" s="34"/>
      <c r="BU79" s="34"/>
      <c r="BV79" s="34"/>
      <c r="BW79" s="34"/>
      <c r="BX79" s="34"/>
      <c r="BY79" s="34"/>
      <c r="BZ79" s="34"/>
      <c r="CA79" s="34"/>
      <c r="CB79" s="34"/>
      <c r="CC79" s="34"/>
      <c r="CD79" s="34"/>
      <c r="CE79" s="34"/>
      <c r="CF79" s="34"/>
      <c r="CG79" s="31"/>
      <c r="CH79" s="31"/>
      <c r="CI79" s="29"/>
      <c r="CJ79" s="31"/>
      <c r="CK79" s="31"/>
      <c r="CL79" s="29"/>
      <c r="EU79" s="60"/>
      <c r="EX79" s="60"/>
      <c r="FA79" s="60"/>
      <c r="FD79" s="60"/>
      <c r="FS79" s="60"/>
      <c r="GN79" s="60"/>
      <c r="GQ79" s="60"/>
      <c r="GT79" s="60"/>
      <c r="GW79" s="60"/>
      <c r="HL79" s="62"/>
    </row>
    <row r="80" spans="1:220" s="29" customFormat="1" ht="45" customHeight="1" x14ac:dyDescent="0.2">
      <c r="A80" s="29" t="s">
        <v>241</v>
      </c>
      <c r="B80" s="29" t="s">
        <v>242</v>
      </c>
      <c r="C80" s="38">
        <v>2016</v>
      </c>
      <c r="D80" s="59" t="s">
        <v>243</v>
      </c>
      <c r="E80" s="29" t="s">
        <v>64</v>
      </c>
      <c r="F80" s="29" t="s">
        <v>244</v>
      </c>
      <c r="H80" s="29" t="s">
        <v>254</v>
      </c>
      <c r="I80" s="29" t="s">
        <v>255</v>
      </c>
      <c r="J80" s="29" t="s">
        <v>408</v>
      </c>
      <c r="K80" s="29" t="s">
        <v>504</v>
      </c>
      <c r="L80" s="29" t="s">
        <v>270</v>
      </c>
      <c r="M80" s="29" t="s">
        <v>269</v>
      </c>
      <c r="N80" s="31"/>
      <c r="O80" s="31">
        <v>3.5</v>
      </c>
      <c r="P80" s="31">
        <v>14.9</v>
      </c>
      <c r="Q80" s="60">
        <v>1300</v>
      </c>
      <c r="R80" s="31">
        <v>2100</v>
      </c>
      <c r="S80" s="31"/>
      <c r="T80" s="31"/>
      <c r="U80" s="31"/>
      <c r="V80" s="31"/>
      <c r="W80" s="31"/>
      <c r="X80" s="31"/>
      <c r="Y80" s="31"/>
      <c r="Z80" s="31"/>
      <c r="AA80" s="31"/>
      <c r="AB80" s="31"/>
      <c r="AC80" s="31"/>
      <c r="AD80" s="31"/>
      <c r="AE80" s="31"/>
      <c r="AN80" s="29" t="s">
        <v>131</v>
      </c>
      <c r="AO80" s="30" t="s">
        <v>261</v>
      </c>
      <c r="AP80" s="30"/>
      <c r="AQ80" s="32">
        <v>10000000</v>
      </c>
      <c r="AR80" s="33">
        <v>1400000</v>
      </c>
      <c r="AS80" s="30" t="s">
        <v>113</v>
      </c>
      <c r="AT80" s="35">
        <v>2.71</v>
      </c>
      <c r="AU80" s="32">
        <v>0.22</v>
      </c>
      <c r="AV80" s="30" t="s">
        <v>115</v>
      </c>
      <c r="AW80" s="34">
        <v>8.3000000000000007</v>
      </c>
      <c r="AX80" s="34">
        <v>1.7</v>
      </c>
      <c r="AY80" s="30" t="s">
        <v>123</v>
      </c>
      <c r="AZ80" s="32">
        <v>1700000</v>
      </c>
      <c r="BA80" s="32">
        <v>190000</v>
      </c>
      <c r="BB80" s="34" t="s">
        <v>113</v>
      </c>
      <c r="BC80" s="36">
        <v>2.93</v>
      </c>
      <c r="BD80" s="32">
        <v>0.21</v>
      </c>
      <c r="BE80" s="34" t="s">
        <v>115</v>
      </c>
      <c r="BF80" s="36">
        <v>-0.3</v>
      </c>
      <c r="BG80" s="32">
        <v>0.4</v>
      </c>
      <c r="BH80" s="34" t="s">
        <v>123</v>
      </c>
      <c r="BI80" s="32"/>
      <c r="BJ80" s="32"/>
      <c r="BK80" s="34"/>
      <c r="BL80" s="37"/>
      <c r="BM80" s="34"/>
      <c r="BN80" s="34"/>
      <c r="BO80" s="32"/>
      <c r="BP80" s="34"/>
      <c r="BQ80" s="34"/>
      <c r="BR80" s="34"/>
      <c r="BS80" s="34"/>
      <c r="BT80" s="34"/>
      <c r="BU80" s="34"/>
      <c r="BV80" s="34"/>
      <c r="BW80" s="34"/>
      <c r="BX80" s="34"/>
      <c r="BY80" s="34"/>
      <c r="BZ80" s="34"/>
      <c r="CA80" s="34"/>
      <c r="CB80" s="34"/>
      <c r="CC80" s="34"/>
      <c r="CD80" s="34"/>
      <c r="CE80" s="34"/>
      <c r="CF80" s="34"/>
      <c r="CG80" s="31"/>
      <c r="CH80" s="31"/>
      <c r="CJ80" s="31"/>
      <c r="CK80" s="31"/>
      <c r="EU80" s="31"/>
      <c r="EX80" s="31"/>
      <c r="FA80" s="31"/>
      <c r="FD80" s="31"/>
      <c r="FS80" s="31"/>
      <c r="GN80" s="31"/>
      <c r="GQ80" s="31"/>
      <c r="GT80" s="31"/>
      <c r="GW80" s="31"/>
      <c r="HL80" s="33"/>
    </row>
    <row r="81" spans="1:220" s="29" customFormat="1" ht="45" customHeight="1" x14ac:dyDescent="0.2">
      <c r="A81" s="38" t="s">
        <v>247</v>
      </c>
      <c r="B81" s="38" t="s">
        <v>248</v>
      </c>
      <c r="C81" s="38">
        <v>2017</v>
      </c>
      <c r="D81" s="38" t="s">
        <v>246</v>
      </c>
      <c r="E81" s="38" t="s">
        <v>64</v>
      </c>
      <c r="F81" s="38" t="s">
        <v>64</v>
      </c>
      <c r="G81" s="38" t="s">
        <v>136</v>
      </c>
      <c r="H81" s="38" t="s">
        <v>409</v>
      </c>
      <c r="I81" s="38" t="s">
        <v>333</v>
      </c>
      <c r="J81" s="38" t="s">
        <v>307</v>
      </c>
      <c r="K81" s="38" t="s">
        <v>505</v>
      </c>
      <c r="L81" s="38" t="s">
        <v>271</v>
      </c>
      <c r="M81" s="38" t="s">
        <v>269</v>
      </c>
      <c r="N81" s="60">
        <v>2</v>
      </c>
      <c r="O81" s="60"/>
      <c r="P81" s="60"/>
      <c r="Q81" s="60">
        <v>1023</v>
      </c>
      <c r="R81" s="60">
        <v>1173</v>
      </c>
      <c r="S81" s="60"/>
      <c r="T81" s="60"/>
      <c r="U81" s="60"/>
      <c r="V81" s="60"/>
      <c r="W81" s="60"/>
      <c r="X81" s="60"/>
      <c r="Y81" s="60"/>
      <c r="Z81" s="60"/>
      <c r="AA81" s="60"/>
      <c r="AB81" s="60"/>
      <c r="AC81" s="60"/>
      <c r="AD81" s="60"/>
      <c r="AE81" s="60">
        <v>74</v>
      </c>
      <c r="AF81" s="38">
        <v>74</v>
      </c>
      <c r="AG81" s="38"/>
      <c r="AH81" s="29" t="s">
        <v>583</v>
      </c>
      <c r="AI81" s="38" t="s">
        <v>55</v>
      </c>
      <c r="AJ81" s="38"/>
      <c r="AK81" s="38"/>
      <c r="AL81" s="38"/>
      <c r="AM81" s="38"/>
      <c r="AN81" s="38" t="s">
        <v>54</v>
      </c>
      <c r="AO81" s="38" t="s">
        <v>262</v>
      </c>
      <c r="AP81" s="38"/>
      <c r="AQ81" s="61">
        <v>1.8E+42</v>
      </c>
      <c r="AR81" s="62"/>
      <c r="AS81" s="59" t="s">
        <v>116</v>
      </c>
      <c r="AT81" s="64">
        <v>-0.7</v>
      </c>
      <c r="AU81" s="68">
        <v>0.9</v>
      </c>
      <c r="AV81" s="59" t="s">
        <v>112</v>
      </c>
      <c r="AW81" s="69">
        <f xml:space="preserve"> 229*0.00008617333262/(0.00831446261815324)</f>
        <v>2.3734177512440522</v>
      </c>
      <c r="AX81" s="69">
        <f>18*0.00008617333262/0.00831446261815324</f>
        <v>0.18655685380957618</v>
      </c>
      <c r="AY81" s="59" t="s">
        <v>115</v>
      </c>
      <c r="AZ81" s="68"/>
      <c r="BA81" s="68"/>
      <c r="BB81" s="38"/>
      <c r="BC81" s="66"/>
      <c r="BD81" s="68"/>
      <c r="BE81" s="38"/>
      <c r="BF81" s="66"/>
      <c r="BG81" s="68"/>
      <c r="BH81" s="38"/>
      <c r="BI81" s="68"/>
      <c r="BJ81" s="68"/>
      <c r="BK81" s="38"/>
      <c r="BL81" s="67"/>
      <c r="BM81" s="38"/>
      <c r="BN81" s="38"/>
      <c r="BO81" s="38"/>
      <c r="BP81" s="38"/>
      <c r="BQ81" s="38"/>
      <c r="BR81" s="38"/>
      <c r="BS81" s="38"/>
      <c r="BT81" s="38"/>
      <c r="BU81" s="38"/>
      <c r="BV81" s="38"/>
      <c r="BW81" s="38"/>
      <c r="BX81" s="38"/>
      <c r="BY81" s="38"/>
      <c r="BZ81" s="38"/>
      <c r="CA81" s="38"/>
      <c r="CB81" s="38"/>
      <c r="CC81" s="38"/>
      <c r="CD81" s="38"/>
      <c r="CE81" s="38"/>
      <c r="CF81" s="38"/>
      <c r="CG81" s="38"/>
      <c r="CH81" s="38"/>
      <c r="CI81" s="38"/>
      <c r="CJ81" s="38"/>
      <c r="CK81" s="38"/>
      <c r="CL81" s="38"/>
      <c r="EU81" s="31"/>
      <c r="EX81" s="31"/>
      <c r="FA81" s="31"/>
      <c r="FD81" s="31"/>
      <c r="FS81" s="31"/>
      <c r="GN81" s="31"/>
      <c r="GQ81" s="31"/>
      <c r="GT81" s="31"/>
      <c r="GW81" s="31"/>
      <c r="HL81" s="33"/>
    </row>
    <row r="82" spans="1:220" s="29" customFormat="1" ht="45" customHeight="1" x14ac:dyDescent="0.2">
      <c r="A82" s="38" t="s">
        <v>247</v>
      </c>
      <c r="B82" s="38" t="s">
        <v>248</v>
      </c>
      <c r="C82" s="38">
        <v>2017</v>
      </c>
      <c r="D82" s="38" t="s">
        <v>246</v>
      </c>
      <c r="E82" s="38" t="s">
        <v>64</v>
      </c>
      <c r="F82" s="38" t="s">
        <v>64</v>
      </c>
      <c r="G82" s="38" t="s">
        <v>136</v>
      </c>
      <c r="H82" s="38" t="s">
        <v>253</v>
      </c>
      <c r="I82" s="38" t="s">
        <v>333</v>
      </c>
      <c r="J82" s="38" t="s">
        <v>307</v>
      </c>
      <c r="K82" s="38" t="s">
        <v>506</v>
      </c>
      <c r="L82" s="38" t="s">
        <v>271</v>
      </c>
      <c r="M82" s="38" t="s">
        <v>269</v>
      </c>
      <c r="N82" s="60">
        <v>2</v>
      </c>
      <c r="O82" s="60"/>
      <c r="P82" s="60"/>
      <c r="Q82" s="60">
        <v>1023</v>
      </c>
      <c r="R82" s="60">
        <v>1173</v>
      </c>
      <c r="S82" s="60"/>
      <c r="T82" s="60"/>
      <c r="U82" s="60"/>
      <c r="V82" s="60"/>
      <c r="W82" s="60"/>
      <c r="X82" s="60"/>
      <c r="Y82" s="60"/>
      <c r="Z82" s="60"/>
      <c r="AA82" s="60"/>
      <c r="AB82" s="60"/>
      <c r="AC82" s="60"/>
      <c r="AD82" s="60"/>
      <c r="AE82" s="60">
        <v>74</v>
      </c>
      <c r="AF82" s="38">
        <v>74</v>
      </c>
      <c r="AG82" s="38"/>
      <c r="AH82" s="29" t="s">
        <v>583</v>
      </c>
      <c r="AI82" s="38" t="s">
        <v>55</v>
      </c>
      <c r="AJ82" s="38"/>
      <c r="AK82" s="38"/>
      <c r="AL82" s="38"/>
      <c r="AM82" s="38"/>
      <c r="AN82" s="38" t="s">
        <v>54</v>
      </c>
      <c r="AO82" s="38" t="s">
        <v>263</v>
      </c>
      <c r="AP82" s="38"/>
      <c r="AQ82" s="61">
        <v>1.8E+42</v>
      </c>
      <c r="AR82" s="62"/>
      <c r="AS82" s="59" t="s">
        <v>116</v>
      </c>
      <c r="AT82" s="64">
        <v>-5</v>
      </c>
      <c r="AU82" s="68">
        <v>0.9</v>
      </c>
      <c r="AV82" s="59" t="s">
        <v>112</v>
      </c>
      <c r="AW82" s="69">
        <f xml:space="preserve"> 172*0.00008617333262/(0.00831446261815324)</f>
        <v>1.7826543808470612</v>
      </c>
      <c r="AX82" s="69">
        <f>19*0.00008617333262/0.00831446261815324</f>
        <v>0.19692112346566373</v>
      </c>
      <c r="AY82" s="59" t="s">
        <v>115</v>
      </c>
      <c r="AZ82" s="68"/>
      <c r="BA82" s="68"/>
      <c r="BB82" s="38"/>
      <c r="BC82" s="66"/>
      <c r="BD82" s="68"/>
      <c r="BE82" s="38"/>
      <c r="BF82" s="66"/>
      <c r="BG82" s="68"/>
      <c r="BH82" s="38"/>
      <c r="BI82" s="68"/>
      <c r="BJ82" s="68"/>
      <c r="BK82" s="38"/>
      <c r="BL82" s="67"/>
      <c r="BM82" s="38"/>
      <c r="BN82" s="38"/>
      <c r="BO82" s="38"/>
      <c r="BP82" s="38"/>
      <c r="BQ82" s="38"/>
      <c r="BR82" s="38"/>
      <c r="BS82" s="38"/>
      <c r="BT82" s="38"/>
      <c r="BU82" s="38"/>
      <c r="BV82" s="38"/>
      <c r="BW82" s="38"/>
      <c r="BX82" s="38"/>
      <c r="BY82" s="38"/>
      <c r="BZ82" s="38"/>
      <c r="CA82" s="38"/>
      <c r="CB82" s="38"/>
      <c r="CC82" s="38"/>
      <c r="CD82" s="38"/>
      <c r="CE82" s="38"/>
      <c r="CF82" s="38"/>
      <c r="CG82" s="38"/>
      <c r="CH82" s="38"/>
      <c r="CI82" s="38"/>
      <c r="CJ82" s="38"/>
      <c r="CK82" s="38"/>
      <c r="CL82" s="38"/>
      <c r="EU82" s="31"/>
      <c r="EX82" s="31"/>
      <c r="FA82" s="31"/>
      <c r="FD82" s="31"/>
      <c r="FS82" s="31"/>
      <c r="GN82" s="31"/>
      <c r="GQ82" s="31"/>
      <c r="GT82" s="31"/>
      <c r="GW82" s="31"/>
      <c r="HL82" s="33"/>
    </row>
    <row r="83" spans="1:220" s="38" customFormat="1" ht="45" customHeight="1" x14ac:dyDescent="0.2">
      <c r="A83" s="38" t="s">
        <v>247</v>
      </c>
      <c r="B83" s="38" t="s">
        <v>248</v>
      </c>
      <c r="C83" s="38">
        <v>2017</v>
      </c>
      <c r="D83" s="38" t="s">
        <v>246</v>
      </c>
      <c r="E83" s="38" t="s">
        <v>64</v>
      </c>
      <c r="F83" s="38" t="s">
        <v>64</v>
      </c>
      <c r="G83" s="38" t="s">
        <v>136</v>
      </c>
      <c r="H83" s="38" t="s">
        <v>253</v>
      </c>
      <c r="I83" s="38" t="s">
        <v>333</v>
      </c>
      <c r="J83" s="38" t="s">
        <v>307</v>
      </c>
      <c r="K83" s="38" t="s">
        <v>507</v>
      </c>
      <c r="L83" s="38" t="s">
        <v>271</v>
      </c>
      <c r="M83" s="38" t="s">
        <v>269</v>
      </c>
      <c r="N83" s="60">
        <v>2</v>
      </c>
      <c r="O83" s="60"/>
      <c r="P83" s="60"/>
      <c r="Q83" s="60">
        <v>1023</v>
      </c>
      <c r="R83" s="60">
        <v>1173</v>
      </c>
      <c r="S83" s="60"/>
      <c r="T83" s="60"/>
      <c r="U83" s="60"/>
      <c r="V83" s="60"/>
      <c r="W83" s="60"/>
      <c r="X83" s="60"/>
      <c r="Y83" s="60"/>
      <c r="Z83" s="60"/>
      <c r="AA83" s="60"/>
      <c r="AB83" s="60"/>
      <c r="AC83" s="60"/>
      <c r="AD83" s="60"/>
      <c r="AE83" s="60">
        <v>74</v>
      </c>
      <c r="AF83" s="38">
        <v>74</v>
      </c>
      <c r="AH83" s="29" t="s">
        <v>583</v>
      </c>
      <c r="AI83" s="38" t="s">
        <v>55</v>
      </c>
      <c r="AN83" s="38" t="s">
        <v>54</v>
      </c>
      <c r="AO83" s="38" t="s">
        <v>261</v>
      </c>
      <c r="AQ83" s="61">
        <v>1.8E+42</v>
      </c>
      <c r="AR83" s="62"/>
      <c r="AS83" s="59" t="s">
        <v>116</v>
      </c>
      <c r="AT83" s="64">
        <v>-3.5</v>
      </c>
      <c r="AU83" s="68">
        <v>0.4</v>
      </c>
      <c r="AV83" s="59" t="s">
        <v>112</v>
      </c>
      <c r="AW83" s="69">
        <f>188*0.00008617333262/(0.00831446261815324)</f>
        <v>1.9484826953444621</v>
      </c>
      <c r="AX83" s="69">
        <f>8*0.00008617333262/0.00831446261815324</f>
        <v>8.2914157248700521E-2</v>
      </c>
      <c r="AY83" s="59" t="s">
        <v>115</v>
      </c>
      <c r="AZ83" s="68"/>
      <c r="BA83" s="68"/>
      <c r="BC83" s="66"/>
      <c r="BD83" s="68"/>
      <c r="BF83" s="66"/>
      <c r="BG83" s="68"/>
      <c r="BI83" s="68"/>
      <c r="BJ83" s="68"/>
      <c r="BL83" s="67"/>
      <c r="EU83" s="60"/>
      <c r="EX83" s="60"/>
      <c r="FA83" s="60"/>
      <c r="FD83" s="60"/>
      <c r="FS83" s="60"/>
      <c r="GN83" s="60"/>
      <c r="GQ83" s="60"/>
      <c r="GT83" s="60"/>
      <c r="GW83" s="60"/>
      <c r="HL83" s="62"/>
    </row>
    <row r="84" spans="1:220" s="29" customFormat="1" ht="45" customHeight="1" x14ac:dyDescent="0.2">
      <c r="A84" s="38" t="s">
        <v>249</v>
      </c>
      <c r="B84" s="38" t="s">
        <v>250</v>
      </c>
      <c r="C84" s="38">
        <v>2019</v>
      </c>
      <c r="D84" s="38" t="s">
        <v>251</v>
      </c>
      <c r="E84" s="38" t="s">
        <v>64</v>
      </c>
      <c r="F84" s="38" t="s">
        <v>64</v>
      </c>
      <c r="G84" s="38" t="s">
        <v>136</v>
      </c>
      <c r="H84" s="38" t="s">
        <v>252</v>
      </c>
      <c r="I84" s="38" t="s">
        <v>256</v>
      </c>
      <c r="J84" s="38" t="s">
        <v>308</v>
      </c>
      <c r="K84" s="38" t="s">
        <v>508</v>
      </c>
      <c r="L84" s="38" t="s">
        <v>271</v>
      </c>
      <c r="M84" s="38" t="s">
        <v>268</v>
      </c>
      <c r="N84" s="60"/>
      <c r="O84" s="60">
        <v>3</v>
      </c>
      <c r="P84" s="60">
        <v>13</v>
      </c>
      <c r="Q84" s="60">
        <v>1000</v>
      </c>
      <c r="R84" s="60">
        <v>1300</v>
      </c>
      <c r="S84" s="60"/>
      <c r="T84" s="60"/>
      <c r="U84" s="60"/>
      <c r="V84" s="60"/>
      <c r="W84" s="60"/>
      <c r="X84" s="60"/>
      <c r="Y84" s="60"/>
      <c r="Z84" s="60"/>
      <c r="AA84" s="60"/>
      <c r="AB84" s="60"/>
      <c r="AC84" s="60"/>
      <c r="AD84" s="60"/>
      <c r="AE84" s="60">
        <v>136</v>
      </c>
      <c r="AF84" s="38">
        <v>1648</v>
      </c>
      <c r="AG84" s="38"/>
      <c r="AH84" s="39" t="s">
        <v>577</v>
      </c>
      <c r="AI84" s="38" t="s">
        <v>55</v>
      </c>
      <c r="AJ84" s="38"/>
      <c r="AK84" s="38"/>
      <c r="AL84" s="38"/>
      <c r="AM84" s="38"/>
      <c r="AN84" s="38"/>
      <c r="AO84" s="38" t="s">
        <v>262</v>
      </c>
      <c r="AP84" s="38"/>
      <c r="AQ84" s="61">
        <f>0.25*1.16869306579728E+42</f>
        <v>2.9217326644932E+41</v>
      </c>
      <c r="AR84" s="62"/>
      <c r="AS84" s="59" t="s">
        <v>116</v>
      </c>
      <c r="AT84" s="64">
        <v>-5</v>
      </c>
      <c r="AU84" s="68">
        <v>0.5</v>
      </c>
      <c r="AV84" s="59" t="s">
        <v>112</v>
      </c>
      <c r="AW84" s="69">
        <v>0.28000000000000003</v>
      </c>
      <c r="AX84" s="69">
        <v>0.03</v>
      </c>
      <c r="AY84" s="59" t="s">
        <v>116</v>
      </c>
      <c r="AZ84" s="68">
        <f>140*0.00008617333262/(0.00831446261815324)</f>
        <v>1.4509977518522592</v>
      </c>
      <c r="BA84" s="68">
        <f>11*0.00008617333262/(0.00831446261815324)</f>
        <v>0.11400696621696321</v>
      </c>
      <c r="BB84" s="38" t="s">
        <v>115</v>
      </c>
      <c r="BC84" s="66"/>
      <c r="BD84" s="68"/>
      <c r="BE84" s="38"/>
      <c r="BF84" s="66"/>
      <c r="BG84" s="68"/>
      <c r="BH84" s="38"/>
      <c r="BI84" s="68"/>
      <c r="BJ84" s="68"/>
      <c r="BK84" s="38"/>
      <c r="BL84" s="67"/>
      <c r="BM84" s="38"/>
      <c r="BN84" s="38"/>
      <c r="BO84" s="38"/>
      <c r="BP84" s="38"/>
      <c r="BQ84" s="38"/>
      <c r="BR84" s="38"/>
      <c r="BS84" s="38"/>
      <c r="BT84" s="38"/>
      <c r="BU84" s="38"/>
      <c r="BV84" s="38"/>
      <c r="BW84" s="38"/>
      <c r="BX84" s="38"/>
      <c r="BY84" s="38"/>
      <c r="BZ84" s="38"/>
      <c r="CA84" s="38"/>
      <c r="CB84" s="38"/>
      <c r="CC84" s="38"/>
      <c r="CD84" s="38"/>
      <c r="CE84" s="38"/>
      <c r="CF84" s="38"/>
      <c r="CG84" s="38"/>
      <c r="CH84" s="38"/>
      <c r="CI84" s="38"/>
      <c r="CJ84" s="38"/>
      <c r="CK84" s="38"/>
      <c r="CL84" s="38"/>
      <c r="EU84" s="31"/>
      <c r="EX84" s="31"/>
      <c r="FA84" s="31"/>
      <c r="FD84" s="31"/>
      <c r="FS84" s="31"/>
      <c r="GN84" s="31"/>
      <c r="GQ84" s="31"/>
      <c r="GT84" s="31"/>
      <c r="GW84" s="31"/>
      <c r="HL84" s="33"/>
    </row>
    <row r="85" spans="1:220" s="29" customFormat="1" ht="45" customHeight="1" x14ac:dyDescent="0.2">
      <c r="A85" s="38" t="s">
        <v>249</v>
      </c>
      <c r="B85" s="38" t="s">
        <v>250</v>
      </c>
      <c r="C85" s="38">
        <v>2019</v>
      </c>
      <c r="D85" s="38" t="s">
        <v>251</v>
      </c>
      <c r="E85" s="38" t="s">
        <v>64</v>
      </c>
      <c r="F85" s="38" t="s">
        <v>64</v>
      </c>
      <c r="G85" s="38" t="s">
        <v>136</v>
      </c>
      <c r="H85" s="38" t="s">
        <v>252</v>
      </c>
      <c r="I85" s="38" t="s">
        <v>256</v>
      </c>
      <c r="J85" s="38" t="s">
        <v>308</v>
      </c>
      <c r="K85" s="38" t="s">
        <v>509</v>
      </c>
      <c r="L85" s="38" t="s">
        <v>271</v>
      </c>
      <c r="M85" s="38" t="s">
        <v>268</v>
      </c>
      <c r="N85" s="60"/>
      <c r="O85" s="60">
        <v>3</v>
      </c>
      <c r="P85" s="60">
        <v>13</v>
      </c>
      <c r="Q85" s="60">
        <v>1000</v>
      </c>
      <c r="R85" s="60">
        <v>1300</v>
      </c>
      <c r="S85" s="60"/>
      <c r="T85" s="60"/>
      <c r="U85" s="60"/>
      <c r="V85" s="60"/>
      <c r="W85" s="60"/>
      <c r="X85" s="60"/>
      <c r="Y85" s="60"/>
      <c r="Z85" s="60"/>
      <c r="AA85" s="60"/>
      <c r="AB85" s="60"/>
      <c r="AC85" s="60"/>
      <c r="AD85" s="60"/>
      <c r="AE85" s="60">
        <v>136</v>
      </c>
      <c r="AF85" s="38">
        <v>1648</v>
      </c>
      <c r="AG85" s="38"/>
      <c r="AH85" s="39" t="s">
        <v>577</v>
      </c>
      <c r="AI85" s="38" t="s">
        <v>55</v>
      </c>
      <c r="AJ85" s="38"/>
      <c r="AK85" s="38"/>
      <c r="AL85" s="38"/>
      <c r="AM85" s="38"/>
      <c r="AN85" s="38"/>
      <c r="AO85" s="38" t="s">
        <v>261</v>
      </c>
      <c r="AP85" s="38"/>
      <c r="AQ85" s="61">
        <f>0.25*1.16869306579728E+42</f>
        <v>2.9217326644932E+41</v>
      </c>
      <c r="AR85" s="62"/>
      <c r="AS85" s="59" t="s">
        <v>116</v>
      </c>
      <c r="AT85" s="64">
        <v>-8.1999999999999993</v>
      </c>
      <c r="AU85" s="68">
        <v>0.9</v>
      </c>
      <c r="AV85" s="59" t="s">
        <v>112</v>
      </c>
      <c r="AW85" s="69">
        <v>0.55000000000000004</v>
      </c>
      <c r="AX85" s="69">
        <v>0.01</v>
      </c>
      <c r="AY85" s="59" t="s">
        <v>116</v>
      </c>
      <c r="AZ85" s="68">
        <f>95*0.00008617333262/(0.00831446261815324)</f>
        <v>0.98460561732831875</v>
      </c>
      <c r="BA85" s="68">
        <f>19*0.00008617333262/(0.00831446261815324)</f>
        <v>0.19692112346566373</v>
      </c>
      <c r="BB85" s="38" t="s">
        <v>115</v>
      </c>
      <c r="BC85" s="66"/>
      <c r="BD85" s="68"/>
      <c r="BE85" s="38"/>
      <c r="BF85" s="66"/>
      <c r="BG85" s="68"/>
      <c r="BH85" s="38"/>
      <c r="BI85" s="68"/>
      <c r="BJ85" s="68"/>
      <c r="BK85" s="38"/>
      <c r="BL85" s="67"/>
      <c r="BM85" s="38"/>
      <c r="BN85" s="38"/>
      <c r="BO85" s="38"/>
      <c r="BP85" s="38"/>
      <c r="BQ85" s="38"/>
      <c r="BR85" s="38"/>
      <c r="BS85" s="38"/>
      <c r="BT85" s="38"/>
      <c r="BU85" s="38"/>
      <c r="BV85" s="38"/>
      <c r="BW85" s="38"/>
      <c r="BX85" s="38"/>
      <c r="BY85" s="38"/>
      <c r="BZ85" s="38"/>
      <c r="CA85" s="38"/>
      <c r="CB85" s="38"/>
      <c r="CC85" s="38"/>
      <c r="CD85" s="38"/>
      <c r="CE85" s="38"/>
      <c r="CF85" s="38"/>
      <c r="CG85" s="38"/>
      <c r="CH85" s="38"/>
      <c r="CI85" s="38"/>
      <c r="CJ85" s="38"/>
      <c r="CK85" s="38"/>
      <c r="CL85" s="38"/>
      <c r="EU85" s="31"/>
      <c r="EX85" s="31"/>
      <c r="FA85" s="31"/>
      <c r="FD85" s="31"/>
      <c r="FS85" s="31"/>
      <c r="GN85" s="31"/>
      <c r="GQ85" s="31"/>
      <c r="GT85" s="31"/>
      <c r="GW85" s="31"/>
      <c r="HL85" s="33"/>
    </row>
    <row r="86" spans="1:220" s="38" customFormat="1" ht="45" customHeight="1" x14ac:dyDescent="0.2">
      <c r="A86" s="38" t="s">
        <v>257</v>
      </c>
      <c r="B86" s="38" t="s">
        <v>258</v>
      </c>
      <c r="C86" s="38">
        <v>2020</v>
      </c>
      <c r="D86" s="38" t="s">
        <v>259</v>
      </c>
      <c r="E86" s="38" t="s">
        <v>64</v>
      </c>
      <c r="F86" s="38" t="s">
        <v>64</v>
      </c>
      <c r="G86" s="38" t="s">
        <v>62</v>
      </c>
      <c r="H86" s="38" t="s">
        <v>260</v>
      </c>
      <c r="I86" s="38" t="s">
        <v>275</v>
      </c>
      <c r="J86" s="38" t="s">
        <v>309</v>
      </c>
      <c r="K86" s="38" t="s">
        <v>510</v>
      </c>
      <c r="L86" s="38" t="s">
        <v>265</v>
      </c>
      <c r="M86" s="38" t="s">
        <v>269</v>
      </c>
      <c r="N86" s="60"/>
      <c r="O86" s="60">
        <v>2</v>
      </c>
      <c r="P86" s="60">
        <v>10</v>
      </c>
      <c r="Q86" s="60">
        <v>1480</v>
      </c>
      <c r="R86" s="60">
        <v>2180</v>
      </c>
      <c r="S86" s="60"/>
      <c r="T86" s="60"/>
      <c r="U86" s="60"/>
      <c r="V86" s="60"/>
      <c r="W86" s="60"/>
      <c r="X86" s="60"/>
      <c r="Y86" s="60"/>
      <c r="Z86" s="60"/>
      <c r="AA86" s="60"/>
      <c r="AB86" s="60"/>
      <c r="AC86" s="60"/>
      <c r="AD86" s="60"/>
      <c r="AE86" s="60">
        <v>18</v>
      </c>
      <c r="AF86" s="38">
        <v>580</v>
      </c>
      <c r="AH86" s="38" t="s">
        <v>581</v>
      </c>
      <c r="AI86" s="38" t="s">
        <v>55</v>
      </c>
      <c r="AN86" s="38" t="s">
        <v>61</v>
      </c>
      <c r="AO86" s="38" t="s">
        <v>262</v>
      </c>
      <c r="AP86" s="38" t="s">
        <v>411</v>
      </c>
      <c r="AQ86" s="61">
        <v>9.9</v>
      </c>
      <c r="AR86" s="62">
        <v>0.5</v>
      </c>
      <c r="AS86" s="59" t="s">
        <v>112</v>
      </c>
      <c r="AT86" s="68">
        <v>1.3</v>
      </c>
      <c r="AU86" s="68">
        <v>0.2</v>
      </c>
      <c r="AV86" s="59" t="s">
        <v>116</v>
      </c>
      <c r="AW86" s="69">
        <f>337*0.00008617333262/(0.00831446261815324)</f>
        <v>3.4927588741015096</v>
      </c>
      <c r="AX86" s="69">
        <f>15*0.00008617333262/(0.00831446261815324)</f>
        <v>0.15546404484131346</v>
      </c>
      <c r="AY86" s="59" t="s">
        <v>115</v>
      </c>
      <c r="AZ86" s="68">
        <v>4.2</v>
      </c>
      <c r="BA86" s="68">
        <v>0.4</v>
      </c>
      <c r="BB86" s="38" t="s">
        <v>123</v>
      </c>
      <c r="BC86" s="66">
        <v>1.48</v>
      </c>
      <c r="BD86" s="68">
        <v>0.2</v>
      </c>
      <c r="BE86" s="38" t="s">
        <v>112</v>
      </c>
      <c r="BF86" s="66">
        <f>117*0.00008617333262/(0.00831446261815324)</f>
        <v>1.2126195497622452</v>
      </c>
      <c r="BG86" s="68">
        <f>13*0.00008617333262/(0.00831446261815324)</f>
        <v>0.13473550552913835</v>
      </c>
      <c r="BH86" s="38" t="s">
        <v>115</v>
      </c>
      <c r="BI86" s="68">
        <v>0.5</v>
      </c>
      <c r="BJ86" s="68">
        <v>0.7</v>
      </c>
      <c r="BK86" s="38" t="s">
        <v>123</v>
      </c>
      <c r="BL86" s="67"/>
      <c r="EU86" s="60"/>
      <c r="EX86" s="60"/>
      <c r="FA86" s="60"/>
      <c r="FD86" s="60"/>
      <c r="FS86" s="60"/>
      <c r="GN86" s="60"/>
      <c r="GQ86" s="60"/>
      <c r="GT86" s="60"/>
      <c r="GW86" s="60"/>
      <c r="HL86" s="62"/>
    </row>
    <row r="87" spans="1:220" s="50" customFormat="1" ht="45" customHeight="1" x14ac:dyDescent="0.2">
      <c r="A87" s="38" t="s">
        <v>257</v>
      </c>
      <c r="B87" s="38" t="s">
        <v>258</v>
      </c>
      <c r="C87" s="38">
        <v>2020</v>
      </c>
      <c r="D87" s="38" t="s">
        <v>259</v>
      </c>
      <c r="E87" s="38" t="s">
        <v>64</v>
      </c>
      <c r="F87" s="38" t="s">
        <v>64</v>
      </c>
      <c r="G87" s="38" t="s">
        <v>62</v>
      </c>
      <c r="H87" s="38" t="s">
        <v>260</v>
      </c>
      <c r="I87" s="38" t="s">
        <v>275</v>
      </c>
      <c r="J87" s="38" t="s">
        <v>309</v>
      </c>
      <c r="K87" s="38" t="s">
        <v>511</v>
      </c>
      <c r="L87" s="38" t="s">
        <v>265</v>
      </c>
      <c r="M87" s="38" t="s">
        <v>269</v>
      </c>
      <c r="N87" s="60"/>
      <c r="O87" s="60">
        <v>2</v>
      </c>
      <c r="P87" s="60">
        <v>10</v>
      </c>
      <c r="Q87" s="60">
        <v>1480</v>
      </c>
      <c r="R87" s="60">
        <v>2180</v>
      </c>
      <c r="S87" s="60"/>
      <c r="T87" s="60"/>
      <c r="U87" s="60"/>
      <c r="V87" s="60"/>
      <c r="W87" s="60"/>
      <c r="X87" s="60"/>
      <c r="Y87" s="60"/>
      <c r="Z87" s="60"/>
      <c r="AA87" s="60"/>
      <c r="AB87" s="60"/>
      <c r="AC87" s="60"/>
      <c r="AD87" s="60"/>
      <c r="AE87" s="60">
        <v>18</v>
      </c>
      <c r="AF87" s="38">
        <v>580</v>
      </c>
      <c r="AG87" s="38"/>
      <c r="AH87" s="38" t="s">
        <v>581</v>
      </c>
      <c r="AI87" s="38" t="s">
        <v>55</v>
      </c>
      <c r="AJ87" s="38"/>
      <c r="AK87" s="38"/>
      <c r="AL87" s="38"/>
      <c r="AM87" s="38"/>
      <c r="AN87" s="38" t="s">
        <v>61</v>
      </c>
      <c r="AO87" s="38" t="s">
        <v>263</v>
      </c>
      <c r="AP87" s="38" t="s">
        <v>412</v>
      </c>
      <c r="AQ87" s="61">
        <v>11.6</v>
      </c>
      <c r="AR87" s="62">
        <v>0.4</v>
      </c>
      <c r="AS87" s="59" t="s">
        <v>112</v>
      </c>
      <c r="AT87" s="68">
        <v>1.3</v>
      </c>
      <c r="AU87" s="68">
        <v>0.2</v>
      </c>
      <c r="AV87" s="59" t="s">
        <v>116</v>
      </c>
      <c r="AW87" s="69">
        <f>396*0.00008617333262/(0.00831446261815324)</f>
        <v>4.1042507838106754</v>
      </c>
      <c r="AX87" s="69">
        <f>25*0.00008617333262/(0.00831446261815324)</f>
        <v>0.25910674140218909</v>
      </c>
      <c r="AY87" s="59" t="s">
        <v>115</v>
      </c>
      <c r="AZ87" s="68">
        <v>3.2</v>
      </c>
      <c r="BA87" s="68">
        <v>0.2</v>
      </c>
      <c r="BB87" s="38" t="s">
        <v>123</v>
      </c>
      <c r="BC87" s="66">
        <v>2.75</v>
      </c>
      <c r="BD87" s="68">
        <v>0.2</v>
      </c>
      <c r="BE87" s="38" t="s">
        <v>112</v>
      </c>
      <c r="BF87" s="66">
        <f>163*0.00008617333262/(0.00831446261815324)</f>
        <v>1.689375953942273</v>
      </c>
      <c r="BG87" s="68">
        <f>25*0.00008617333262/(0.0083144626181532)</f>
        <v>0.25910674140219037</v>
      </c>
      <c r="BH87" s="38" t="s">
        <v>115</v>
      </c>
      <c r="BI87" s="68">
        <v>-0.2</v>
      </c>
      <c r="BJ87" s="68">
        <v>0.2</v>
      </c>
      <c r="BK87" s="38" t="s">
        <v>123</v>
      </c>
      <c r="BL87" s="67"/>
      <c r="BM87" s="38"/>
      <c r="BN87" s="38"/>
      <c r="BO87" s="38"/>
      <c r="BP87" s="38"/>
      <c r="BQ87" s="38"/>
      <c r="BR87" s="38"/>
      <c r="BS87" s="38"/>
      <c r="BT87" s="38"/>
      <c r="BU87" s="38"/>
      <c r="BV87" s="38"/>
      <c r="BW87" s="38"/>
      <c r="BX87" s="38"/>
      <c r="BY87" s="38"/>
      <c r="BZ87" s="38"/>
      <c r="CA87" s="38"/>
      <c r="CB87" s="38"/>
      <c r="CC87" s="38"/>
      <c r="CD87" s="38"/>
      <c r="CE87" s="38"/>
      <c r="CF87" s="38"/>
      <c r="CG87" s="38"/>
      <c r="CH87" s="38"/>
      <c r="CI87" s="38"/>
      <c r="CJ87" s="38"/>
      <c r="CK87" s="38"/>
      <c r="CL87" s="38"/>
      <c r="EU87" s="51"/>
      <c r="EX87" s="51"/>
      <c r="FA87" s="51"/>
      <c r="FD87" s="51"/>
      <c r="FS87" s="51"/>
      <c r="GN87" s="51"/>
      <c r="GQ87" s="51"/>
      <c r="GT87" s="51"/>
      <c r="GW87" s="51"/>
      <c r="HL87" s="53"/>
    </row>
    <row r="88" spans="1:220" s="50" customFormat="1" ht="45" customHeight="1" x14ac:dyDescent="0.2">
      <c r="A88" s="38" t="s">
        <v>257</v>
      </c>
      <c r="B88" s="38" t="s">
        <v>258</v>
      </c>
      <c r="C88" s="38">
        <v>2020</v>
      </c>
      <c r="D88" s="38" t="s">
        <v>259</v>
      </c>
      <c r="E88" s="38" t="s">
        <v>64</v>
      </c>
      <c r="F88" s="38" t="s">
        <v>64</v>
      </c>
      <c r="G88" s="38" t="s">
        <v>62</v>
      </c>
      <c r="H88" s="38" t="s">
        <v>260</v>
      </c>
      <c r="I88" s="38" t="s">
        <v>275</v>
      </c>
      <c r="J88" s="38" t="s">
        <v>309</v>
      </c>
      <c r="K88" s="38" t="s">
        <v>512</v>
      </c>
      <c r="L88" s="38" t="s">
        <v>265</v>
      </c>
      <c r="M88" s="38" t="s">
        <v>269</v>
      </c>
      <c r="N88" s="60"/>
      <c r="O88" s="60">
        <v>2</v>
      </c>
      <c r="P88" s="60">
        <v>10</v>
      </c>
      <c r="Q88" s="60">
        <v>1480</v>
      </c>
      <c r="R88" s="60">
        <v>2180</v>
      </c>
      <c r="S88" s="60"/>
      <c r="T88" s="60"/>
      <c r="U88" s="60"/>
      <c r="V88" s="60"/>
      <c r="W88" s="60"/>
      <c r="X88" s="60"/>
      <c r="Y88" s="60"/>
      <c r="Z88" s="60"/>
      <c r="AA88" s="60"/>
      <c r="AB88" s="60"/>
      <c r="AC88" s="60"/>
      <c r="AD88" s="60"/>
      <c r="AE88" s="60">
        <v>18</v>
      </c>
      <c r="AF88" s="38">
        <v>580</v>
      </c>
      <c r="AG88" s="38"/>
      <c r="AH88" s="38" t="s">
        <v>581</v>
      </c>
      <c r="AI88" s="38" t="s">
        <v>55</v>
      </c>
      <c r="AJ88" s="38"/>
      <c r="AK88" s="38"/>
      <c r="AL88" s="38"/>
      <c r="AM88" s="38"/>
      <c r="AN88" s="38" t="s">
        <v>61</v>
      </c>
      <c r="AO88" s="38" t="s">
        <v>261</v>
      </c>
      <c r="AP88" s="38" t="s">
        <v>410</v>
      </c>
      <c r="AQ88" s="61">
        <v>11.78</v>
      </c>
      <c r="AR88" s="62">
        <v>0.4</v>
      </c>
      <c r="AS88" s="59" t="s">
        <v>112</v>
      </c>
      <c r="AT88" s="68">
        <v>1.3</v>
      </c>
      <c r="AU88" s="68">
        <v>0.2</v>
      </c>
      <c r="AV88" s="59" t="s">
        <v>116</v>
      </c>
      <c r="AW88" s="69">
        <f>385*0.00008617333262/(0.00831446261815324)</f>
        <v>3.9902438175937132</v>
      </c>
      <c r="AX88" s="69">
        <f>15*0.00008617333262/(0.00831446261815324)</f>
        <v>0.15546404484131346</v>
      </c>
      <c r="AY88" s="59" t="s">
        <v>115</v>
      </c>
      <c r="AZ88" s="68">
        <v>4.0999999999999996</v>
      </c>
      <c r="BA88" s="68">
        <v>0.4</v>
      </c>
      <c r="BB88" s="38" t="s">
        <v>123</v>
      </c>
      <c r="BC88" s="66">
        <v>2.72</v>
      </c>
      <c r="BD88" s="68">
        <v>0.3</v>
      </c>
      <c r="BE88" s="38" t="s">
        <v>112</v>
      </c>
      <c r="BF88" s="66">
        <f>139*0.00008617333262/(0.00831446261815324)</f>
        <v>1.4406334821961717</v>
      </c>
      <c r="BG88" s="68">
        <f>13*0.00008617333262/(0.00831446261815324)</f>
        <v>0.13473550552913835</v>
      </c>
      <c r="BH88" s="38" t="s">
        <v>115</v>
      </c>
      <c r="BI88" s="68">
        <v>0.5</v>
      </c>
      <c r="BJ88" s="68">
        <v>0.7</v>
      </c>
      <c r="BK88" s="38" t="s">
        <v>123</v>
      </c>
      <c r="BL88" s="67"/>
      <c r="BM88" s="38"/>
      <c r="BN88" s="38"/>
      <c r="BO88" s="38"/>
      <c r="BP88" s="38"/>
      <c r="BQ88" s="38"/>
      <c r="BR88" s="38"/>
      <c r="BS88" s="38"/>
      <c r="BT88" s="38"/>
      <c r="BU88" s="38"/>
      <c r="BV88" s="38"/>
      <c r="BW88" s="38"/>
      <c r="BX88" s="38"/>
      <c r="BY88" s="38"/>
      <c r="BZ88" s="38"/>
      <c r="CA88" s="38"/>
      <c r="CB88" s="38"/>
      <c r="CC88" s="38"/>
      <c r="CD88" s="38"/>
      <c r="CE88" s="38"/>
      <c r="CF88" s="38"/>
      <c r="CG88" s="38"/>
      <c r="CH88" s="38"/>
      <c r="CI88" s="38"/>
      <c r="CJ88" s="38"/>
      <c r="CK88" s="38"/>
      <c r="CL88" s="38"/>
      <c r="EU88" s="51"/>
      <c r="EX88" s="51"/>
      <c r="FA88" s="51"/>
      <c r="FD88" s="51"/>
      <c r="FS88" s="51"/>
      <c r="GN88" s="51"/>
      <c r="GQ88" s="51"/>
      <c r="GT88" s="51"/>
      <c r="GW88" s="51"/>
      <c r="HL88" s="53"/>
    </row>
    <row r="89" spans="1:220" s="50" customFormat="1" ht="45" customHeight="1" x14ac:dyDescent="0.2">
      <c r="A89" s="38" t="s">
        <v>257</v>
      </c>
      <c r="B89" s="38" t="s">
        <v>258</v>
      </c>
      <c r="C89" s="38">
        <v>2020</v>
      </c>
      <c r="D89" s="38" t="s">
        <v>259</v>
      </c>
      <c r="E89" s="38" t="s">
        <v>64</v>
      </c>
      <c r="F89" s="38" t="s">
        <v>64</v>
      </c>
      <c r="G89" s="38" t="s">
        <v>62</v>
      </c>
      <c r="H89" s="38" t="s">
        <v>571</v>
      </c>
      <c r="I89" s="38" t="s">
        <v>575</v>
      </c>
      <c r="J89" s="38" t="s">
        <v>309</v>
      </c>
      <c r="K89" s="38" t="s">
        <v>572</v>
      </c>
      <c r="L89" s="38" t="s">
        <v>265</v>
      </c>
      <c r="M89" s="38" t="s">
        <v>269</v>
      </c>
      <c r="N89" s="60"/>
      <c r="O89" s="60">
        <v>2</v>
      </c>
      <c r="P89" s="60">
        <v>10</v>
      </c>
      <c r="Q89" s="60">
        <v>1480</v>
      </c>
      <c r="R89" s="60">
        <v>2180</v>
      </c>
      <c r="S89" s="60"/>
      <c r="T89" s="60"/>
      <c r="U89" s="60"/>
      <c r="V89" s="60"/>
      <c r="W89" s="60"/>
      <c r="X89" s="60"/>
      <c r="Y89" s="60"/>
      <c r="Z89" s="60"/>
      <c r="AA89" s="60"/>
      <c r="AB89" s="60"/>
      <c r="AC89" s="60"/>
      <c r="AD89" s="60"/>
      <c r="AE89" s="60">
        <v>18</v>
      </c>
      <c r="AF89" s="38">
        <v>580</v>
      </c>
      <c r="AG89" s="38"/>
      <c r="AH89" s="38" t="s">
        <v>581</v>
      </c>
      <c r="AI89" s="38" t="s">
        <v>55</v>
      </c>
      <c r="AJ89" s="38"/>
      <c r="AK89" s="38"/>
      <c r="AL89" s="38"/>
      <c r="AM89" s="38"/>
      <c r="AN89" s="38" t="s">
        <v>61</v>
      </c>
      <c r="AO89" s="38" t="s">
        <v>262</v>
      </c>
      <c r="AP89" s="38" t="s">
        <v>411</v>
      </c>
      <c r="AQ89" s="61">
        <v>9.9</v>
      </c>
      <c r="AR89" s="62">
        <v>0.5</v>
      </c>
      <c r="AS89" s="59" t="s">
        <v>112</v>
      </c>
      <c r="AT89" s="68">
        <v>1.3</v>
      </c>
      <c r="AU89" s="68">
        <v>0.2</v>
      </c>
      <c r="AV89" s="59" t="s">
        <v>116</v>
      </c>
      <c r="AW89" s="69">
        <f>337*0.00008617333262/(0.00831446261815324)</f>
        <v>3.4927588741015096</v>
      </c>
      <c r="AX89" s="69">
        <f>15*0.00008617333262/(0.00831446261815324)</f>
        <v>0.15546404484131346</v>
      </c>
      <c r="AY89" s="59" t="s">
        <v>115</v>
      </c>
      <c r="AZ89" s="68">
        <v>4.2</v>
      </c>
      <c r="BA89" s="68">
        <v>0.4</v>
      </c>
      <c r="BB89" s="38" t="s">
        <v>123</v>
      </c>
      <c r="BC89" s="66"/>
      <c r="BD89" s="68"/>
      <c r="BE89" s="38"/>
      <c r="BF89" s="66"/>
      <c r="BG89" s="68"/>
      <c r="BH89" s="38"/>
      <c r="BI89" s="68"/>
      <c r="BJ89" s="68"/>
      <c r="BK89" s="38"/>
      <c r="BL89" s="67"/>
      <c r="BM89" s="38"/>
      <c r="BN89" s="38"/>
      <c r="BO89" s="38"/>
      <c r="BP89" s="38"/>
      <c r="BQ89" s="38"/>
      <c r="BR89" s="38"/>
      <c r="BS89" s="38"/>
      <c r="BT89" s="38"/>
      <c r="BU89" s="38"/>
      <c r="BV89" s="38"/>
      <c r="BW89" s="38"/>
      <c r="BX89" s="38"/>
      <c r="BY89" s="38"/>
      <c r="BZ89" s="38"/>
      <c r="CA89" s="38"/>
      <c r="CB89" s="38"/>
      <c r="CC89" s="38"/>
      <c r="CD89" s="38"/>
      <c r="CE89" s="38"/>
      <c r="CF89" s="38"/>
      <c r="CG89" s="38"/>
      <c r="CH89" s="38"/>
      <c r="CI89" s="38"/>
      <c r="CJ89" s="38"/>
      <c r="CK89" s="38"/>
      <c r="CL89" s="38"/>
      <c r="EU89" s="51"/>
      <c r="EX89" s="51"/>
      <c r="FA89" s="51"/>
      <c r="FD89" s="51"/>
      <c r="FS89" s="51"/>
      <c r="GN89" s="51"/>
      <c r="GQ89" s="51"/>
      <c r="GT89" s="51"/>
      <c r="GW89" s="51"/>
      <c r="HL89" s="53"/>
    </row>
    <row r="90" spans="1:220" s="38" customFormat="1" ht="45" customHeight="1" x14ac:dyDescent="0.2">
      <c r="A90" s="38" t="s">
        <v>257</v>
      </c>
      <c r="B90" s="38" t="s">
        <v>258</v>
      </c>
      <c r="C90" s="38">
        <v>2020</v>
      </c>
      <c r="D90" s="38" t="s">
        <v>259</v>
      </c>
      <c r="E90" s="38" t="s">
        <v>64</v>
      </c>
      <c r="F90" s="38" t="s">
        <v>64</v>
      </c>
      <c r="G90" s="38" t="s">
        <v>62</v>
      </c>
      <c r="H90" s="38" t="s">
        <v>571</v>
      </c>
      <c r="I90" s="38" t="s">
        <v>576</v>
      </c>
      <c r="J90" s="38" t="s">
        <v>309</v>
      </c>
      <c r="K90" s="38" t="s">
        <v>573</v>
      </c>
      <c r="L90" s="38" t="s">
        <v>265</v>
      </c>
      <c r="M90" s="38" t="s">
        <v>269</v>
      </c>
      <c r="N90" s="60"/>
      <c r="O90" s="60">
        <v>2</v>
      </c>
      <c r="P90" s="60">
        <v>10</v>
      </c>
      <c r="Q90" s="60">
        <v>1480</v>
      </c>
      <c r="R90" s="60">
        <v>2180</v>
      </c>
      <c r="S90" s="60"/>
      <c r="T90" s="60"/>
      <c r="U90" s="60"/>
      <c r="V90" s="60"/>
      <c r="W90" s="60"/>
      <c r="X90" s="60"/>
      <c r="Y90" s="60"/>
      <c r="Z90" s="60"/>
      <c r="AA90" s="60"/>
      <c r="AB90" s="60"/>
      <c r="AC90" s="60"/>
      <c r="AD90" s="60"/>
      <c r="AE90" s="60">
        <v>18</v>
      </c>
      <c r="AF90" s="38">
        <v>580</v>
      </c>
      <c r="AH90" s="38" t="s">
        <v>581</v>
      </c>
      <c r="AI90" s="38" t="s">
        <v>55</v>
      </c>
      <c r="AN90" s="38" t="s">
        <v>61</v>
      </c>
      <c r="AO90" s="38" t="s">
        <v>263</v>
      </c>
      <c r="AP90" s="38" t="s">
        <v>412</v>
      </c>
      <c r="AQ90" s="61">
        <v>11.6</v>
      </c>
      <c r="AR90" s="62">
        <v>0.4</v>
      </c>
      <c r="AS90" s="59" t="s">
        <v>112</v>
      </c>
      <c r="AT90" s="68">
        <v>1.3</v>
      </c>
      <c r="AU90" s="68">
        <v>0.2</v>
      </c>
      <c r="AV90" s="59" t="s">
        <v>116</v>
      </c>
      <c r="AW90" s="69">
        <f>396*0.00008617333262/(0.00831446261815324)</f>
        <v>4.1042507838106754</v>
      </c>
      <c r="AX90" s="69">
        <f>25*0.00008617333262/(0.00831446261815324)</f>
        <v>0.25910674140218909</v>
      </c>
      <c r="AY90" s="59" t="s">
        <v>115</v>
      </c>
      <c r="AZ90" s="68">
        <v>3.2</v>
      </c>
      <c r="BA90" s="68">
        <v>0.2</v>
      </c>
      <c r="BB90" s="38" t="s">
        <v>123</v>
      </c>
      <c r="BC90" s="66"/>
      <c r="BD90" s="68"/>
      <c r="BF90" s="66"/>
      <c r="BG90" s="68"/>
      <c r="BI90" s="68"/>
      <c r="BJ90" s="68"/>
      <c r="BL90" s="67"/>
      <c r="EU90" s="60"/>
      <c r="EX90" s="60"/>
      <c r="FA90" s="60"/>
      <c r="FD90" s="60"/>
      <c r="FS90" s="60"/>
      <c r="GN90" s="60"/>
      <c r="GQ90" s="60"/>
      <c r="GT90" s="60"/>
      <c r="GW90" s="60"/>
      <c r="HL90" s="62"/>
    </row>
    <row r="91" spans="1:220" s="38" customFormat="1" ht="45" customHeight="1" x14ac:dyDescent="0.2">
      <c r="A91" s="38" t="s">
        <v>257</v>
      </c>
      <c r="B91" s="38" t="s">
        <v>258</v>
      </c>
      <c r="C91" s="38">
        <v>2020</v>
      </c>
      <c r="D91" s="38" t="s">
        <v>259</v>
      </c>
      <c r="E91" s="38" t="s">
        <v>64</v>
      </c>
      <c r="F91" s="38" t="s">
        <v>64</v>
      </c>
      <c r="G91" s="38" t="s">
        <v>62</v>
      </c>
      <c r="H91" s="38" t="s">
        <v>571</v>
      </c>
      <c r="I91" s="38" t="s">
        <v>575</v>
      </c>
      <c r="J91" s="38" t="s">
        <v>309</v>
      </c>
      <c r="K91" s="38" t="s">
        <v>574</v>
      </c>
      <c r="L91" s="38" t="s">
        <v>265</v>
      </c>
      <c r="M91" s="38" t="s">
        <v>269</v>
      </c>
      <c r="N91" s="60"/>
      <c r="O91" s="60">
        <v>2</v>
      </c>
      <c r="P91" s="60">
        <v>10</v>
      </c>
      <c r="Q91" s="60">
        <v>1480</v>
      </c>
      <c r="R91" s="60">
        <v>2180</v>
      </c>
      <c r="S91" s="60"/>
      <c r="T91" s="60"/>
      <c r="U91" s="60"/>
      <c r="V91" s="60"/>
      <c r="W91" s="60"/>
      <c r="X91" s="60"/>
      <c r="Y91" s="60"/>
      <c r="Z91" s="60"/>
      <c r="AA91" s="60"/>
      <c r="AB91" s="60"/>
      <c r="AC91" s="60"/>
      <c r="AD91" s="60"/>
      <c r="AE91" s="60">
        <v>18</v>
      </c>
      <c r="AF91" s="38">
        <v>580</v>
      </c>
      <c r="AH91" s="38" t="s">
        <v>581</v>
      </c>
      <c r="AI91" s="38" t="s">
        <v>55</v>
      </c>
      <c r="AN91" s="38" t="s">
        <v>61</v>
      </c>
      <c r="AO91" s="38" t="s">
        <v>261</v>
      </c>
      <c r="AP91" s="38" t="s">
        <v>410</v>
      </c>
      <c r="AQ91" s="61">
        <v>11.78</v>
      </c>
      <c r="AR91" s="62">
        <v>0.4</v>
      </c>
      <c r="AS91" s="59" t="s">
        <v>112</v>
      </c>
      <c r="AT91" s="68">
        <v>1.3</v>
      </c>
      <c r="AU91" s="68">
        <v>0.2</v>
      </c>
      <c r="AV91" s="59" t="s">
        <v>116</v>
      </c>
      <c r="AW91" s="69">
        <f>385*0.00008617333262/(0.00831446261815324)</f>
        <v>3.9902438175937132</v>
      </c>
      <c r="AX91" s="69">
        <f>15*0.00008617333262/(0.00831446261815324)</f>
        <v>0.15546404484131346</v>
      </c>
      <c r="AY91" s="59" t="s">
        <v>115</v>
      </c>
      <c r="AZ91" s="68">
        <v>4.0999999999999996</v>
      </c>
      <c r="BA91" s="68">
        <v>0.4</v>
      </c>
      <c r="BB91" s="38" t="s">
        <v>123</v>
      </c>
      <c r="BC91" s="66"/>
      <c r="BD91" s="68"/>
      <c r="BF91" s="66"/>
      <c r="BG91" s="68"/>
      <c r="BI91" s="68"/>
      <c r="BJ91" s="68"/>
      <c r="BL91" s="67"/>
      <c r="EU91" s="60"/>
      <c r="EX91" s="60"/>
      <c r="FA91" s="60"/>
      <c r="FD91" s="60"/>
      <c r="FS91" s="60"/>
      <c r="GN91" s="60"/>
      <c r="GQ91" s="60"/>
      <c r="GT91" s="60"/>
      <c r="GW91" s="60"/>
      <c r="HL91" s="62"/>
    </row>
    <row r="92" spans="1:220" s="38" customFormat="1" ht="45" customHeight="1" x14ac:dyDescent="0.2">
      <c r="A92" s="39" t="s">
        <v>95</v>
      </c>
      <c r="B92" s="39" t="s">
        <v>96</v>
      </c>
      <c r="C92" s="39">
        <v>2019</v>
      </c>
      <c r="D92" s="40" t="s">
        <v>97</v>
      </c>
      <c r="E92" s="39" t="s">
        <v>542</v>
      </c>
      <c r="F92" s="39" t="s">
        <v>98</v>
      </c>
      <c r="G92" s="39" t="s">
        <v>99</v>
      </c>
      <c r="H92" s="39" t="s">
        <v>390</v>
      </c>
      <c r="I92" s="39" t="s">
        <v>281</v>
      </c>
      <c r="J92" s="39" t="s">
        <v>292</v>
      </c>
      <c r="K92" s="39" t="s">
        <v>543</v>
      </c>
      <c r="L92" s="39" t="s">
        <v>265</v>
      </c>
      <c r="M92" s="39" t="s">
        <v>268</v>
      </c>
      <c r="N92" s="41"/>
      <c r="O92" s="41">
        <v>3</v>
      </c>
      <c r="P92" s="41">
        <v>5</v>
      </c>
      <c r="Q92" s="41">
        <v>500</v>
      </c>
      <c r="R92" s="41">
        <v>1300</v>
      </c>
      <c r="S92" s="41"/>
      <c r="T92" s="41"/>
      <c r="U92" s="41"/>
      <c r="V92" s="41"/>
      <c r="W92" s="41"/>
      <c r="X92" s="41"/>
      <c r="Y92" s="41"/>
      <c r="Z92" s="41"/>
      <c r="AA92" s="41"/>
      <c r="AB92" s="41"/>
      <c r="AC92" s="41"/>
      <c r="AD92" s="41"/>
      <c r="AE92" s="41">
        <v>4.0000000000000001E-3</v>
      </c>
      <c r="AF92" s="39">
        <v>0.122</v>
      </c>
      <c r="AG92" s="39"/>
      <c r="AH92" s="39" t="s">
        <v>577</v>
      </c>
      <c r="AI92" s="39" t="s">
        <v>66</v>
      </c>
      <c r="AJ92" s="39">
        <v>0</v>
      </c>
      <c r="AK92" s="39">
        <v>6.5</v>
      </c>
      <c r="AL92" s="39"/>
      <c r="AM92" s="39" t="s">
        <v>101</v>
      </c>
      <c r="AN92" s="39" t="s">
        <v>54</v>
      </c>
      <c r="AO92" s="40" t="s">
        <v>28</v>
      </c>
      <c r="AP92" s="40" t="s">
        <v>393</v>
      </c>
      <c r="AQ92" s="42">
        <v>1483</v>
      </c>
      <c r="AR92" s="43">
        <v>260</v>
      </c>
      <c r="AS92" s="40" t="s">
        <v>113</v>
      </c>
      <c r="AT92" s="45">
        <v>1.0000000000000001E-5</v>
      </c>
      <c r="AU92" s="42">
        <v>0.03</v>
      </c>
      <c r="AV92" s="40" t="s">
        <v>116</v>
      </c>
      <c r="AW92" s="44">
        <v>0.09</v>
      </c>
      <c r="AX92" s="44">
        <v>0.03</v>
      </c>
      <c r="AY92" s="40" t="s">
        <v>114</v>
      </c>
      <c r="AZ92" s="42">
        <v>1.1000000000000001</v>
      </c>
      <c r="BA92" s="42">
        <v>0.1</v>
      </c>
      <c r="BB92" s="44" t="s">
        <v>114</v>
      </c>
      <c r="BC92" s="46">
        <v>1.05</v>
      </c>
      <c r="BD92" s="42">
        <v>0.03</v>
      </c>
      <c r="BE92" s="44" t="s">
        <v>115</v>
      </c>
      <c r="BF92" s="46">
        <v>-0.71</v>
      </c>
      <c r="BG92" s="42">
        <v>0.05</v>
      </c>
      <c r="BH92" s="44" t="s">
        <v>116</v>
      </c>
      <c r="BI92" s="44">
        <v>1</v>
      </c>
      <c r="BJ92" s="42"/>
      <c r="BK92" s="44" t="s">
        <v>116</v>
      </c>
      <c r="BL92" s="42">
        <v>-0.38</v>
      </c>
      <c r="BM92" s="42">
        <v>7.0000000000000007E-2</v>
      </c>
      <c r="BN92" s="44" t="s">
        <v>116</v>
      </c>
      <c r="BO92" s="44">
        <v>0.33333333333333331</v>
      </c>
      <c r="BP92" s="44"/>
      <c r="BQ92" s="44" t="s">
        <v>116</v>
      </c>
      <c r="BR92" s="44"/>
      <c r="BS92" s="44"/>
      <c r="BT92" s="44"/>
      <c r="BU92" s="44"/>
      <c r="BV92" s="44"/>
      <c r="BW92" s="44"/>
      <c r="BX92" s="44"/>
      <c r="BY92" s="44"/>
      <c r="BZ92" s="44"/>
      <c r="CA92" s="44"/>
      <c r="CB92" s="44"/>
      <c r="CC92" s="44"/>
      <c r="CD92" s="44"/>
      <c r="CE92" s="44"/>
      <c r="CF92" s="44"/>
      <c r="CG92" s="41"/>
      <c r="CH92" s="41"/>
      <c r="CI92" s="39"/>
      <c r="CJ92" s="41"/>
      <c r="CK92" s="41"/>
      <c r="CL92" s="39"/>
      <c r="EU92" s="60"/>
      <c r="EX92" s="60"/>
      <c r="FA92" s="60"/>
      <c r="FD92" s="60"/>
      <c r="FS92" s="60"/>
      <c r="GN92" s="60"/>
      <c r="GQ92" s="60"/>
      <c r="GT92" s="60"/>
      <c r="GW92" s="60"/>
      <c r="HL92" s="62"/>
    </row>
    <row r="93" spans="1:220" s="38" customFormat="1" ht="45" customHeight="1" x14ac:dyDescent="0.2">
      <c r="A93" s="39" t="s">
        <v>104</v>
      </c>
      <c r="B93" s="39" t="s">
        <v>103</v>
      </c>
      <c r="C93" s="39">
        <v>2019</v>
      </c>
      <c r="D93" s="40" t="s">
        <v>102</v>
      </c>
      <c r="E93" s="39" t="s">
        <v>542</v>
      </c>
      <c r="F93" s="39" t="s">
        <v>542</v>
      </c>
      <c r="G93" s="39" t="s">
        <v>62</v>
      </c>
      <c r="H93" s="39" t="s">
        <v>79</v>
      </c>
      <c r="I93" s="39" t="s">
        <v>78</v>
      </c>
      <c r="J93" s="39" t="s">
        <v>327</v>
      </c>
      <c r="K93" s="39" t="s">
        <v>544</v>
      </c>
      <c r="L93" s="39" t="s">
        <v>265</v>
      </c>
      <c r="M93" s="39" t="s">
        <v>268</v>
      </c>
      <c r="N93" s="41">
        <v>1</v>
      </c>
      <c r="O93" s="41"/>
      <c r="P93" s="41"/>
      <c r="Q93" s="41">
        <v>573</v>
      </c>
      <c r="R93" s="41">
        <v>973</v>
      </c>
      <c r="S93" s="41"/>
      <c r="T93" s="41"/>
      <c r="U93" s="41"/>
      <c r="V93" s="41"/>
      <c r="W93" s="41"/>
      <c r="X93" s="41"/>
      <c r="Y93" s="41"/>
      <c r="Z93" s="41"/>
      <c r="AA93" s="41"/>
      <c r="AB93" s="41"/>
      <c r="AC93" s="41"/>
      <c r="AD93" s="41"/>
      <c r="AE93" s="41">
        <f>85*0.0001</f>
        <v>8.5000000000000006E-3</v>
      </c>
      <c r="AF93" s="39">
        <f>300*0.0001</f>
        <v>3.0000000000000002E-2</v>
      </c>
      <c r="AG93" s="39"/>
      <c r="AH93" s="39"/>
      <c r="AI93" s="39" t="s">
        <v>66</v>
      </c>
      <c r="AJ93" s="39"/>
      <c r="AK93" s="39"/>
      <c r="AL93" s="39"/>
      <c r="AM93" s="39"/>
      <c r="AN93" s="39" t="s">
        <v>54</v>
      </c>
      <c r="AO93" s="40" t="s">
        <v>28</v>
      </c>
      <c r="AP93" s="40"/>
      <c r="AQ93" s="42">
        <v>3.51</v>
      </c>
      <c r="AR93" s="43">
        <v>0.11</v>
      </c>
      <c r="AS93" s="40" t="s">
        <v>112</v>
      </c>
      <c r="AT93" s="45">
        <v>1.1000000000000001</v>
      </c>
      <c r="AU93" s="42">
        <v>0.04</v>
      </c>
      <c r="AV93" s="40" t="s">
        <v>114</v>
      </c>
      <c r="AW93" s="44">
        <v>0.84989999999999999</v>
      </c>
      <c r="AX93" s="44">
        <v>1.0359999999999999E-2</v>
      </c>
      <c r="AY93" s="40" t="s">
        <v>115</v>
      </c>
      <c r="AZ93" s="42"/>
      <c r="BA93" s="42"/>
      <c r="BB93" s="44"/>
      <c r="BC93" s="46"/>
      <c r="BD93" s="42"/>
      <c r="BE93" s="44"/>
      <c r="BF93" s="46"/>
      <c r="BG93" s="42"/>
      <c r="BH93" s="44"/>
      <c r="BI93" s="42"/>
      <c r="BJ93" s="42"/>
      <c r="BK93" s="44"/>
      <c r="BL93" s="47"/>
      <c r="BM93" s="44"/>
      <c r="BN93" s="44"/>
      <c r="BO93" s="44"/>
      <c r="BP93" s="44"/>
      <c r="BQ93" s="44"/>
      <c r="BR93" s="44"/>
      <c r="BS93" s="44"/>
      <c r="BT93" s="44"/>
      <c r="BU93" s="44"/>
      <c r="BV93" s="44"/>
      <c r="BW93" s="44"/>
      <c r="BX93" s="44"/>
      <c r="BY93" s="44"/>
      <c r="BZ93" s="44"/>
      <c r="CA93" s="44"/>
      <c r="CB93" s="44"/>
      <c r="CC93" s="44"/>
      <c r="CD93" s="44"/>
      <c r="CE93" s="44"/>
      <c r="CF93" s="44"/>
      <c r="CG93" s="41"/>
      <c r="CH93" s="41"/>
      <c r="CI93" s="39"/>
      <c r="CJ93" s="41"/>
      <c r="CK93" s="41"/>
      <c r="CL93" s="39"/>
      <c r="EU93" s="60"/>
      <c r="EX93" s="60"/>
      <c r="FA93" s="60"/>
      <c r="FD93" s="60"/>
      <c r="FS93" s="60"/>
      <c r="GN93" s="60"/>
      <c r="GQ93" s="60"/>
      <c r="GT93" s="60"/>
      <c r="GW93" s="60"/>
      <c r="HL93" s="62"/>
    </row>
    <row r="94" spans="1:220" s="29" customFormat="1" ht="45" customHeight="1" x14ac:dyDescent="0.2">
      <c r="A94" s="39" t="s">
        <v>524</v>
      </c>
      <c r="B94" s="39" t="s">
        <v>536</v>
      </c>
      <c r="C94" s="39">
        <v>2021</v>
      </c>
      <c r="D94" s="40" t="s">
        <v>525</v>
      </c>
      <c r="E94" s="39" t="s">
        <v>542</v>
      </c>
      <c r="F94" s="39" t="s">
        <v>526</v>
      </c>
      <c r="G94" s="39" t="s">
        <v>527</v>
      </c>
      <c r="H94" s="39" t="s">
        <v>390</v>
      </c>
      <c r="I94" s="39" t="s">
        <v>281</v>
      </c>
      <c r="J94" s="39" t="s">
        <v>528</v>
      </c>
      <c r="K94" s="39" t="s">
        <v>545</v>
      </c>
      <c r="L94" s="39" t="s">
        <v>265</v>
      </c>
      <c r="M94" s="39" t="s">
        <v>268</v>
      </c>
      <c r="N94" s="39"/>
      <c r="O94" s="39">
        <v>1</v>
      </c>
      <c r="P94" s="39">
        <v>2.5</v>
      </c>
      <c r="Q94" s="39">
        <f>250+275.15</f>
        <v>525.15</v>
      </c>
      <c r="R94" s="39">
        <f>700+275.15</f>
        <v>975.15</v>
      </c>
      <c r="S94" s="39"/>
      <c r="T94" s="39"/>
      <c r="U94" s="39"/>
      <c r="V94" s="39"/>
      <c r="W94" s="39"/>
      <c r="X94" s="39"/>
      <c r="Y94" s="39"/>
      <c r="Z94" s="39"/>
      <c r="AA94" s="39"/>
      <c r="AB94" s="39"/>
      <c r="AC94" s="39"/>
      <c r="AD94" s="39"/>
      <c r="AE94" s="39">
        <f>70*0.000001</f>
        <v>6.9999999999999994E-5</v>
      </c>
      <c r="AF94" s="39">
        <v>300</v>
      </c>
      <c r="AG94" s="39"/>
      <c r="AH94" s="39" t="s">
        <v>580</v>
      </c>
      <c r="AI94" t="s">
        <v>541</v>
      </c>
      <c r="AJ94" s="39">
        <f>(55.845+16)*1.64/((55.845+16)*1.64 + 6.81*(16+10.57))</f>
        <v>0.39437288192323461</v>
      </c>
      <c r="AK94" s="39">
        <f>(55.845+16)*7.92/((55.845+16)*7.92 +8.39*(16+24.305))</f>
        <v>0.62723806257770376</v>
      </c>
      <c r="AL94" s="39"/>
      <c r="AM94" s="39" t="s">
        <v>529</v>
      </c>
      <c r="AN94" s="50" t="s">
        <v>530</v>
      </c>
      <c r="AO94" s="40" t="s">
        <v>28</v>
      </c>
      <c r="AP94" s="40" t="s">
        <v>546</v>
      </c>
      <c r="AQ94" s="42">
        <f>2754*105</f>
        <v>289170</v>
      </c>
      <c r="AR94" s="43">
        <f>380*100</f>
        <v>38000</v>
      </c>
      <c r="AS94" s="40" t="s">
        <v>113</v>
      </c>
      <c r="AT94" s="45">
        <v>1.0000000000000001E-5</v>
      </c>
      <c r="AU94" s="42">
        <v>0.03</v>
      </c>
      <c r="AV94" s="40" t="s">
        <v>116</v>
      </c>
      <c r="AW94" s="45">
        <v>-0.09</v>
      </c>
      <c r="AX94" s="42">
        <v>0.09</v>
      </c>
      <c r="AY94" s="40" t="s">
        <v>531</v>
      </c>
      <c r="AZ94" s="44">
        <v>1</v>
      </c>
      <c r="BA94" s="44">
        <v>0</v>
      </c>
      <c r="BB94" s="44" t="s">
        <v>426</v>
      </c>
      <c r="BC94" s="42">
        <f>1.29</f>
        <v>1.29</v>
      </c>
      <c r="BD94" s="42">
        <f>6*0.00008617333262/(0.00831446261815324)</f>
        <v>6.2185617936525391E-2</v>
      </c>
      <c r="BE94" s="44" t="s">
        <v>115</v>
      </c>
      <c r="BF94" s="46">
        <f>-1.08*64*0.00008617333262/0.00831446261815324</f>
        <v>-0.71637831862877255</v>
      </c>
      <c r="BG94" s="42">
        <f>6*0.00008617333262/(0.00831446261815324)</f>
        <v>6.2185617936525391E-2</v>
      </c>
      <c r="BH94" s="44" t="s">
        <v>116</v>
      </c>
      <c r="BI94" s="46">
        <f>1/3</f>
        <v>0.33333333333333331</v>
      </c>
      <c r="BJ94" s="42"/>
      <c r="BK94" s="44" t="s">
        <v>116</v>
      </c>
      <c r="BL94" s="42">
        <f>26*0.00008617333262/0.00831446261815324</f>
        <v>0.2694710110582767</v>
      </c>
      <c r="BM94" s="42">
        <f>8*0.00008617333262/(0.00831446261815324)</f>
        <v>8.2914157248700521E-2</v>
      </c>
      <c r="BN94" s="44" t="s">
        <v>116</v>
      </c>
      <c r="BO94" s="47">
        <f>1/3</f>
        <v>0.33333333333333331</v>
      </c>
      <c r="BP94" s="44"/>
      <c r="BQ94" s="44" t="s">
        <v>116</v>
      </c>
      <c r="BR94" s="44"/>
      <c r="BS94" s="44"/>
      <c r="BT94" s="44"/>
      <c r="BU94" s="44"/>
      <c r="BV94" s="44"/>
      <c r="BW94" s="44"/>
      <c r="BX94" s="44"/>
      <c r="BY94" s="44"/>
      <c r="BZ94" s="44"/>
      <c r="CA94" s="44"/>
      <c r="CB94" s="44"/>
      <c r="CC94" s="44"/>
      <c r="CD94" s="44"/>
      <c r="CE94" s="44"/>
      <c r="CF94" s="44"/>
      <c r="CG94" s="41"/>
      <c r="CH94" s="41"/>
      <c r="CI94" s="39"/>
      <c r="CJ94" s="41"/>
      <c r="CK94" s="41"/>
      <c r="CL94" s="39"/>
      <c r="EU94" s="31"/>
      <c r="EX94" s="31"/>
      <c r="FA94" s="31"/>
      <c r="FD94" s="31"/>
      <c r="FS94" s="31"/>
      <c r="GN94" s="31"/>
      <c r="GQ94" s="31"/>
      <c r="GT94" s="31"/>
      <c r="GW94" s="31"/>
      <c r="HL94" s="33"/>
    </row>
    <row r="95" spans="1:220" s="29" customFormat="1" ht="45" customHeight="1" x14ac:dyDescent="0.2">
      <c r="A95" s="29" t="s">
        <v>346</v>
      </c>
      <c r="B95" s="29" t="s">
        <v>34</v>
      </c>
      <c r="C95" s="29">
        <v>1999</v>
      </c>
      <c r="D95" s="30" t="s">
        <v>13</v>
      </c>
      <c r="E95" s="29" t="s">
        <v>14</v>
      </c>
      <c r="F95" s="29" t="s">
        <v>14</v>
      </c>
      <c r="G95" s="29" t="s">
        <v>49</v>
      </c>
      <c r="H95" s="29" t="s">
        <v>68</v>
      </c>
      <c r="I95" s="29" t="s">
        <v>15</v>
      </c>
      <c r="J95" s="29" t="s">
        <v>285</v>
      </c>
      <c r="K95" s="29" t="s">
        <v>481</v>
      </c>
      <c r="L95" s="29" t="s">
        <v>265</v>
      </c>
      <c r="M95" s="29" t="s">
        <v>268</v>
      </c>
      <c r="N95" s="31">
        <v>5</v>
      </c>
      <c r="O95" s="31"/>
      <c r="P95" s="31"/>
      <c r="Q95" s="31">
        <v>1273</v>
      </c>
      <c r="R95" s="31">
        <v>1673</v>
      </c>
      <c r="S95" s="31"/>
      <c r="T95" s="31"/>
      <c r="U95" s="31"/>
      <c r="V95" s="31"/>
      <c r="W95" s="31"/>
      <c r="X95" s="31"/>
      <c r="Y95" s="31"/>
      <c r="Z95" s="31"/>
      <c r="AA95" s="31"/>
      <c r="AB95" s="31"/>
      <c r="AC95" s="31"/>
      <c r="AD95" s="31"/>
      <c r="AE95" s="31"/>
      <c r="AN95" s="29" t="s">
        <v>105</v>
      </c>
      <c r="AO95" s="30" t="s">
        <v>28</v>
      </c>
      <c r="AP95" s="30"/>
      <c r="AQ95" s="32">
        <v>3.72</v>
      </c>
      <c r="AR95" s="33">
        <v>0.06</v>
      </c>
      <c r="AS95" s="30" t="s">
        <v>112</v>
      </c>
      <c r="AT95" s="35">
        <v>1.8</v>
      </c>
      <c r="AU95" s="32">
        <v>0.2</v>
      </c>
      <c r="AV95" s="30" t="s">
        <v>115</v>
      </c>
      <c r="AW95" s="34"/>
      <c r="AX95" s="34"/>
      <c r="AY95" s="30"/>
      <c r="AZ95" s="32"/>
      <c r="BA95" s="32"/>
      <c r="BB95" s="34"/>
      <c r="BC95" s="36"/>
      <c r="BD95" s="32"/>
      <c r="BE95" s="34"/>
      <c r="BF95" s="36"/>
      <c r="BG95" s="32"/>
      <c r="BH95" s="34"/>
      <c r="BI95" s="32"/>
      <c r="BJ95" s="32"/>
      <c r="BK95" s="34"/>
      <c r="BL95" s="37"/>
      <c r="BM95" s="34"/>
      <c r="BN95" s="34"/>
      <c r="BO95" s="32"/>
      <c r="BP95" s="34"/>
      <c r="BQ95" s="34"/>
      <c r="BR95" s="34"/>
      <c r="BS95" s="34"/>
      <c r="BT95" s="34"/>
      <c r="BU95" s="34"/>
      <c r="BV95" s="34"/>
      <c r="BW95" s="34"/>
      <c r="BX95" s="34"/>
      <c r="BY95" s="34"/>
      <c r="BZ95" s="34"/>
      <c r="CA95" s="34"/>
      <c r="CB95" s="34"/>
      <c r="CC95" s="34"/>
      <c r="CD95" s="34"/>
      <c r="CE95" s="34"/>
      <c r="CF95" s="34"/>
      <c r="CG95" s="31"/>
      <c r="CH95" s="31"/>
      <c r="CJ95" s="31"/>
      <c r="CK95" s="31"/>
      <c r="EU95" s="31"/>
      <c r="EX95" s="31"/>
      <c r="FA95" s="31"/>
      <c r="FD95" s="31"/>
      <c r="FS95" s="31"/>
      <c r="GN95" s="31"/>
      <c r="GQ95" s="31"/>
      <c r="GT95" s="31"/>
      <c r="GW95" s="31"/>
      <c r="HL95" s="33"/>
    </row>
    <row r="96" spans="1:220" s="39" customFormat="1" ht="45" customHeight="1" x14ac:dyDescent="0.2">
      <c r="A96" s="29" t="s">
        <v>396</v>
      </c>
      <c r="B96" s="29" t="s">
        <v>397</v>
      </c>
      <c r="C96" s="29">
        <v>2005</v>
      </c>
      <c r="D96" s="30" t="s">
        <v>398</v>
      </c>
      <c r="E96" s="29" t="s">
        <v>14</v>
      </c>
      <c r="F96" s="29" t="s">
        <v>14</v>
      </c>
      <c r="G96" s="29" t="s">
        <v>62</v>
      </c>
      <c r="H96" s="29" t="s">
        <v>399</v>
      </c>
      <c r="I96" s="29" t="s">
        <v>137</v>
      </c>
      <c r="J96" s="29" t="s">
        <v>400</v>
      </c>
      <c r="K96" s="29" t="s">
        <v>488</v>
      </c>
      <c r="L96" s="29" t="s">
        <v>265</v>
      </c>
      <c r="M96" s="29" t="s">
        <v>268</v>
      </c>
      <c r="N96" s="31" t="s">
        <v>401</v>
      </c>
      <c r="O96" s="31">
        <v>1</v>
      </c>
      <c r="P96" s="31">
        <v>4</v>
      </c>
      <c r="Q96" s="31">
        <v>1073</v>
      </c>
      <c r="R96" s="31">
        <v>1423</v>
      </c>
      <c r="S96" s="31"/>
      <c r="T96" s="31"/>
      <c r="U96" s="31"/>
      <c r="V96" s="31"/>
      <c r="W96" s="31"/>
      <c r="X96" s="31"/>
      <c r="Y96" s="31"/>
      <c r="Z96" s="31"/>
      <c r="AA96" s="31"/>
      <c r="AB96" s="31"/>
      <c r="AC96" s="31"/>
      <c r="AD96" s="31"/>
      <c r="AE96" s="31"/>
      <c r="AF96" s="29"/>
      <c r="AG96" s="29"/>
      <c r="AH96" s="29"/>
      <c r="AI96" s="29" t="s">
        <v>570</v>
      </c>
      <c r="AJ96" s="29"/>
      <c r="AK96" s="29"/>
      <c r="AL96" s="29"/>
      <c r="AM96" s="29"/>
      <c r="AN96" s="29" t="s">
        <v>131</v>
      </c>
      <c r="AO96" s="30" t="s">
        <v>28</v>
      </c>
      <c r="AP96" s="30" t="s">
        <v>402</v>
      </c>
      <c r="AQ96" s="32">
        <v>3.79</v>
      </c>
      <c r="AR96" s="33">
        <v>0.06</v>
      </c>
      <c r="AS96" s="30" t="s">
        <v>112</v>
      </c>
      <c r="AT96" s="35">
        <v>1.68</v>
      </c>
      <c r="AU96" s="32">
        <v>3.5000000000000003E-2</v>
      </c>
      <c r="AV96" s="30" t="s">
        <v>115</v>
      </c>
      <c r="AW96" s="34">
        <v>3.9</v>
      </c>
      <c r="AX96" s="34">
        <v>0.01</v>
      </c>
      <c r="AY96" s="30" t="s">
        <v>123</v>
      </c>
      <c r="AZ96" s="32"/>
      <c r="BA96" s="32"/>
      <c r="BB96" s="34"/>
      <c r="BC96" s="36"/>
      <c r="BD96" s="32"/>
      <c r="BE96" s="34"/>
      <c r="BF96" s="36"/>
      <c r="BG96" s="32"/>
      <c r="BH96" s="34"/>
      <c r="BI96" s="32"/>
      <c r="BJ96" s="32"/>
      <c r="BK96" s="34"/>
      <c r="BL96" s="37"/>
      <c r="BM96" s="34"/>
      <c r="BN96" s="34"/>
      <c r="BO96" s="32"/>
      <c r="BP96" s="34"/>
      <c r="BQ96" s="34"/>
      <c r="BR96" s="34"/>
      <c r="BS96" s="34"/>
      <c r="BT96" s="34"/>
      <c r="BU96" s="34"/>
      <c r="BV96" s="34"/>
      <c r="BW96" s="34"/>
      <c r="BX96" s="34"/>
      <c r="BY96" s="34"/>
      <c r="BZ96" s="34"/>
      <c r="CA96" s="34"/>
      <c r="CB96" s="34"/>
      <c r="CC96" s="34"/>
      <c r="CD96" s="34"/>
      <c r="CE96" s="34"/>
      <c r="CF96" s="34"/>
      <c r="CG96" s="31"/>
      <c r="CH96" s="31"/>
      <c r="CI96" s="29"/>
      <c r="CJ96" s="31"/>
      <c r="CK96" s="31"/>
      <c r="CL96" s="29"/>
      <c r="EU96" s="41"/>
      <c r="EX96" s="41"/>
      <c r="FA96" s="41"/>
      <c r="FD96" s="41"/>
      <c r="FS96" s="41"/>
      <c r="GN96" s="41"/>
      <c r="GQ96" s="41"/>
      <c r="GT96" s="41"/>
      <c r="GW96" s="41"/>
      <c r="HL96" s="43"/>
    </row>
    <row r="97" spans="1:220" s="29" customFormat="1" ht="45" customHeight="1" x14ac:dyDescent="0.2">
      <c r="A97" s="29" t="s">
        <v>58</v>
      </c>
      <c r="B97" s="29" t="s">
        <v>60</v>
      </c>
      <c r="C97" s="29">
        <v>2009</v>
      </c>
      <c r="D97" s="30" t="s">
        <v>59</v>
      </c>
      <c r="E97" s="29" t="s">
        <v>14</v>
      </c>
      <c r="F97" s="29" t="s">
        <v>14</v>
      </c>
      <c r="G97" s="29" t="s">
        <v>62</v>
      </c>
      <c r="H97" s="29" t="s">
        <v>67</v>
      </c>
      <c r="I97" s="29" t="s">
        <v>228</v>
      </c>
      <c r="J97" s="29" t="s">
        <v>310</v>
      </c>
      <c r="K97" s="29" t="s">
        <v>489</v>
      </c>
      <c r="L97" s="29" t="s">
        <v>265</v>
      </c>
      <c r="M97" s="29" t="s">
        <v>268</v>
      </c>
      <c r="N97" s="31">
        <v>8</v>
      </c>
      <c r="O97" s="31"/>
      <c r="P97" s="31"/>
      <c r="Q97" s="31">
        <v>873</v>
      </c>
      <c r="R97" s="31">
        <v>1273</v>
      </c>
      <c r="S97" s="31"/>
      <c r="T97" s="31"/>
      <c r="U97" s="31"/>
      <c r="V97" s="31"/>
      <c r="W97" s="31"/>
      <c r="X97" s="31"/>
      <c r="Y97" s="31"/>
      <c r="Z97" s="31"/>
      <c r="AA97" s="31"/>
      <c r="AB97" s="31"/>
      <c r="AC97" s="31"/>
      <c r="AD97" s="31"/>
      <c r="AE97" s="31">
        <v>0</v>
      </c>
      <c r="AF97" s="29">
        <v>4.2000000000000003E-2</v>
      </c>
      <c r="AH97" s="39" t="s">
        <v>577</v>
      </c>
      <c r="AI97" s="29" t="s">
        <v>66</v>
      </c>
      <c r="AL97" s="29">
        <v>0.1</v>
      </c>
      <c r="AN97" s="29" t="s">
        <v>61</v>
      </c>
      <c r="AO97" s="30" t="s">
        <v>28</v>
      </c>
      <c r="AP97" s="30" t="s">
        <v>403</v>
      </c>
      <c r="AQ97" s="32">
        <v>2.6</v>
      </c>
      <c r="AR97" s="33"/>
      <c r="AS97" s="30" t="s">
        <v>112</v>
      </c>
      <c r="AT97" s="35">
        <v>1.524</v>
      </c>
      <c r="AU97" s="32"/>
      <c r="AV97" s="30" t="s">
        <v>115</v>
      </c>
      <c r="AW97" s="34">
        <v>2.2000000000000002</v>
      </c>
      <c r="AX97" s="34"/>
      <c r="AY97" s="30" t="s">
        <v>112</v>
      </c>
      <c r="AZ97" s="32">
        <v>0.62</v>
      </c>
      <c r="BA97" s="32"/>
      <c r="BB97" s="34" t="s">
        <v>114</v>
      </c>
      <c r="BC97" s="36">
        <v>0.77</v>
      </c>
      <c r="BD97" s="32"/>
      <c r="BE97" s="34" t="s">
        <v>115</v>
      </c>
      <c r="BF97" s="36"/>
      <c r="BG97" s="32"/>
      <c r="BH97" s="34"/>
      <c r="BI97" s="32"/>
      <c r="BJ97" s="32"/>
      <c r="BK97" s="34"/>
      <c r="BL97" s="37"/>
      <c r="BM97" s="34"/>
      <c r="BN97" s="34"/>
      <c r="BO97" s="32"/>
      <c r="BP97" s="34"/>
      <c r="BQ97" s="34"/>
      <c r="BR97" s="34"/>
      <c r="BS97" s="34"/>
      <c r="BT97" s="34"/>
      <c r="BU97" s="34"/>
      <c r="BV97" s="34"/>
      <c r="BW97" s="34"/>
      <c r="BX97" s="34"/>
      <c r="BY97" s="34"/>
      <c r="BZ97" s="34"/>
      <c r="CA97" s="34"/>
      <c r="CB97" s="34"/>
      <c r="CC97" s="34"/>
      <c r="CD97" s="34"/>
      <c r="CE97" s="34"/>
      <c r="CF97" s="34"/>
      <c r="CG97" s="31"/>
      <c r="CH97" s="31"/>
      <c r="CJ97" s="31"/>
      <c r="CK97" s="31"/>
      <c r="EU97" s="31"/>
      <c r="EX97" s="31"/>
      <c r="FA97" s="31"/>
      <c r="FD97" s="31"/>
      <c r="FS97" s="31"/>
      <c r="GN97" s="31"/>
      <c r="GQ97" s="31"/>
      <c r="GT97" s="31"/>
      <c r="GW97" s="31"/>
      <c r="HL97" s="33"/>
    </row>
    <row r="98" spans="1:220" s="39" customFormat="1" ht="45" customHeight="1" x14ac:dyDescent="0.2">
      <c r="A98" s="29" t="s">
        <v>69</v>
      </c>
      <c r="B98" s="29" t="s">
        <v>70</v>
      </c>
      <c r="C98" s="29">
        <v>2011</v>
      </c>
      <c r="D98" s="30" t="s">
        <v>71</v>
      </c>
      <c r="E98" s="29" t="s">
        <v>14</v>
      </c>
      <c r="F98" s="29" t="s">
        <v>72</v>
      </c>
      <c r="G98" s="29" t="s">
        <v>62</v>
      </c>
      <c r="H98" s="29" t="s">
        <v>67</v>
      </c>
      <c r="I98" s="29" t="s">
        <v>228</v>
      </c>
      <c r="J98" s="29" t="s">
        <v>385</v>
      </c>
      <c r="K98" s="29" t="s">
        <v>491</v>
      </c>
      <c r="L98" s="29" t="s">
        <v>265</v>
      </c>
      <c r="M98" s="29" t="s">
        <v>268</v>
      </c>
      <c r="N98" s="31"/>
      <c r="O98" s="31">
        <v>0.6</v>
      </c>
      <c r="P98" s="31">
        <v>1.2</v>
      </c>
      <c r="Q98" s="31">
        <v>573</v>
      </c>
      <c r="R98" s="31">
        <v>1273</v>
      </c>
      <c r="S98" s="31"/>
      <c r="T98" s="31"/>
      <c r="U98" s="31"/>
      <c r="V98" s="31"/>
      <c r="W98" s="31"/>
      <c r="X98" s="31"/>
      <c r="Y98" s="31"/>
      <c r="Z98" s="31"/>
      <c r="AA98" s="31"/>
      <c r="AB98" s="31"/>
      <c r="AC98" s="31"/>
      <c r="AD98" s="31"/>
      <c r="AE98" s="31">
        <v>0</v>
      </c>
      <c r="AF98" s="29">
        <f>285*0.0001</f>
        <v>2.8500000000000001E-2</v>
      </c>
      <c r="AG98" s="29"/>
      <c r="AH98" s="29" t="s">
        <v>582</v>
      </c>
      <c r="AI98" s="29" t="s">
        <v>66</v>
      </c>
      <c r="AJ98" s="29"/>
      <c r="AK98" s="29"/>
      <c r="AL98" s="29">
        <v>0.33</v>
      </c>
      <c r="AM98" s="29"/>
      <c r="AN98" s="29"/>
      <c r="AO98" s="30" t="s">
        <v>28</v>
      </c>
      <c r="AP98" s="30"/>
      <c r="AQ98" s="32">
        <v>2.39</v>
      </c>
      <c r="AR98" s="33">
        <v>0.18</v>
      </c>
      <c r="AS98" s="30" t="s">
        <v>112</v>
      </c>
      <c r="AT98" s="35">
        <v>1.0880000000000001</v>
      </c>
      <c r="AU98" s="32">
        <v>3.1099999999999999E-2</v>
      </c>
      <c r="AV98" s="30" t="s">
        <v>115</v>
      </c>
      <c r="AW98" s="34">
        <v>3.83</v>
      </c>
      <c r="AX98" s="34">
        <v>0.1</v>
      </c>
      <c r="AY98" s="30" t="s">
        <v>112</v>
      </c>
      <c r="AZ98" s="32">
        <v>0.9</v>
      </c>
      <c r="BA98" s="32">
        <v>0.04</v>
      </c>
      <c r="BB98" s="34" t="s">
        <v>114</v>
      </c>
      <c r="BC98" s="36">
        <v>0.83950000000000002</v>
      </c>
      <c r="BD98" s="32">
        <v>1.35E-2</v>
      </c>
      <c r="BE98" s="34" t="s">
        <v>115</v>
      </c>
      <c r="BF98" s="36"/>
      <c r="BG98" s="32"/>
      <c r="BH98" s="34"/>
      <c r="BI98" s="32"/>
      <c r="BJ98" s="32"/>
      <c r="BK98" s="34"/>
      <c r="BL98" s="37"/>
      <c r="BM98" s="34"/>
      <c r="BN98" s="34"/>
      <c r="BO98" s="32"/>
      <c r="BP98" s="34"/>
      <c r="BQ98" s="34"/>
      <c r="BR98" s="34"/>
      <c r="BS98" s="34"/>
      <c r="BT98" s="34"/>
      <c r="BU98" s="34"/>
      <c r="BV98" s="34"/>
      <c r="BW98" s="34"/>
      <c r="BX98" s="34"/>
      <c r="BY98" s="34"/>
      <c r="BZ98" s="34"/>
      <c r="CA98" s="34"/>
      <c r="CB98" s="34"/>
      <c r="CC98" s="34"/>
      <c r="CD98" s="34"/>
      <c r="CE98" s="34"/>
      <c r="CF98" s="34"/>
      <c r="CG98" s="31"/>
      <c r="CH98" s="31"/>
      <c r="CI98" s="29"/>
      <c r="CJ98" s="31"/>
      <c r="CK98" s="31"/>
      <c r="CL98" s="29"/>
      <c r="EU98" s="41"/>
      <c r="EX98" s="41"/>
      <c r="FA98" s="41"/>
      <c r="FD98" s="41"/>
      <c r="FS98" s="41"/>
      <c r="GN98" s="41"/>
      <c r="GQ98" s="41"/>
      <c r="GT98" s="41"/>
      <c r="GW98" s="41"/>
      <c r="HL98" s="43"/>
    </row>
    <row r="99" spans="1:220" s="39" customFormat="1" ht="45" customHeight="1" x14ac:dyDescent="0.2">
      <c r="A99" s="29" t="s">
        <v>81</v>
      </c>
      <c r="B99" s="29" t="s">
        <v>82</v>
      </c>
      <c r="C99" s="29">
        <v>2012</v>
      </c>
      <c r="D99" s="30" t="s">
        <v>83</v>
      </c>
      <c r="E99" s="29" t="s">
        <v>14</v>
      </c>
      <c r="F99" s="29" t="s">
        <v>84</v>
      </c>
      <c r="G99" s="29" t="s">
        <v>65</v>
      </c>
      <c r="H99" s="29" t="s">
        <v>85</v>
      </c>
      <c r="I99" s="29" t="s">
        <v>277</v>
      </c>
      <c r="J99" s="29" t="s">
        <v>289</v>
      </c>
      <c r="K99" s="29" t="s">
        <v>472</v>
      </c>
      <c r="L99" s="29" t="s">
        <v>265</v>
      </c>
      <c r="M99" s="29" t="s">
        <v>268</v>
      </c>
      <c r="N99" s="31">
        <v>3</v>
      </c>
      <c r="O99" s="31"/>
      <c r="P99" s="31"/>
      <c r="Q99" s="31">
        <v>500</v>
      </c>
      <c r="R99" s="31">
        <v>1723</v>
      </c>
      <c r="S99" s="31"/>
      <c r="T99" s="31"/>
      <c r="U99" s="31"/>
      <c r="V99" s="31"/>
      <c r="W99" s="31"/>
      <c r="X99" s="31"/>
      <c r="Y99" s="31"/>
      <c r="Z99" s="31"/>
      <c r="AA99" s="31"/>
      <c r="AB99" s="31"/>
      <c r="AC99" s="31"/>
      <c r="AD99" s="31"/>
      <c r="AE99" s="31">
        <v>0</v>
      </c>
      <c r="AF99" s="29">
        <v>0.24099999999999999</v>
      </c>
      <c r="AG99" s="29"/>
      <c r="AH99" s="39" t="s">
        <v>577</v>
      </c>
      <c r="AI99" s="29" t="s">
        <v>66</v>
      </c>
      <c r="AJ99" s="29"/>
      <c r="AK99" s="29"/>
      <c r="AL99" s="29"/>
      <c r="AM99" s="29"/>
      <c r="AN99" s="29" t="s">
        <v>61</v>
      </c>
      <c r="AO99" s="30" t="s">
        <v>28</v>
      </c>
      <c r="AP99" s="30"/>
      <c r="AQ99" s="32">
        <v>3.99</v>
      </c>
      <c r="AR99" s="33">
        <v>0.23</v>
      </c>
      <c r="AS99" s="30" t="s">
        <v>112</v>
      </c>
      <c r="AT99" s="35">
        <v>1.88</v>
      </c>
      <c r="AU99" s="32">
        <v>7.0000000000000007E-2</v>
      </c>
      <c r="AV99" s="30" t="s">
        <v>115</v>
      </c>
      <c r="AW99" s="34">
        <v>2.58</v>
      </c>
      <c r="AX99" s="34">
        <v>0.14000000000000001</v>
      </c>
      <c r="AY99" s="30" t="s">
        <v>112</v>
      </c>
      <c r="AZ99" s="32">
        <v>0.84</v>
      </c>
      <c r="BA99" s="32">
        <v>0.03</v>
      </c>
      <c r="BB99" s="34" t="s">
        <v>115</v>
      </c>
      <c r="BC99" s="36">
        <v>8.0000000000000002E-3</v>
      </c>
      <c r="BD99" s="32">
        <v>3.0000000000000001E-3</v>
      </c>
      <c r="BE99" s="34" t="s">
        <v>116</v>
      </c>
      <c r="BF99" s="36">
        <v>0.33333333333333331</v>
      </c>
      <c r="BG99" s="32"/>
      <c r="BH99" s="34" t="s">
        <v>116</v>
      </c>
      <c r="BI99" s="32"/>
      <c r="BJ99" s="32"/>
      <c r="BK99" s="34"/>
      <c r="BL99" s="37"/>
      <c r="BM99" s="34"/>
      <c r="BN99" s="34"/>
      <c r="BO99" s="32"/>
      <c r="BP99" s="34"/>
      <c r="BQ99" s="34"/>
      <c r="BR99" s="34"/>
      <c r="BS99" s="34"/>
      <c r="BT99" s="34"/>
      <c r="BU99" s="34"/>
      <c r="BV99" s="34"/>
      <c r="BW99" s="34"/>
      <c r="BX99" s="34"/>
      <c r="BY99" s="34"/>
      <c r="BZ99" s="34"/>
      <c r="CA99" s="34"/>
      <c r="CB99" s="34"/>
      <c r="CC99" s="34"/>
      <c r="CD99" s="34"/>
      <c r="CE99" s="34"/>
      <c r="CF99" s="34"/>
      <c r="CG99" s="31"/>
      <c r="CH99" s="31"/>
      <c r="CI99" s="29"/>
      <c r="CJ99" s="31"/>
      <c r="CK99" s="31"/>
      <c r="CL99" s="29"/>
      <c r="EU99" s="41"/>
      <c r="EX99" s="41"/>
      <c r="FA99" s="41"/>
      <c r="FD99" s="41"/>
      <c r="FS99" s="41"/>
      <c r="GN99" s="41"/>
      <c r="GQ99" s="41"/>
      <c r="GT99" s="41"/>
      <c r="GW99" s="41"/>
      <c r="HL99" s="43"/>
    </row>
    <row r="100" spans="1:220" s="39" customFormat="1" ht="45" customHeight="1" x14ac:dyDescent="0.2">
      <c r="A100" s="29" t="s">
        <v>106</v>
      </c>
      <c r="B100" s="29" t="s">
        <v>47</v>
      </c>
      <c r="C100" s="29">
        <v>2016</v>
      </c>
      <c r="D100" s="30" t="s">
        <v>48</v>
      </c>
      <c r="E100" s="29" t="s">
        <v>14</v>
      </c>
      <c r="F100" s="29" t="s">
        <v>14</v>
      </c>
      <c r="G100" s="29" t="s">
        <v>51</v>
      </c>
      <c r="H100" s="29" t="s">
        <v>52</v>
      </c>
      <c r="I100" s="29" t="s">
        <v>278</v>
      </c>
      <c r="J100" s="29" t="s">
        <v>287</v>
      </c>
      <c r="K100" s="29" t="s">
        <v>53</v>
      </c>
      <c r="L100" s="29" t="s">
        <v>265</v>
      </c>
      <c r="M100" s="29" t="s">
        <v>268</v>
      </c>
      <c r="N100" s="31"/>
      <c r="O100" s="31">
        <v>1.5</v>
      </c>
      <c r="P100" s="31">
        <v>5</v>
      </c>
      <c r="Q100" s="31">
        <v>900</v>
      </c>
      <c r="R100" s="31">
        <v>1573</v>
      </c>
      <c r="S100" s="31"/>
      <c r="T100" s="31"/>
      <c r="U100" s="31"/>
      <c r="V100" s="31"/>
      <c r="W100" s="31"/>
      <c r="X100" s="31"/>
      <c r="Y100" s="31"/>
      <c r="Z100" s="31"/>
      <c r="AA100" s="31"/>
      <c r="AB100" s="31"/>
      <c r="AC100" s="31"/>
      <c r="AD100" s="31"/>
      <c r="AE100" s="31">
        <v>2</v>
      </c>
      <c r="AF100" s="29">
        <v>3</v>
      </c>
      <c r="AG100" s="29"/>
      <c r="AH100" s="39" t="s">
        <v>577</v>
      </c>
      <c r="AI100" s="29" t="s">
        <v>55</v>
      </c>
      <c r="AJ100" s="29">
        <v>0</v>
      </c>
      <c r="AK100" s="29">
        <v>1</v>
      </c>
      <c r="AL100" s="29">
        <v>0.5</v>
      </c>
      <c r="AM100" s="29"/>
      <c r="AN100" s="29" t="s">
        <v>54</v>
      </c>
      <c r="AO100" s="30" t="s">
        <v>28</v>
      </c>
      <c r="AP100" s="30"/>
      <c r="AQ100" s="32">
        <v>855610</v>
      </c>
      <c r="AR100" s="33">
        <v>39</v>
      </c>
      <c r="AS100" s="30" t="s">
        <v>113</v>
      </c>
      <c r="AT100" s="35">
        <v>2.5099999999999998</v>
      </c>
      <c r="AU100" s="32">
        <v>0.02</v>
      </c>
      <c r="AV100" s="30" t="s">
        <v>115</v>
      </c>
      <c r="AW100" s="34">
        <v>4.1500000000000004</v>
      </c>
      <c r="AX100" s="34">
        <v>0.71</v>
      </c>
      <c r="AY100" s="30" t="s">
        <v>123</v>
      </c>
      <c r="AZ100" s="32">
        <v>163</v>
      </c>
      <c r="BA100" s="32">
        <v>1</v>
      </c>
      <c r="BB100" s="34" t="s">
        <v>113</v>
      </c>
      <c r="BC100" s="36">
        <v>2.33</v>
      </c>
      <c r="BD100" s="32">
        <v>1</v>
      </c>
      <c r="BE100" s="34" t="s">
        <v>115</v>
      </c>
      <c r="BF100" s="36">
        <v>-1.99</v>
      </c>
      <c r="BG100" s="32">
        <v>0.06</v>
      </c>
      <c r="BH100" s="34" t="s">
        <v>116</v>
      </c>
      <c r="BI100" s="32">
        <v>1.06</v>
      </c>
      <c r="BJ100" s="32">
        <v>0.44</v>
      </c>
      <c r="BK100" s="34" t="s">
        <v>123</v>
      </c>
      <c r="BL100" s="37">
        <v>-0.12</v>
      </c>
      <c r="BM100" s="34">
        <v>0.76</v>
      </c>
      <c r="BN100" s="34" t="s">
        <v>116</v>
      </c>
      <c r="BO100" s="32"/>
      <c r="BP100" s="34"/>
      <c r="BQ100" s="34"/>
      <c r="BR100" s="34"/>
      <c r="BS100" s="34"/>
      <c r="BT100" s="34"/>
      <c r="BU100" s="34"/>
      <c r="BV100" s="34"/>
      <c r="BW100" s="34"/>
      <c r="BX100" s="34"/>
      <c r="BY100" s="34"/>
      <c r="BZ100" s="34"/>
      <c r="CA100" s="34"/>
      <c r="CB100" s="34"/>
      <c r="CC100" s="34"/>
      <c r="CD100" s="34"/>
      <c r="CE100" s="34"/>
      <c r="CF100" s="34"/>
      <c r="CG100" s="31"/>
      <c r="CH100" s="31"/>
      <c r="CI100" s="29"/>
      <c r="CJ100" s="31"/>
      <c r="CK100" s="31"/>
      <c r="CL100" s="29"/>
      <c r="EU100" s="41"/>
      <c r="EX100" s="41"/>
      <c r="FA100" s="41"/>
      <c r="FD100" s="41"/>
      <c r="FS100" s="41"/>
      <c r="GN100" s="41"/>
      <c r="GQ100" s="41"/>
      <c r="GT100" s="41"/>
      <c r="GW100" s="41"/>
      <c r="HL100" s="43"/>
    </row>
    <row r="101" spans="1:220" s="29" customFormat="1" ht="45" customHeight="1" x14ac:dyDescent="0.2">
      <c r="A101" s="39" t="s">
        <v>4</v>
      </c>
      <c r="B101" s="39" t="s">
        <v>5</v>
      </c>
      <c r="C101" s="39">
        <v>2008</v>
      </c>
      <c r="D101" s="40" t="s">
        <v>9</v>
      </c>
      <c r="E101" s="39" t="s">
        <v>522</v>
      </c>
      <c r="F101" s="39" t="s">
        <v>30</v>
      </c>
      <c r="G101" s="39" t="s">
        <v>50</v>
      </c>
      <c r="H101" s="39" t="s">
        <v>26</v>
      </c>
      <c r="I101" s="39" t="s">
        <v>280</v>
      </c>
      <c r="J101" s="39" t="s">
        <v>284</v>
      </c>
      <c r="K101" s="39" t="s">
        <v>523</v>
      </c>
      <c r="L101" s="39" t="s">
        <v>265</v>
      </c>
      <c r="M101" s="39" t="s">
        <v>268</v>
      </c>
      <c r="N101" s="41">
        <v>2.5</v>
      </c>
      <c r="O101" s="41">
        <v>2</v>
      </c>
      <c r="P101" s="41">
        <v>3</v>
      </c>
      <c r="Q101" s="41">
        <v>1273</v>
      </c>
      <c r="R101" s="41">
        <v>1573</v>
      </c>
      <c r="S101" s="41"/>
      <c r="T101" s="41"/>
      <c r="U101" s="41"/>
      <c r="V101" s="41"/>
      <c r="W101" s="41"/>
      <c r="X101" s="41"/>
      <c r="Y101" s="41"/>
      <c r="Z101" s="41"/>
      <c r="AA101" s="41"/>
      <c r="AB101" s="41"/>
      <c r="AC101" s="41"/>
      <c r="AD101" s="41"/>
      <c r="AE101" s="41">
        <v>1.26</v>
      </c>
      <c r="AF101" s="39">
        <v>2.21</v>
      </c>
      <c r="AG101" s="39">
        <f>(AE101+AF101)/2</f>
        <v>1.7349999999999999</v>
      </c>
      <c r="AH101" s="39" t="s">
        <v>577</v>
      </c>
      <c r="AI101" s="39" t="s">
        <v>66</v>
      </c>
      <c r="AJ101" s="39">
        <v>3.9E-2</v>
      </c>
      <c r="AK101" s="39">
        <v>0.54500000000000004</v>
      </c>
      <c r="AL101" s="39">
        <f>SUM(AJ101:AK101)/2</f>
        <v>0.29200000000000004</v>
      </c>
      <c r="AM101" s="39"/>
      <c r="AN101" s="39" t="s">
        <v>105</v>
      </c>
      <c r="AO101" s="40" t="s">
        <v>28</v>
      </c>
      <c r="AP101" s="40"/>
      <c r="AQ101" s="42">
        <v>5.2</v>
      </c>
      <c r="AR101" s="43">
        <v>0.4</v>
      </c>
      <c r="AS101" s="40" t="s">
        <v>112</v>
      </c>
      <c r="AT101" s="45">
        <v>0.67</v>
      </c>
      <c r="AU101" s="42">
        <v>7.0000000000000007E-2</v>
      </c>
      <c r="AV101" s="40" t="s">
        <v>114</v>
      </c>
      <c r="AW101" s="44">
        <v>1.897</v>
      </c>
      <c r="AX101" s="44">
        <v>9.3299999999999994E-2</v>
      </c>
      <c r="AY101" s="40" t="s">
        <v>115</v>
      </c>
      <c r="AZ101" s="42">
        <f>79*0.00008617333262/0.00831446261815324</f>
        <v>0.81877730283091765</v>
      </c>
      <c r="BA101" s="42">
        <f>3*0.00008617333262/0.00831446261815324</f>
        <v>3.1092808968262695E-2</v>
      </c>
      <c r="BB101" s="44" t="s">
        <v>115</v>
      </c>
      <c r="BC101" s="46"/>
      <c r="BD101" s="42"/>
      <c r="BE101" s="44"/>
      <c r="BF101" s="46"/>
      <c r="BG101" s="42"/>
      <c r="BH101" s="44"/>
      <c r="BI101" s="42"/>
      <c r="BJ101" s="42"/>
      <c r="BK101" s="44"/>
      <c r="BL101" s="47"/>
      <c r="BM101" s="44"/>
      <c r="BN101" s="44"/>
      <c r="BO101" s="42"/>
      <c r="BP101" s="44"/>
      <c r="BQ101" s="44"/>
      <c r="BR101" s="44"/>
      <c r="BS101" s="44"/>
      <c r="BT101" s="44"/>
      <c r="BU101" s="44"/>
      <c r="BV101" s="44"/>
      <c r="BW101" s="44"/>
      <c r="BX101" s="44"/>
      <c r="BY101" s="44"/>
      <c r="BZ101" s="44"/>
      <c r="CA101" s="44"/>
      <c r="CB101" s="44"/>
      <c r="CC101" s="44"/>
      <c r="CD101" s="44"/>
      <c r="CE101" s="44"/>
      <c r="CF101" s="44"/>
      <c r="CG101" s="41"/>
      <c r="CH101" s="41"/>
      <c r="CI101" s="39"/>
      <c r="CJ101" s="41"/>
      <c r="CK101" s="41"/>
      <c r="CL101" s="39"/>
      <c r="EU101" s="31"/>
      <c r="EX101" s="31"/>
      <c r="FA101" s="31"/>
      <c r="FD101" s="31"/>
      <c r="FS101" s="31"/>
      <c r="GN101" s="31"/>
      <c r="GQ101" s="31"/>
      <c r="GT101" s="31"/>
      <c r="GW101" s="31"/>
      <c r="HL101" s="33"/>
    </row>
    <row r="102" spans="1:220" s="29" customFormat="1" ht="45" customHeight="1" x14ac:dyDescent="0.2">
      <c r="A102" s="29" t="s">
        <v>346</v>
      </c>
      <c r="B102" s="29" t="s">
        <v>34</v>
      </c>
      <c r="C102" s="29">
        <v>1999</v>
      </c>
      <c r="D102" s="30" t="s">
        <v>13</v>
      </c>
      <c r="E102" s="29" t="s">
        <v>33</v>
      </c>
      <c r="F102" s="29" t="s">
        <v>33</v>
      </c>
      <c r="G102" s="29" t="s">
        <v>49</v>
      </c>
      <c r="H102" s="29" t="s">
        <v>68</v>
      </c>
      <c r="I102" s="29" t="s">
        <v>15</v>
      </c>
      <c r="J102" s="29" t="s">
        <v>285</v>
      </c>
      <c r="K102" s="29" t="s">
        <v>36</v>
      </c>
      <c r="L102" s="29" t="s">
        <v>265</v>
      </c>
      <c r="M102" s="29" t="s">
        <v>268</v>
      </c>
      <c r="N102" s="31">
        <v>25</v>
      </c>
      <c r="O102" s="31"/>
      <c r="P102" s="31"/>
      <c r="Q102" s="31">
        <v>1673</v>
      </c>
      <c r="R102" s="31">
        <v>1873</v>
      </c>
      <c r="S102" s="31"/>
      <c r="T102" s="31"/>
      <c r="U102" s="31"/>
      <c r="V102" s="31"/>
      <c r="W102" s="31"/>
      <c r="X102" s="31"/>
      <c r="Y102" s="31"/>
      <c r="Z102" s="31"/>
      <c r="AA102" s="31"/>
      <c r="AB102" s="31"/>
      <c r="AC102" s="31"/>
      <c r="AD102" s="31"/>
      <c r="AE102" s="31"/>
      <c r="AN102" s="29" t="s">
        <v>105</v>
      </c>
      <c r="AO102" s="30" t="s">
        <v>28</v>
      </c>
      <c r="AP102" s="30"/>
      <c r="AQ102" s="32">
        <v>1.87</v>
      </c>
      <c r="AR102" s="33">
        <v>0.11</v>
      </c>
      <c r="AS102" s="30" t="s">
        <v>112</v>
      </c>
      <c r="AT102" s="35">
        <v>0.7</v>
      </c>
      <c r="AU102" s="32">
        <v>0.04</v>
      </c>
      <c r="AV102" s="30" t="s">
        <v>115</v>
      </c>
      <c r="AW102" s="34"/>
      <c r="AX102" s="34"/>
      <c r="AY102" s="30"/>
      <c r="AZ102" s="32"/>
      <c r="BA102" s="32"/>
      <c r="BB102" s="34"/>
      <c r="BC102" s="36"/>
      <c r="BD102" s="32"/>
      <c r="BE102" s="34"/>
      <c r="BF102" s="36"/>
      <c r="BG102" s="32"/>
      <c r="BH102" s="34"/>
      <c r="BI102" s="32"/>
      <c r="BJ102" s="32"/>
      <c r="BK102" s="34"/>
      <c r="BL102" s="37"/>
      <c r="BM102" s="34"/>
      <c r="BN102" s="34"/>
      <c r="BO102" s="32"/>
      <c r="BP102" s="34"/>
      <c r="BQ102" s="34"/>
      <c r="BR102" s="34"/>
      <c r="BS102" s="34"/>
      <c r="BT102" s="34"/>
      <c r="BU102" s="34"/>
      <c r="BV102" s="34"/>
      <c r="BW102" s="34"/>
      <c r="BX102" s="34"/>
      <c r="BY102" s="34"/>
      <c r="BZ102" s="34"/>
      <c r="CA102" s="34"/>
      <c r="CB102" s="34"/>
      <c r="CC102" s="34"/>
      <c r="CD102" s="34"/>
      <c r="CE102" s="34"/>
      <c r="CF102" s="34"/>
      <c r="CG102" s="31"/>
      <c r="CH102" s="31"/>
      <c r="CJ102" s="31"/>
      <c r="CK102" s="31"/>
      <c r="EU102" s="31"/>
      <c r="EX102" s="31"/>
      <c r="FA102" s="31"/>
      <c r="FD102" s="31"/>
      <c r="FS102" s="31"/>
      <c r="GN102" s="31"/>
      <c r="GQ102" s="31"/>
      <c r="GT102" s="31"/>
      <c r="GW102" s="31"/>
      <c r="HL102" s="33"/>
    </row>
    <row r="103" spans="1:220" s="29" customFormat="1" ht="45" customHeight="1" x14ac:dyDescent="0.2">
      <c r="A103" s="39" t="s">
        <v>153</v>
      </c>
      <c r="B103" s="39" t="s">
        <v>154</v>
      </c>
      <c r="C103" s="39">
        <v>2016</v>
      </c>
      <c r="D103" s="40" t="s">
        <v>155</v>
      </c>
      <c r="E103" s="39" t="s">
        <v>156</v>
      </c>
      <c r="F103" s="39" t="s">
        <v>156</v>
      </c>
      <c r="G103" s="39" t="s">
        <v>136</v>
      </c>
      <c r="H103" s="39" t="s">
        <v>68</v>
      </c>
      <c r="I103" s="39" t="s">
        <v>15</v>
      </c>
      <c r="J103" s="39" t="s">
        <v>295</v>
      </c>
      <c r="K103" s="39" t="s">
        <v>446</v>
      </c>
      <c r="L103" s="39" t="s">
        <v>265</v>
      </c>
      <c r="M103" s="39" t="s">
        <v>269</v>
      </c>
      <c r="N103" s="41">
        <v>1</v>
      </c>
      <c r="O103" s="41"/>
      <c r="P103" s="41"/>
      <c r="Q103" s="41">
        <v>473</v>
      </c>
      <c r="R103" s="41">
        <v>1173</v>
      </c>
      <c r="S103" s="41"/>
      <c r="T103" s="41"/>
      <c r="U103" s="41"/>
      <c r="V103" s="41"/>
      <c r="W103" s="41"/>
      <c r="X103" s="41"/>
      <c r="Y103" s="41"/>
      <c r="Z103" s="41"/>
      <c r="AA103" s="41"/>
      <c r="AB103" s="41"/>
      <c r="AC103" s="41"/>
      <c r="AD103" s="41"/>
      <c r="AE103" s="41">
        <v>0.45</v>
      </c>
      <c r="AF103" s="39">
        <v>0.45</v>
      </c>
      <c r="AG103" s="39"/>
      <c r="AH103" s="39" t="s">
        <v>579</v>
      </c>
      <c r="AI103" s="39" t="s">
        <v>66</v>
      </c>
      <c r="AJ103" s="39"/>
      <c r="AK103" s="39"/>
      <c r="AL103" s="39"/>
      <c r="AM103" s="39"/>
      <c r="AN103" s="39" t="s">
        <v>54</v>
      </c>
      <c r="AO103" s="40" t="s">
        <v>263</v>
      </c>
      <c r="AP103" s="40"/>
      <c r="AQ103" s="42">
        <v>10.15</v>
      </c>
      <c r="AR103" s="43">
        <v>0.22</v>
      </c>
      <c r="AS103" s="40" t="s">
        <v>112</v>
      </c>
      <c r="AT103" s="45">
        <v>2.11</v>
      </c>
      <c r="AU103" s="42">
        <v>3.109E-2</v>
      </c>
      <c r="AV103" s="40" t="s">
        <v>115</v>
      </c>
      <c r="AW103" s="44"/>
      <c r="AX103" s="44"/>
      <c r="AY103" s="40"/>
      <c r="AZ103" s="42"/>
      <c r="BA103" s="42"/>
      <c r="BB103" s="44"/>
      <c r="BC103" s="46"/>
      <c r="BD103" s="42"/>
      <c r="BE103" s="44"/>
      <c r="BF103" s="46"/>
      <c r="BG103" s="42"/>
      <c r="BH103" s="44"/>
      <c r="BI103" s="42"/>
      <c r="BJ103" s="42"/>
      <c r="BK103" s="44"/>
      <c r="BL103" s="47"/>
      <c r="BM103" s="44"/>
      <c r="BN103" s="44"/>
      <c r="BO103" s="42"/>
      <c r="BP103" s="44"/>
      <c r="BQ103" s="44"/>
      <c r="BR103" s="44"/>
      <c r="BS103" s="44"/>
      <c r="BT103" s="44"/>
      <c r="BU103" s="44"/>
      <c r="BV103" s="44"/>
      <c r="BW103" s="44"/>
      <c r="BX103" s="44"/>
      <c r="BY103" s="44"/>
      <c r="BZ103" s="44"/>
      <c r="CA103" s="44"/>
      <c r="CB103" s="44"/>
      <c r="CC103" s="44"/>
      <c r="CD103" s="44"/>
      <c r="CE103" s="44"/>
      <c r="CF103" s="44"/>
      <c r="CG103" s="41"/>
      <c r="CH103" s="41"/>
      <c r="CI103" s="39"/>
      <c r="CJ103" s="41"/>
      <c r="CK103" s="41"/>
      <c r="CL103" s="39"/>
      <c r="EU103" s="31"/>
      <c r="EX103" s="31"/>
      <c r="FA103" s="31"/>
      <c r="FD103" s="31"/>
      <c r="FS103" s="31"/>
      <c r="GN103" s="31"/>
      <c r="GQ103" s="31"/>
      <c r="GT103" s="31"/>
      <c r="GW103" s="31"/>
      <c r="HL103" s="33"/>
    </row>
    <row r="104" spans="1:220" s="29" customFormat="1" ht="45" customHeight="1" x14ac:dyDescent="0.2">
      <c r="A104" s="39" t="s">
        <v>153</v>
      </c>
      <c r="B104" s="39" t="s">
        <v>154</v>
      </c>
      <c r="C104" s="39">
        <v>2016</v>
      </c>
      <c r="D104" s="40" t="s">
        <v>155</v>
      </c>
      <c r="E104" s="39" t="s">
        <v>156</v>
      </c>
      <c r="F104" s="39" t="s">
        <v>156</v>
      </c>
      <c r="G104" s="39" t="s">
        <v>136</v>
      </c>
      <c r="H104" s="39" t="s">
        <v>68</v>
      </c>
      <c r="I104" s="39" t="s">
        <v>15</v>
      </c>
      <c r="J104" s="39" t="s">
        <v>295</v>
      </c>
      <c r="K104" s="39" t="s">
        <v>447</v>
      </c>
      <c r="L104" s="39" t="s">
        <v>265</v>
      </c>
      <c r="M104" s="39" t="s">
        <v>269</v>
      </c>
      <c r="N104" s="41">
        <v>1</v>
      </c>
      <c r="O104" s="41"/>
      <c r="P104" s="41"/>
      <c r="Q104" s="41">
        <v>473</v>
      </c>
      <c r="R104" s="41">
        <v>1173</v>
      </c>
      <c r="S104" s="41"/>
      <c r="T104" s="41"/>
      <c r="U104" s="41"/>
      <c r="V104" s="41"/>
      <c r="W104" s="41"/>
      <c r="X104" s="41"/>
      <c r="Y104" s="41"/>
      <c r="Z104" s="41"/>
      <c r="AA104" s="41"/>
      <c r="AB104" s="41"/>
      <c r="AC104" s="41"/>
      <c r="AD104" s="41"/>
      <c r="AE104" s="41">
        <v>0.45</v>
      </c>
      <c r="AF104" s="39">
        <v>0.45</v>
      </c>
      <c r="AG104" s="39"/>
      <c r="AH104" s="39" t="s">
        <v>579</v>
      </c>
      <c r="AI104" s="39" t="s">
        <v>66</v>
      </c>
      <c r="AJ104" s="39"/>
      <c r="AK104" s="39"/>
      <c r="AL104" s="39"/>
      <c r="AM104" s="39"/>
      <c r="AN104" s="39" t="s">
        <v>54</v>
      </c>
      <c r="AO104" s="40" t="s">
        <v>264</v>
      </c>
      <c r="AP104" s="40"/>
      <c r="AQ104" s="42">
        <v>8.41</v>
      </c>
      <c r="AR104" s="43">
        <v>0.24</v>
      </c>
      <c r="AS104" s="40" t="s">
        <v>112</v>
      </c>
      <c r="AT104" s="45">
        <v>1.855</v>
      </c>
      <c r="AU104" s="42">
        <v>4.1459999999999997E-2</v>
      </c>
      <c r="AV104" s="40" t="s">
        <v>115</v>
      </c>
      <c r="AW104" s="44"/>
      <c r="AX104" s="44"/>
      <c r="AY104" s="40"/>
      <c r="AZ104" s="42"/>
      <c r="BA104" s="42"/>
      <c r="BB104" s="44"/>
      <c r="BC104" s="46"/>
      <c r="BD104" s="42"/>
      <c r="BE104" s="44"/>
      <c r="BF104" s="46"/>
      <c r="BG104" s="42"/>
      <c r="BH104" s="44"/>
      <c r="BI104" s="42"/>
      <c r="BJ104" s="42"/>
      <c r="BK104" s="44"/>
      <c r="BL104" s="47"/>
      <c r="BM104" s="44"/>
      <c r="BN104" s="44"/>
      <c r="BO104" s="42"/>
      <c r="BP104" s="44"/>
      <c r="BQ104" s="44"/>
      <c r="BR104" s="44"/>
      <c r="BS104" s="44"/>
      <c r="BT104" s="44"/>
      <c r="BU104" s="44"/>
      <c r="BV104" s="44"/>
      <c r="BW104" s="44"/>
      <c r="BX104" s="44"/>
      <c r="BY104" s="44"/>
      <c r="BZ104" s="44"/>
      <c r="CA104" s="44"/>
      <c r="CB104" s="44"/>
      <c r="CC104" s="44"/>
      <c r="CD104" s="44"/>
      <c r="CE104" s="44"/>
      <c r="CF104" s="44"/>
      <c r="CG104" s="41"/>
      <c r="CH104" s="41"/>
      <c r="CI104" s="39"/>
      <c r="CJ104" s="41"/>
      <c r="CK104" s="41"/>
      <c r="CL104" s="39"/>
      <c r="EU104" s="31"/>
      <c r="EX104" s="31"/>
      <c r="FA104" s="31"/>
      <c r="FD104" s="31"/>
      <c r="FS104" s="31"/>
      <c r="GN104" s="31"/>
      <c r="GQ104" s="31"/>
      <c r="GT104" s="31"/>
      <c r="GW104" s="31"/>
      <c r="HL104" s="33"/>
    </row>
    <row r="105" spans="1:220" s="29" customFormat="1" ht="45" customHeight="1" x14ac:dyDescent="0.2">
      <c r="A105" s="39" t="s">
        <v>153</v>
      </c>
      <c r="B105" s="39" t="s">
        <v>154</v>
      </c>
      <c r="C105" s="39">
        <v>2016</v>
      </c>
      <c r="D105" s="40" t="s">
        <v>155</v>
      </c>
      <c r="E105" s="39" t="s">
        <v>156</v>
      </c>
      <c r="F105" s="39" t="s">
        <v>156</v>
      </c>
      <c r="G105" s="39" t="s">
        <v>136</v>
      </c>
      <c r="H105" s="39" t="s">
        <v>68</v>
      </c>
      <c r="I105" s="39" t="s">
        <v>15</v>
      </c>
      <c r="J105" s="39" t="s">
        <v>295</v>
      </c>
      <c r="K105" s="39" t="s">
        <v>448</v>
      </c>
      <c r="L105" s="39" t="s">
        <v>265</v>
      </c>
      <c r="M105" s="39" t="s">
        <v>269</v>
      </c>
      <c r="N105" s="41">
        <v>1</v>
      </c>
      <c r="O105" s="41"/>
      <c r="P105" s="41"/>
      <c r="Q105" s="41">
        <v>473</v>
      </c>
      <c r="R105" s="41">
        <v>1173</v>
      </c>
      <c r="S105" s="41"/>
      <c r="T105" s="41"/>
      <c r="U105" s="41"/>
      <c r="V105" s="41"/>
      <c r="W105" s="41"/>
      <c r="X105" s="41"/>
      <c r="Y105" s="41"/>
      <c r="Z105" s="41"/>
      <c r="AA105" s="41"/>
      <c r="AB105" s="41"/>
      <c r="AC105" s="41"/>
      <c r="AD105" s="41"/>
      <c r="AE105" s="41">
        <v>0.45</v>
      </c>
      <c r="AF105" s="39">
        <v>0.45</v>
      </c>
      <c r="AG105" s="39"/>
      <c r="AH105" s="39" t="s">
        <v>579</v>
      </c>
      <c r="AI105" s="39" t="s">
        <v>66</v>
      </c>
      <c r="AJ105" s="39"/>
      <c r="AK105" s="39"/>
      <c r="AL105" s="39"/>
      <c r="AM105" s="39"/>
      <c r="AN105" s="39" t="s">
        <v>54</v>
      </c>
      <c r="AO105" s="40" t="s">
        <v>261</v>
      </c>
      <c r="AP105" s="40"/>
      <c r="AQ105" s="42">
        <v>6.09</v>
      </c>
      <c r="AR105" s="43">
        <v>0.34</v>
      </c>
      <c r="AS105" s="40" t="s">
        <v>112</v>
      </c>
      <c r="AT105" s="45">
        <v>1.389</v>
      </c>
      <c r="AU105" s="42">
        <v>5.1819999999999998E-2</v>
      </c>
      <c r="AV105" s="40" t="s">
        <v>115</v>
      </c>
      <c r="AW105" s="44"/>
      <c r="AX105" s="44"/>
      <c r="AY105" s="40"/>
      <c r="AZ105" s="42"/>
      <c r="BA105" s="42"/>
      <c r="BB105" s="44"/>
      <c r="BC105" s="46"/>
      <c r="BD105" s="42"/>
      <c r="BE105" s="44"/>
      <c r="BF105" s="46"/>
      <c r="BG105" s="42"/>
      <c r="BH105" s="44"/>
      <c r="BI105" s="42"/>
      <c r="BJ105" s="42"/>
      <c r="BK105" s="44"/>
      <c r="BL105" s="47"/>
      <c r="BM105" s="44"/>
      <c r="BN105" s="44"/>
      <c r="BO105" s="42"/>
      <c r="BP105" s="44"/>
      <c r="BQ105" s="44"/>
      <c r="BR105" s="44"/>
      <c r="BS105" s="44"/>
      <c r="BT105" s="44"/>
      <c r="BU105" s="44"/>
      <c r="BV105" s="44"/>
      <c r="BW105" s="44"/>
      <c r="BX105" s="44"/>
      <c r="BY105" s="44"/>
      <c r="BZ105" s="44"/>
      <c r="CA105" s="44"/>
      <c r="CB105" s="44"/>
      <c r="CC105" s="44"/>
      <c r="CD105" s="44"/>
      <c r="CE105" s="44"/>
      <c r="CF105" s="44"/>
      <c r="CG105" s="41"/>
      <c r="CH105" s="41"/>
      <c r="CI105" s="39"/>
      <c r="CJ105" s="41"/>
      <c r="CK105" s="41"/>
      <c r="CL105" s="39"/>
      <c r="EU105" s="31"/>
      <c r="EX105" s="31"/>
      <c r="FA105" s="31"/>
      <c r="FD105" s="31"/>
      <c r="FS105" s="31"/>
      <c r="GN105" s="31"/>
      <c r="GQ105" s="31"/>
      <c r="GT105" s="31"/>
      <c r="GW105" s="31"/>
      <c r="HL105" s="33"/>
    </row>
    <row r="106" spans="1:220" s="29" customFormat="1" ht="45" customHeight="1" x14ac:dyDescent="0.2">
      <c r="A106" s="29" t="s">
        <v>69</v>
      </c>
      <c r="B106" s="29" t="s">
        <v>70</v>
      </c>
      <c r="C106" s="29">
        <v>2011</v>
      </c>
      <c r="D106" s="30" t="s">
        <v>71</v>
      </c>
      <c r="E106" s="29" t="s">
        <v>843</v>
      </c>
      <c r="F106" s="29" t="s">
        <v>843</v>
      </c>
      <c r="G106" s="29" t="s">
        <v>62</v>
      </c>
      <c r="H106" s="29" t="s">
        <v>67</v>
      </c>
      <c r="I106" s="29" t="s">
        <v>228</v>
      </c>
      <c r="J106" s="29" t="s">
        <v>385</v>
      </c>
      <c r="K106" s="29" t="s">
        <v>492</v>
      </c>
      <c r="L106" s="29" t="s">
        <v>265</v>
      </c>
      <c r="M106" s="29" t="s">
        <v>268</v>
      </c>
      <c r="N106" s="31"/>
      <c r="O106" s="31">
        <v>0.6</v>
      </c>
      <c r="P106" s="31">
        <v>1.2</v>
      </c>
      <c r="Q106" s="31">
        <v>573</v>
      </c>
      <c r="R106" s="31">
        <v>1273</v>
      </c>
      <c r="S106" s="31"/>
      <c r="T106" s="31"/>
      <c r="U106" s="31"/>
      <c r="V106" s="31"/>
      <c r="W106" s="31"/>
      <c r="X106" s="31"/>
      <c r="Y106" s="31"/>
      <c r="Z106" s="31"/>
      <c r="AA106" s="31"/>
      <c r="AB106" s="31"/>
      <c r="AC106" s="31"/>
      <c r="AD106" s="31"/>
      <c r="AE106" s="31">
        <v>0</v>
      </c>
      <c r="AF106" s="29">
        <v>8.900000000000001E-2</v>
      </c>
      <c r="AH106" s="29" t="s">
        <v>317</v>
      </c>
      <c r="AI106" s="29" t="s">
        <v>66</v>
      </c>
      <c r="AO106" s="30" t="s">
        <v>28</v>
      </c>
      <c r="AP106" s="30"/>
      <c r="AQ106" s="32">
        <v>4.12</v>
      </c>
      <c r="AR106" s="33">
        <v>0.34</v>
      </c>
      <c r="AS106" s="30" t="s">
        <v>112</v>
      </c>
      <c r="AT106" s="35">
        <v>1.669</v>
      </c>
      <c r="AU106" s="32">
        <v>6.2199999999999998E-2</v>
      </c>
      <c r="AV106" s="30" t="s">
        <v>115</v>
      </c>
      <c r="AW106" s="34">
        <v>2.4900000000000002</v>
      </c>
      <c r="AX106" s="34">
        <v>0.14000000000000001</v>
      </c>
      <c r="AY106" s="30" t="s">
        <v>112</v>
      </c>
      <c r="AZ106" s="32">
        <v>0.83</v>
      </c>
      <c r="BA106" s="32">
        <v>0.06</v>
      </c>
      <c r="BB106" s="34" t="s">
        <v>114</v>
      </c>
      <c r="BC106" s="36">
        <v>0.79800000000000004</v>
      </c>
      <c r="BD106" s="32">
        <v>2.7029999999999998E-2</v>
      </c>
      <c r="BE106" s="34" t="s">
        <v>115</v>
      </c>
      <c r="BF106" s="36"/>
      <c r="BG106" s="32"/>
      <c r="BH106" s="34"/>
      <c r="BI106" s="32"/>
      <c r="BJ106" s="32"/>
      <c r="BK106" s="34"/>
      <c r="BL106" s="37"/>
      <c r="BM106" s="34"/>
      <c r="BN106" s="34"/>
      <c r="BO106" s="32"/>
      <c r="BP106" s="34"/>
      <c r="BQ106" s="34"/>
      <c r="BR106" s="34"/>
      <c r="BS106" s="34"/>
      <c r="BT106" s="34"/>
      <c r="BU106" s="34"/>
      <c r="BV106" s="34"/>
      <c r="BW106" s="34"/>
      <c r="BX106" s="34"/>
      <c r="BY106" s="34"/>
      <c r="BZ106" s="34"/>
      <c r="CA106" s="34"/>
      <c r="CB106" s="34"/>
      <c r="CC106" s="34"/>
      <c r="CD106" s="34"/>
      <c r="CE106" s="34"/>
      <c r="CF106" s="34"/>
      <c r="CG106" s="31"/>
      <c r="CH106" s="31"/>
      <c r="CJ106" s="31"/>
      <c r="CK106" s="31"/>
      <c r="EU106" s="31"/>
      <c r="EX106" s="31"/>
      <c r="FA106" s="31"/>
      <c r="FD106" s="31"/>
      <c r="FS106" s="31"/>
      <c r="GN106" s="31"/>
      <c r="GQ106" s="31"/>
      <c r="GT106" s="31"/>
      <c r="GW106" s="31"/>
      <c r="HL106" s="33"/>
    </row>
    <row r="107" spans="1:220" s="39" customFormat="1" ht="45" customHeight="1" x14ac:dyDescent="0.2">
      <c r="A107" s="29" t="s">
        <v>311</v>
      </c>
      <c r="B107" s="29" t="s">
        <v>312</v>
      </c>
      <c r="C107" s="29">
        <v>2012</v>
      </c>
      <c r="D107" s="29" t="s">
        <v>313</v>
      </c>
      <c r="E107" s="29" t="s">
        <v>843</v>
      </c>
      <c r="F107" s="29" t="s">
        <v>843</v>
      </c>
      <c r="G107" s="29" t="s">
        <v>62</v>
      </c>
      <c r="H107" s="29" t="s">
        <v>68</v>
      </c>
      <c r="I107" s="29" t="s">
        <v>15</v>
      </c>
      <c r="J107" s="49" t="s">
        <v>387</v>
      </c>
      <c r="K107" s="29" t="s">
        <v>324</v>
      </c>
      <c r="L107" s="29" t="s">
        <v>265</v>
      </c>
      <c r="M107" s="29" t="s">
        <v>269</v>
      </c>
      <c r="N107" s="31">
        <v>0.1</v>
      </c>
      <c r="O107" s="31"/>
      <c r="P107" s="31"/>
      <c r="Q107" s="31">
        <v>473.15</v>
      </c>
      <c r="R107" s="31">
        <v>1073.1500000000001</v>
      </c>
      <c r="S107" s="31"/>
      <c r="T107" s="31"/>
      <c r="U107" s="31"/>
      <c r="V107" s="31"/>
      <c r="W107" s="31"/>
      <c r="X107" s="31"/>
      <c r="Y107" s="31"/>
      <c r="Z107" s="31"/>
      <c r="AA107" s="31"/>
      <c r="AB107" s="31"/>
      <c r="AC107" s="31"/>
      <c r="AD107" s="31"/>
      <c r="AE107" s="31">
        <v>95</v>
      </c>
      <c r="AF107" s="29">
        <v>110</v>
      </c>
      <c r="AG107" s="29"/>
      <c r="AH107" s="29" t="s">
        <v>317</v>
      </c>
      <c r="AI107" s="29" t="s">
        <v>55</v>
      </c>
      <c r="AJ107" s="29"/>
      <c r="AK107" s="29"/>
      <c r="AL107" s="29"/>
      <c r="AM107" s="29"/>
      <c r="AN107" s="29" t="s">
        <v>54</v>
      </c>
      <c r="AO107" s="30" t="s">
        <v>262</v>
      </c>
      <c r="AP107" s="30"/>
      <c r="AQ107" s="32">
        <v>2.85</v>
      </c>
      <c r="AR107" s="33">
        <v>0.24</v>
      </c>
      <c r="AS107" s="30" t="s">
        <v>112</v>
      </c>
      <c r="AT107" s="35">
        <v>1.28464</v>
      </c>
      <c r="AU107" s="32">
        <v>4.1439999999999998E-2</v>
      </c>
      <c r="AV107" s="30" t="s">
        <v>115</v>
      </c>
      <c r="AW107" s="34"/>
      <c r="AX107" s="34"/>
      <c r="AY107" s="30"/>
      <c r="AZ107" s="32"/>
      <c r="BA107" s="32"/>
      <c r="BB107" s="34"/>
      <c r="BC107" s="36"/>
      <c r="BD107" s="32"/>
      <c r="BE107" s="34"/>
      <c r="BF107" s="36"/>
      <c r="BG107" s="32"/>
      <c r="BH107" s="34"/>
      <c r="BI107" s="32"/>
      <c r="BJ107" s="32"/>
      <c r="BK107" s="34"/>
      <c r="BL107" s="37"/>
      <c r="BM107" s="34"/>
      <c r="BN107" s="34"/>
      <c r="BO107" s="32"/>
      <c r="BP107" s="34"/>
      <c r="BQ107" s="34"/>
      <c r="BR107" s="34"/>
      <c r="BS107" s="34"/>
      <c r="BT107" s="34"/>
      <c r="BU107" s="34"/>
      <c r="BV107" s="34"/>
      <c r="BW107" s="34"/>
      <c r="BX107" s="34"/>
      <c r="BY107" s="34"/>
      <c r="BZ107" s="34"/>
      <c r="CA107" s="34"/>
      <c r="CB107" s="34"/>
      <c r="CC107" s="34"/>
      <c r="CD107" s="34"/>
      <c r="CE107" s="34"/>
      <c r="CF107" s="34"/>
      <c r="CG107" s="31"/>
      <c r="CH107" s="31"/>
      <c r="CI107" s="29"/>
      <c r="CJ107" s="31"/>
      <c r="CK107" s="31"/>
      <c r="CL107" s="29"/>
      <c r="EU107" s="41"/>
      <c r="EX107" s="41"/>
      <c r="FA107" s="41"/>
      <c r="FD107" s="41"/>
      <c r="FS107" s="41"/>
      <c r="GN107" s="41"/>
      <c r="GQ107" s="41"/>
      <c r="GT107" s="41"/>
      <c r="GW107" s="41"/>
      <c r="HL107" s="43"/>
    </row>
    <row r="108" spans="1:220" s="39" customFormat="1" ht="45" customHeight="1" x14ac:dyDescent="0.2">
      <c r="A108" s="29" t="s">
        <v>311</v>
      </c>
      <c r="B108" s="29" t="s">
        <v>312</v>
      </c>
      <c r="C108" s="29">
        <v>2012</v>
      </c>
      <c r="D108" s="29" t="s">
        <v>313</v>
      </c>
      <c r="E108" s="29" t="s">
        <v>843</v>
      </c>
      <c r="F108" s="29" t="s">
        <v>843</v>
      </c>
      <c r="G108" s="29" t="s">
        <v>62</v>
      </c>
      <c r="H108" s="29" t="s">
        <v>68</v>
      </c>
      <c r="I108" s="29" t="s">
        <v>15</v>
      </c>
      <c r="J108" s="49" t="s">
        <v>387</v>
      </c>
      <c r="K108" s="29" t="s">
        <v>325</v>
      </c>
      <c r="L108" s="29" t="s">
        <v>265</v>
      </c>
      <c r="M108" s="29" t="s">
        <v>269</v>
      </c>
      <c r="N108" s="31">
        <v>0.1</v>
      </c>
      <c r="O108" s="31"/>
      <c r="P108" s="31"/>
      <c r="Q108" s="31">
        <v>473.15</v>
      </c>
      <c r="R108" s="31">
        <v>1073.1500000000001</v>
      </c>
      <c r="S108" s="31"/>
      <c r="T108" s="31"/>
      <c r="U108" s="31"/>
      <c r="V108" s="31"/>
      <c r="W108" s="31"/>
      <c r="X108" s="31"/>
      <c r="Y108" s="31"/>
      <c r="Z108" s="31"/>
      <c r="AA108" s="31"/>
      <c r="AB108" s="31"/>
      <c r="AC108" s="31"/>
      <c r="AD108" s="31"/>
      <c r="AE108" s="31">
        <v>95</v>
      </c>
      <c r="AF108" s="29">
        <v>110</v>
      </c>
      <c r="AG108" s="29"/>
      <c r="AH108" s="29" t="s">
        <v>317</v>
      </c>
      <c r="AI108" s="29" t="s">
        <v>55</v>
      </c>
      <c r="AJ108" s="29"/>
      <c r="AK108" s="29"/>
      <c r="AL108" s="29"/>
      <c r="AM108" s="29"/>
      <c r="AN108" s="29" t="s">
        <v>54</v>
      </c>
      <c r="AO108" s="30" t="s">
        <v>263</v>
      </c>
      <c r="AP108" s="30"/>
      <c r="AQ108" s="32">
        <v>3.97</v>
      </c>
      <c r="AR108" s="33">
        <v>0.22</v>
      </c>
      <c r="AS108" s="30" t="s">
        <v>112</v>
      </c>
      <c r="AT108" s="35">
        <v>1.3468</v>
      </c>
      <c r="AU108" s="32">
        <v>4.1439999999999998E-2</v>
      </c>
      <c r="AV108" s="30" t="s">
        <v>115</v>
      </c>
      <c r="AW108" s="34"/>
      <c r="AX108" s="34"/>
      <c r="AY108" s="30"/>
      <c r="AZ108" s="32"/>
      <c r="BA108" s="32"/>
      <c r="BB108" s="34"/>
      <c r="BC108" s="36"/>
      <c r="BD108" s="32"/>
      <c r="BE108" s="34"/>
      <c r="BF108" s="36"/>
      <c r="BG108" s="32"/>
      <c r="BH108" s="34"/>
      <c r="BI108" s="32"/>
      <c r="BJ108" s="32"/>
      <c r="BK108" s="34"/>
      <c r="BL108" s="37"/>
      <c r="BM108" s="34"/>
      <c r="BN108" s="34"/>
      <c r="BO108" s="32"/>
      <c r="BP108" s="34"/>
      <c r="BQ108" s="34"/>
      <c r="BR108" s="34"/>
      <c r="BS108" s="34"/>
      <c r="BT108" s="34"/>
      <c r="BU108" s="34"/>
      <c r="BV108" s="34"/>
      <c r="BW108" s="34"/>
      <c r="BX108" s="34"/>
      <c r="BY108" s="34"/>
      <c r="BZ108" s="34"/>
      <c r="CA108" s="34"/>
      <c r="CB108" s="34"/>
      <c r="CC108" s="34"/>
      <c r="CD108" s="34"/>
      <c r="CE108" s="34"/>
      <c r="CF108" s="34"/>
      <c r="CG108" s="31"/>
      <c r="CH108" s="31"/>
      <c r="CI108" s="29"/>
      <c r="CJ108" s="31"/>
      <c r="CK108" s="31"/>
      <c r="CL108" s="29"/>
      <c r="EU108" s="41"/>
      <c r="EX108" s="41"/>
      <c r="FA108" s="41"/>
      <c r="FD108" s="41"/>
      <c r="FS108" s="41"/>
      <c r="GN108" s="41"/>
      <c r="GQ108" s="41"/>
      <c r="GT108" s="41"/>
      <c r="GW108" s="41"/>
      <c r="HL108" s="43"/>
    </row>
    <row r="109" spans="1:220" s="39" customFormat="1" ht="45" customHeight="1" x14ac:dyDescent="0.2">
      <c r="A109" s="29" t="s">
        <v>311</v>
      </c>
      <c r="B109" s="29" t="s">
        <v>312</v>
      </c>
      <c r="C109" s="29">
        <v>2012</v>
      </c>
      <c r="D109" s="29" t="s">
        <v>313</v>
      </c>
      <c r="E109" s="29" t="s">
        <v>843</v>
      </c>
      <c r="F109" s="29" t="s">
        <v>843</v>
      </c>
      <c r="G109" s="29" t="s">
        <v>62</v>
      </c>
      <c r="H109" s="29" t="s">
        <v>68</v>
      </c>
      <c r="I109" s="29" t="s">
        <v>15</v>
      </c>
      <c r="J109" s="49" t="s">
        <v>387</v>
      </c>
      <c r="K109" s="29" t="s">
        <v>326</v>
      </c>
      <c r="L109" s="29" t="s">
        <v>265</v>
      </c>
      <c r="M109" s="29" t="s">
        <v>269</v>
      </c>
      <c r="N109" s="31">
        <v>0.1</v>
      </c>
      <c r="O109" s="31"/>
      <c r="P109" s="31"/>
      <c r="Q109" s="31">
        <v>473.15</v>
      </c>
      <c r="R109" s="31">
        <v>1073.1500000000001</v>
      </c>
      <c r="S109" s="31"/>
      <c r="T109" s="31"/>
      <c r="U109" s="31"/>
      <c r="V109" s="31"/>
      <c r="W109" s="31"/>
      <c r="X109" s="31"/>
      <c r="Y109" s="31"/>
      <c r="Z109" s="31"/>
      <c r="AA109" s="31"/>
      <c r="AB109" s="31"/>
      <c r="AC109" s="31"/>
      <c r="AD109" s="31"/>
      <c r="AE109" s="31">
        <v>95</v>
      </c>
      <c r="AF109" s="29">
        <v>110</v>
      </c>
      <c r="AG109" s="29"/>
      <c r="AH109" s="29" t="s">
        <v>317</v>
      </c>
      <c r="AI109" s="29" t="s">
        <v>55</v>
      </c>
      <c r="AJ109" s="29"/>
      <c r="AK109" s="29"/>
      <c r="AL109" s="29"/>
      <c r="AM109" s="29"/>
      <c r="AN109" s="29" t="s">
        <v>54</v>
      </c>
      <c r="AO109" s="30" t="s">
        <v>261</v>
      </c>
      <c r="AP109" s="30"/>
      <c r="AQ109" s="32">
        <v>2.8</v>
      </c>
      <c r="AR109" s="33">
        <v>0.34</v>
      </c>
      <c r="AS109" s="30" t="s">
        <v>112</v>
      </c>
      <c r="AT109" s="35">
        <v>1.1914</v>
      </c>
      <c r="AU109" s="32">
        <v>5.1799999999999999E-2</v>
      </c>
      <c r="AV109" s="30" t="s">
        <v>115</v>
      </c>
      <c r="AW109" s="34"/>
      <c r="AX109" s="34"/>
      <c r="AY109" s="30"/>
      <c r="AZ109" s="32"/>
      <c r="BA109" s="32"/>
      <c r="BB109" s="34"/>
      <c r="BC109" s="36"/>
      <c r="BD109" s="32"/>
      <c r="BE109" s="34"/>
      <c r="BF109" s="36"/>
      <c r="BG109" s="32"/>
      <c r="BH109" s="34"/>
      <c r="BI109" s="32"/>
      <c r="BJ109" s="32"/>
      <c r="BK109" s="34"/>
      <c r="BL109" s="37"/>
      <c r="BM109" s="34"/>
      <c r="BN109" s="34"/>
      <c r="BO109" s="32"/>
      <c r="BP109" s="34"/>
      <c r="BQ109" s="34"/>
      <c r="BR109" s="34"/>
      <c r="BS109" s="34"/>
      <c r="BT109" s="34"/>
      <c r="BU109" s="34"/>
      <c r="BV109" s="34"/>
      <c r="BW109" s="34"/>
      <c r="BX109" s="34"/>
      <c r="BY109" s="34"/>
      <c r="BZ109" s="34"/>
      <c r="CA109" s="34"/>
      <c r="CB109" s="34"/>
      <c r="CC109" s="34"/>
      <c r="CD109" s="34"/>
      <c r="CE109" s="34"/>
      <c r="CF109" s="34"/>
      <c r="CG109" s="31"/>
      <c r="CH109" s="31"/>
      <c r="CI109" s="29"/>
      <c r="CJ109" s="31"/>
      <c r="CK109" s="31"/>
      <c r="CL109" s="29"/>
      <c r="EU109" s="41"/>
      <c r="EX109" s="41"/>
      <c r="FA109" s="41"/>
      <c r="FD109" s="41"/>
      <c r="FS109" s="41"/>
      <c r="GN109" s="41"/>
      <c r="GQ109" s="41"/>
      <c r="GT109" s="41"/>
      <c r="GW109" s="41"/>
      <c r="HL109" s="43"/>
    </row>
    <row r="110" spans="1:220" s="39" customFormat="1" ht="45" customHeight="1" x14ac:dyDescent="0.2">
      <c r="A110" s="29" t="s">
        <v>143</v>
      </c>
      <c r="B110" s="29" t="s">
        <v>144</v>
      </c>
      <c r="C110" s="29">
        <v>2018</v>
      </c>
      <c r="D110" s="30" t="s">
        <v>145</v>
      </c>
      <c r="E110" s="29" t="s">
        <v>843</v>
      </c>
      <c r="F110" s="29" t="s">
        <v>843</v>
      </c>
      <c r="G110" s="29" t="s">
        <v>142</v>
      </c>
      <c r="H110" s="29" t="s">
        <v>68</v>
      </c>
      <c r="I110" s="29" t="s">
        <v>15</v>
      </c>
      <c r="J110" s="29" t="s">
        <v>294</v>
      </c>
      <c r="K110" s="29" t="s">
        <v>465</v>
      </c>
      <c r="L110" s="29" t="s">
        <v>265</v>
      </c>
      <c r="M110" s="29" t="s">
        <v>268</v>
      </c>
      <c r="N110" s="31">
        <v>1</v>
      </c>
      <c r="O110" s="31"/>
      <c r="P110" s="31"/>
      <c r="Q110" s="31">
        <v>725</v>
      </c>
      <c r="R110" s="31">
        <v>925</v>
      </c>
      <c r="S110" s="31"/>
      <c r="T110" s="31"/>
      <c r="U110" s="31"/>
      <c r="V110" s="31"/>
      <c r="W110" s="31"/>
      <c r="X110" s="31"/>
      <c r="Y110" s="31"/>
      <c r="Z110" s="31"/>
      <c r="AA110" s="31"/>
      <c r="AB110" s="31"/>
      <c r="AC110" s="31"/>
      <c r="AD110" s="31"/>
      <c r="AE110" s="31">
        <v>0</v>
      </c>
      <c r="AF110" s="29">
        <v>0</v>
      </c>
      <c r="AG110" s="29">
        <v>0</v>
      </c>
      <c r="AH110" s="29" t="s">
        <v>317</v>
      </c>
      <c r="AI110" s="29" t="s">
        <v>55</v>
      </c>
      <c r="AJ110" s="29"/>
      <c r="AK110" s="29"/>
      <c r="AL110" s="29"/>
      <c r="AM110" s="29"/>
      <c r="AN110" s="29"/>
      <c r="AO110" s="30" t="s">
        <v>28</v>
      </c>
      <c r="AP110" s="30"/>
      <c r="AQ110" s="32">
        <v>37110</v>
      </c>
      <c r="AR110" s="33"/>
      <c r="AS110" s="30" t="s">
        <v>113</v>
      </c>
      <c r="AT110" s="35">
        <v>1.4</v>
      </c>
      <c r="AU110" s="32"/>
      <c r="AV110" s="30" t="s">
        <v>115</v>
      </c>
      <c r="AW110" s="34"/>
      <c r="AX110" s="34"/>
      <c r="AY110" s="30"/>
      <c r="AZ110" s="32"/>
      <c r="BA110" s="32"/>
      <c r="BB110" s="34"/>
      <c r="BC110" s="36"/>
      <c r="BD110" s="32"/>
      <c r="BE110" s="34"/>
      <c r="BF110" s="36"/>
      <c r="BG110" s="32"/>
      <c r="BH110" s="34"/>
      <c r="BI110" s="32"/>
      <c r="BJ110" s="32"/>
      <c r="BK110" s="34"/>
      <c r="BL110" s="37"/>
      <c r="BM110" s="34"/>
      <c r="BN110" s="34"/>
      <c r="BO110" s="32"/>
      <c r="BP110" s="34"/>
      <c r="BQ110" s="34"/>
      <c r="BR110" s="34"/>
      <c r="BS110" s="34"/>
      <c r="BT110" s="34"/>
      <c r="BU110" s="34"/>
      <c r="BV110" s="34"/>
      <c r="BW110" s="34"/>
      <c r="BX110" s="34"/>
      <c r="BY110" s="34"/>
      <c r="BZ110" s="34"/>
      <c r="CA110" s="34"/>
      <c r="CB110" s="34"/>
      <c r="CC110" s="34"/>
      <c r="CD110" s="34"/>
      <c r="CE110" s="34"/>
      <c r="CF110" s="34"/>
      <c r="CG110" s="31"/>
      <c r="CH110" s="31"/>
      <c r="CI110" s="29"/>
      <c r="CJ110" s="31"/>
      <c r="CK110" s="31"/>
      <c r="CL110" s="29"/>
      <c r="EU110" s="41"/>
      <c r="EX110" s="41"/>
      <c r="FA110" s="41"/>
      <c r="FD110" s="41"/>
      <c r="FS110" s="41"/>
      <c r="GN110" s="41"/>
      <c r="GQ110" s="41"/>
      <c r="GT110" s="41"/>
      <c r="GW110" s="41"/>
      <c r="HL110" s="43"/>
    </row>
    <row r="111" spans="1:220" s="39" customFormat="1" ht="45" customHeight="1" x14ac:dyDescent="0.2">
      <c r="A111" s="29" t="s">
        <v>143</v>
      </c>
      <c r="B111" s="29" t="s">
        <v>144</v>
      </c>
      <c r="C111" s="29">
        <v>2018</v>
      </c>
      <c r="D111" s="30" t="s">
        <v>145</v>
      </c>
      <c r="E111" s="29" t="s">
        <v>843</v>
      </c>
      <c r="F111" s="29" t="s">
        <v>844</v>
      </c>
      <c r="G111" s="29" t="s">
        <v>142</v>
      </c>
      <c r="H111" s="29" t="s">
        <v>68</v>
      </c>
      <c r="I111" s="29" t="s">
        <v>15</v>
      </c>
      <c r="J111" s="29" t="s">
        <v>294</v>
      </c>
      <c r="K111" s="29" t="s">
        <v>466</v>
      </c>
      <c r="L111" s="29" t="s">
        <v>265</v>
      </c>
      <c r="M111" s="29" t="s">
        <v>268</v>
      </c>
      <c r="N111" s="31">
        <v>1</v>
      </c>
      <c r="O111" s="31"/>
      <c r="P111" s="31"/>
      <c r="Q111" s="31">
        <v>750</v>
      </c>
      <c r="R111" s="31">
        <v>900</v>
      </c>
      <c r="S111" s="31"/>
      <c r="T111" s="31"/>
      <c r="U111" s="31"/>
      <c r="V111" s="31"/>
      <c r="W111" s="31"/>
      <c r="X111" s="31"/>
      <c r="Y111" s="31"/>
      <c r="Z111" s="31"/>
      <c r="AA111" s="31"/>
      <c r="AB111" s="31"/>
      <c r="AC111" s="31"/>
      <c r="AD111" s="31"/>
      <c r="AE111" s="31">
        <v>1725</v>
      </c>
      <c r="AF111" s="29">
        <v>1843</v>
      </c>
      <c r="AG111" s="29"/>
      <c r="AH111" s="29" t="s">
        <v>317</v>
      </c>
      <c r="AI111" s="29" t="s">
        <v>55</v>
      </c>
      <c r="AJ111" s="29"/>
      <c r="AK111" s="29"/>
      <c r="AL111" s="29"/>
      <c r="AM111" s="29"/>
      <c r="AN111" s="29"/>
      <c r="AO111" s="30" t="s">
        <v>28</v>
      </c>
      <c r="AP111" s="30"/>
      <c r="AQ111" s="32">
        <v>15.93</v>
      </c>
      <c r="AR111" s="33"/>
      <c r="AS111" s="30" t="s">
        <v>113</v>
      </c>
      <c r="AT111" s="35">
        <v>0.59</v>
      </c>
      <c r="AU111" s="32"/>
      <c r="AV111" s="30" t="s">
        <v>115</v>
      </c>
      <c r="AW111" s="34"/>
      <c r="AX111" s="34"/>
      <c r="AY111" s="30"/>
      <c r="AZ111" s="32"/>
      <c r="BA111" s="32"/>
      <c r="BB111" s="34"/>
      <c r="BC111" s="36"/>
      <c r="BD111" s="32"/>
      <c r="BE111" s="34"/>
      <c r="BF111" s="36"/>
      <c r="BG111" s="32"/>
      <c r="BH111" s="34"/>
      <c r="BI111" s="32"/>
      <c r="BJ111" s="32"/>
      <c r="BK111" s="34"/>
      <c r="BL111" s="37"/>
      <c r="BM111" s="34"/>
      <c r="BN111" s="34"/>
      <c r="BO111" s="32"/>
      <c r="BP111" s="34"/>
      <c r="BQ111" s="34"/>
      <c r="BR111" s="34"/>
      <c r="BS111" s="34"/>
      <c r="BT111" s="34"/>
      <c r="BU111" s="34"/>
      <c r="BV111" s="34"/>
      <c r="BW111" s="34"/>
      <c r="BX111" s="34"/>
      <c r="BY111" s="34"/>
      <c r="BZ111" s="34"/>
      <c r="CA111" s="34"/>
      <c r="CB111" s="34"/>
      <c r="CC111" s="34"/>
      <c r="CD111" s="34"/>
      <c r="CE111" s="34"/>
      <c r="CF111" s="34"/>
      <c r="CG111" s="31"/>
      <c r="CH111" s="31"/>
      <c r="CI111" s="29"/>
      <c r="CJ111" s="31"/>
      <c r="CK111" s="31"/>
      <c r="CL111" s="29"/>
      <c r="EU111" s="41"/>
      <c r="EX111" s="41"/>
      <c r="FA111" s="41"/>
      <c r="FD111" s="41"/>
      <c r="FS111" s="41"/>
      <c r="GN111" s="41"/>
      <c r="GQ111" s="41"/>
      <c r="GT111" s="41"/>
      <c r="GW111" s="41"/>
      <c r="HL111" s="43"/>
    </row>
    <row r="112" spans="1:220" s="20" customFormat="1" ht="45" customHeight="1" x14ac:dyDescent="0.2">
      <c r="A112" s="39" t="s">
        <v>561</v>
      </c>
      <c r="B112" s="39" t="s">
        <v>562</v>
      </c>
      <c r="C112" s="39">
        <v>2019</v>
      </c>
      <c r="D112" s="40" t="s">
        <v>563</v>
      </c>
      <c r="E112" s="39" t="s">
        <v>564</v>
      </c>
      <c r="F112" s="39" t="s">
        <v>564</v>
      </c>
      <c r="G112" s="39" t="s">
        <v>565</v>
      </c>
      <c r="H112" s="39" t="s">
        <v>551</v>
      </c>
      <c r="I112" s="39" t="s">
        <v>15</v>
      </c>
      <c r="J112" s="39" t="s">
        <v>566</v>
      </c>
      <c r="K112" s="39" t="s">
        <v>567</v>
      </c>
      <c r="L112" s="20" t="s">
        <v>265</v>
      </c>
      <c r="M112" s="20" t="s">
        <v>268</v>
      </c>
      <c r="N112" s="39">
        <v>1.5</v>
      </c>
      <c r="O112" s="39"/>
      <c r="P112" s="39"/>
      <c r="Q112" s="39">
        <v>623</v>
      </c>
      <c r="R112" s="39">
        <v>1073</v>
      </c>
      <c r="S112" s="39"/>
      <c r="T112" s="39"/>
      <c r="U112" s="39"/>
      <c r="V112" s="39"/>
      <c r="W112" s="39"/>
      <c r="X112" s="39"/>
      <c r="Y112" s="39"/>
      <c r="Z112" s="39"/>
      <c r="AA112" s="39"/>
      <c r="AB112" s="39"/>
      <c r="AC112" s="39"/>
      <c r="AD112" s="39"/>
      <c r="AE112" s="72">
        <f>3.64*0.1</f>
        <v>0.36400000000000005</v>
      </c>
      <c r="AF112" s="72">
        <f>3.64*0.1</f>
        <v>0.36400000000000005</v>
      </c>
      <c r="AG112" s="39"/>
      <c r="AH112" s="39" t="s">
        <v>578</v>
      </c>
      <c r="AI112" s="71" t="s">
        <v>66</v>
      </c>
      <c r="AJ112" s="39"/>
      <c r="AK112" s="39"/>
      <c r="AL112" s="39"/>
      <c r="AM112" s="39"/>
      <c r="AN112" s="39" t="s">
        <v>569</v>
      </c>
      <c r="AO112" s="40" t="s">
        <v>28</v>
      </c>
      <c r="AP112" s="40"/>
      <c r="AQ112" s="42">
        <v>0.77</v>
      </c>
      <c r="AR112" s="43">
        <v>0.03</v>
      </c>
      <c r="AS112" s="21" t="s">
        <v>112</v>
      </c>
      <c r="AT112" s="45">
        <f>44.16*0.00008617333262/0.00831446261815324</f>
        <v>0.45768614801282687</v>
      </c>
      <c r="AU112" s="45">
        <f>0.95*0.00008617333262/0.00831446261815324</f>
        <v>9.8460561732831853E-3</v>
      </c>
      <c r="AV112" s="21" t="s">
        <v>115</v>
      </c>
      <c r="AW112" s="44"/>
      <c r="AX112" s="44"/>
      <c r="AY112" s="40"/>
      <c r="AZ112" s="42"/>
      <c r="BA112" s="42"/>
      <c r="BB112" s="44"/>
      <c r="BC112" s="46"/>
      <c r="BD112" s="42"/>
      <c r="BE112" s="44"/>
      <c r="BF112" s="46"/>
      <c r="BG112" s="42"/>
      <c r="BH112" s="44"/>
      <c r="BI112" s="42"/>
      <c r="BJ112" s="42"/>
      <c r="BK112" s="44"/>
      <c r="BL112" s="47"/>
      <c r="BM112" s="44"/>
      <c r="BN112" s="44"/>
      <c r="BO112" s="42"/>
      <c r="BP112" s="44"/>
      <c r="BQ112" s="44"/>
      <c r="BR112" s="44"/>
      <c r="BS112" s="44"/>
      <c r="BT112" s="44"/>
      <c r="BU112" s="44"/>
      <c r="BV112" s="44"/>
      <c r="BW112" s="44"/>
      <c r="BX112" s="44"/>
      <c r="BY112" s="44"/>
      <c r="BZ112" s="44"/>
      <c r="CA112" s="44"/>
      <c r="CB112" s="44"/>
      <c r="CC112" s="44"/>
      <c r="CD112" s="44"/>
      <c r="CE112" s="44"/>
      <c r="CF112" s="44"/>
      <c r="CG112" s="41"/>
      <c r="CH112" s="41"/>
      <c r="CI112" s="39"/>
      <c r="CJ112" s="41"/>
      <c r="CK112" s="41"/>
      <c r="CL112" s="39"/>
      <c r="EU112" s="28"/>
      <c r="EX112" s="28"/>
      <c r="FA112" s="28"/>
      <c r="FD112" s="28"/>
      <c r="FS112" s="28"/>
      <c r="GN112" s="28"/>
      <c r="GQ112" s="28"/>
      <c r="GT112" s="28"/>
      <c r="GW112" s="28"/>
      <c r="HL112" s="23"/>
    </row>
    <row r="113" spans="1:285" s="20" customFormat="1" ht="45" customHeight="1" x14ac:dyDescent="0.2">
      <c r="A113" s="39" t="s">
        <v>561</v>
      </c>
      <c r="B113" s="39" t="s">
        <v>562</v>
      </c>
      <c r="C113" s="39">
        <v>2019</v>
      </c>
      <c r="D113" s="40" t="s">
        <v>563</v>
      </c>
      <c r="E113" s="39" t="s">
        <v>564</v>
      </c>
      <c r="F113" s="39" t="s">
        <v>564</v>
      </c>
      <c r="G113" s="39" t="s">
        <v>565</v>
      </c>
      <c r="H113" s="39" t="s">
        <v>551</v>
      </c>
      <c r="I113" s="39" t="s">
        <v>15</v>
      </c>
      <c r="J113" s="39" t="s">
        <v>566</v>
      </c>
      <c r="K113" s="39" t="s">
        <v>568</v>
      </c>
      <c r="L113" s="20" t="s">
        <v>265</v>
      </c>
      <c r="M113" s="20" t="s">
        <v>268</v>
      </c>
      <c r="N113" s="39">
        <v>1.5</v>
      </c>
      <c r="O113" s="39"/>
      <c r="P113" s="39"/>
      <c r="Q113" s="39">
        <v>623</v>
      </c>
      <c r="R113" s="39">
        <v>1073</v>
      </c>
      <c r="S113" s="39"/>
      <c r="T113" s="39"/>
      <c r="U113" s="39"/>
      <c r="V113" s="39"/>
      <c r="W113" s="39"/>
      <c r="X113" s="39"/>
      <c r="Y113" s="39"/>
      <c r="Z113" s="39"/>
      <c r="AA113" s="39"/>
      <c r="AB113" s="39"/>
      <c r="AC113" s="39"/>
      <c r="AD113" s="39"/>
      <c r="AE113" s="72">
        <f>3.64*0.2</f>
        <v>0.72800000000000009</v>
      </c>
      <c r="AF113" s="72">
        <f>3.64*0.2</f>
        <v>0.72800000000000009</v>
      </c>
      <c r="AG113" s="39"/>
      <c r="AH113" s="39" t="s">
        <v>578</v>
      </c>
      <c r="AI113" s="71" t="s">
        <v>66</v>
      </c>
      <c r="AJ113" s="39"/>
      <c r="AK113" s="39"/>
      <c r="AL113" s="39"/>
      <c r="AM113" s="39"/>
      <c r="AN113" s="39" t="s">
        <v>569</v>
      </c>
      <c r="AO113" s="40" t="s">
        <v>28</v>
      </c>
      <c r="AP113" s="40"/>
      <c r="AQ113" s="42">
        <v>1.58</v>
      </c>
      <c r="AR113" s="43">
        <v>0.02</v>
      </c>
      <c r="AS113" s="21" t="s">
        <v>112</v>
      </c>
      <c r="AT113" s="45">
        <f>59.52*0.00008617333262/0.00831446261815324</f>
        <v>0.61688132993033196</v>
      </c>
      <c r="AU113" s="45">
        <f>0.9*0.00008617333262/0.00831446261815324</f>
        <v>9.3278426904788089E-3</v>
      </c>
      <c r="AV113" s="21" t="s">
        <v>115</v>
      </c>
      <c r="AW113" s="44"/>
      <c r="AX113" s="44"/>
      <c r="AY113" s="40"/>
      <c r="AZ113" s="42"/>
      <c r="BA113" s="42"/>
      <c r="BB113" s="44"/>
      <c r="BC113" s="46"/>
      <c r="BD113" s="42"/>
      <c r="BE113" s="44"/>
      <c r="BF113" s="46"/>
      <c r="BG113" s="42"/>
      <c r="BH113" s="44"/>
      <c r="BI113" s="42"/>
      <c r="BJ113" s="42"/>
      <c r="BK113" s="44"/>
      <c r="BL113" s="47"/>
      <c r="BM113" s="44"/>
      <c r="BN113" s="44"/>
      <c r="BO113" s="42"/>
      <c r="BP113" s="44"/>
      <c r="BQ113" s="44"/>
      <c r="BR113" s="44"/>
      <c r="BS113" s="44"/>
      <c r="BT113" s="44"/>
      <c r="BU113" s="44"/>
      <c r="BV113" s="44"/>
      <c r="BW113" s="44"/>
      <c r="BX113" s="44"/>
      <c r="BY113" s="44"/>
      <c r="BZ113" s="44"/>
      <c r="CA113" s="44"/>
      <c r="CB113" s="44"/>
      <c r="CC113" s="44"/>
      <c r="CD113" s="44"/>
      <c r="CE113" s="44"/>
      <c r="CF113" s="44"/>
      <c r="CG113" s="41"/>
      <c r="CH113" s="41"/>
      <c r="CI113" s="39"/>
      <c r="CJ113" s="41"/>
      <c r="CK113" s="41"/>
      <c r="CL113" s="39"/>
      <c r="EU113" s="28"/>
      <c r="EX113" s="28"/>
      <c r="FA113" s="28"/>
      <c r="FD113" s="28"/>
      <c r="FS113" s="28"/>
      <c r="GN113" s="28"/>
      <c r="GQ113" s="28"/>
      <c r="GT113" s="28"/>
      <c r="GW113" s="28"/>
      <c r="HL113" s="23"/>
    </row>
    <row r="114" spans="1:285" s="20" customFormat="1" ht="45" customHeight="1" x14ac:dyDescent="0.2">
      <c r="A114" s="39" t="s">
        <v>375</v>
      </c>
      <c r="B114" s="39" t="s">
        <v>376</v>
      </c>
      <c r="C114" s="39">
        <v>2008</v>
      </c>
      <c r="D114" s="40" t="s">
        <v>377</v>
      </c>
      <c r="E114" s="39" t="s">
        <v>160</v>
      </c>
      <c r="F114" s="39" t="s">
        <v>160</v>
      </c>
      <c r="G114" s="39"/>
      <c r="H114" s="39" t="s">
        <v>372</v>
      </c>
      <c r="I114" s="39" t="s">
        <v>277</v>
      </c>
      <c r="J114" s="39" t="s">
        <v>379</v>
      </c>
      <c r="K114" s="39" t="s">
        <v>514</v>
      </c>
      <c r="L114" s="39" t="s">
        <v>265</v>
      </c>
      <c r="M114" s="39" t="s">
        <v>268</v>
      </c>
      <c r="N114" s="41">
        <v>16</v>
      </c>
      <c r="O114" s="41"/>
      <c r="P114" s="41"/>
      <c r="Q114" s="41">
        <v>300</v>
      </c>
      <c r="R114" s="41">
        <v>2000</v>
      </c>
      <c r="S114" s="41"/>
      <c r="T114" s="41"/>
      <c r="U114" s="41"/>
      <c r="V114" s="41"/>
      <c r="W114" s="41"/>
      <c r="X114" s="41"/>
      <c r="Y114" s="41"/>
      <c r="Z114" s="41"/>
      <c r="AA114" s="41"/>
      <c r="AB114" s="41"/>
      <c r="AC114" s="41"/>
      <c r="AD114" s="41"/>
      <c r="AE114" s="41">
        <v>0</v>
      </c>
      <c r="AF114" s="39">
        <v>1.2</v>
      </c>
      <c r="AG114" s="39"/>
      <c r="AH114" s="39" t="s">
        <v>577</v>
      </c>
      <c r="AI114" s="39" t="s">
        <v>66</v>
      </c>
      <c r="AJ114" s="39"/>
      <c r="AK114" s="39"/>
      <c r="AL114" s="39"/>
      <c r="AM114" s="39"/>
      <c r="AN114" s="39" t="s">
        <v>380</v>
      </c>
      <c r="AO114" s="40" t="s">
        <v>28</v>
      </c>
      <c r="AP114" s="40"/>
      <c r="AQ114" s="42">
        <v>399</v>
      </c>
      <c r="AR114" s="43">
        <v>311</v>
      </c>
      <c r="AS114" s="40" t="s">
        <v>113</v>
      </c>
      <c r="AT114" s="45" t="s">
        <v>381</v>
      </c>
      <c r="AU114" s="42" t="s">
        <v>382</v>
      </c>
      <c r="AV114" s="40" t="s">
        <v>115</v>
      </c>
      <c r="AW114" s="44">
        <v>7.74</v>
      </c>
      <c r="AX114" s="44">
        <v>4.08</v>
      </c>
      <c r="AY114" s="40" t="s">
        <v>113</v>
      </c>
      <c r="AZ114" s="42">
        <v>0.68</v>
      </c>
      <c r="BA114" s="42">
        <v>0.03</v>
      </c>
      <c r="BB114" s="44" t="s">
        <v>115</v>
      </c>
      <c r="BC114" s="46">
        <v>-0.02</v>
      </c>
      <c r="BD114" s="42">
        <v>0.02</v>
      </c>
      <c r="BE114" s="44" t="s">
        <v>116</v>
      </c>
      <c r="BF114" s="46">
        <v>0.33333333333333331</v>
      </c>
      <c r="BG114" s="42"/>
      <c r="BH114" s="44" t="s">
        <v>116</v>
      </c>
      <c r="BI114" s="42"/>
      <c r="BJ114" s="42"/>
      <c r="BK114" s="44"/>
      <c r="BL114" s="47"/>
      <c r="BM114" s="44"/>
      <c r="BN114" s="44"/>
      <c r="BO114" s="42"/>
      <c r="BP114" s="44"/>
      <c r="BQ114" s="44"/>
      <c r="BR114" s="44"/>
      <c r="BS114" s="44"/>
      <c r="BT114" s="44"/>
      <c r="BU114" s="44"/>
      <c r="BV114" s="44"/>
      <c r="BW114" s="44"/>
      <c r="BX114" s="44"/>
      <c r="BY114" s="44"/>
      <c r="BZ114" s="44"/>
      <c r="CA114" s="44"/>
      <c r="CB114" s="44"/>
      <c r="CC114" s="44"/>
      <c r="CD114" s="44"/>
      <c r="CE114" s="44"/>
      <c r="CF114" s="44"/>
      <c r="CG114" s="41"/>
      <c r="CH114" s="41"/>
      <c r="CI114" s="39"/>
      <c r="CJ114" s="41"/>
      <c r="CK114" s="41"/>
      <c r="CL114" s="39"/>
      <c r="EU114" s="28"/>
      <c r="EX114" s="28"/>
      <c r="FA114" s="28"/>
      <c r="FD114" s="28"/>
      <c r="FS114" s="28"/>
      <c r="GN114" s="28"/>
      <c r="GQ114" s="28"/>
      <c r="GT114" s="28"/>
      <c r="GW114" s="28"/>
      <c r="HL114" s="23"/>
    </row>
    <row r="115" spans="1:285" s="39" customFormat="1" ht="45" customHeight="1" x14ac:dyDescent="0.2">
      <c r="A115" s="39" t="s">
        <v>157</v>
      </c>
      <c r="B115" s="39" t="s">
        <v>158</v>
      </c>
      <c r="C115" s="39">
        <v>2012</v>
      </c>
      <c r="D115" s="40" t="s">
        <v>159</v>
      </c>
      <c r="E115" s="39" t="s">
        <v>160</v>
      </c>
      <c r="F115" s="39" t="s">
        <v>160</v>
      </c>
      <c r="G115" s="39" t="s">
        <v>161</v>
      </c>
      <c r="H115" s="39" t="s">
        <v>372</v>
      </c>
      <c r="I115" s="39" t="s">
        <v>277</v>
      </c>
      <c r="J115" s="39" t="s">
        <v>305</v>
      </c>
      <c r="K115" s="39" t="s">
        <v>449</v>
      </c>
      <c r="L115" s="39" t="s">
        <v>265</v>
      </c>
      <c r="M115" s="39" t="s">
        <v>268</v>
      </c>
      <c r="N115" s="41">
        <v>16</v>
      </c>
      <c r="O115" s="41"/>
      <c r="P115" s="41"/>
      <c r="Q115" s="41">
        <v>800</v>
      </c>
      <c r="R115" s="41">
        <v>2000</v>
      </c>
      <c r="S115" s="41"/>
      <c r="T115" s="41"/>
      <c r="U115" s="41"/>
      <c r="V115" s="41"/>
      <c r="W115" s="41"/>
      <c r="X115" s="41"/>
      <c r="Y115" s="41"/>
      <c r="Z115" s="41"/>
      <c r="AA115" s="41"/>
      <c r="AB115" s="41"/>
      <c r="AC115" s="41"/>
      <c r="AD115" s="41"/>
      <c r="AE115" s="41">
        <v>0</v>
      </c>
      <c r="AF115" s="39">
        <v>0.62</v>
      </c>
      <c r="AH115" s="39" t="s">
        <v>577</v>
      </c>
      <c r="AI115" s="39" t="s">
        <v>66</v>
      </c>
      <c r="AN115" s="39" t="s">
        <v>61</v>
      </c>
      <c r="AO115" s="40" t="s">
        <v>28</v>
      </c>
      <c r="AP115" s="40" t="s">
        <v>370</v>
      </c>
      <c r="AQ115" s="42">
        <v>288</v>
      </c>
      <c r="AR115" s="43">
        <v>38</v>
      </c>
      <c r="AS115" s="40" t="s">
        <v>113</v>
      </c>
      <c r="AT115" s="45">
        <v>1.5</v>
      </c>
      <c r="AU115" s="42">
        <v>0.02</v>
      </c>
      <c r="AV115" s="40" t="s">
        <v>115</v>
      </c>
      <c r="AW115" s="44">
        <v>25</v>
      </c>
      <c r="AX115" s="44">
        <v>3</v>
      </c>
      <c r="AY115" s="40" t="s">
        <v>113</v>
      </c>
      <c r="AZ115" s="42">
        <v>0.83</v>
      </c>
      <c r="BA115" s="42">
        <v>2</v>
      </c>
      <c r="BB115" s="44" t="s">
        <v>115</v>
      </c>
      <c r="BC115" s="46">
        <v>-0.2</v>
      </c>
      <c r="BD115" s="42">
        <v>0.02</v>
      </c>
      <c r="BE115" s="44" t="s">
        <v>116</v>
      </c>
      <c r="BF115" s="46">
        <v>1</v>
      </c>
      <c r="BG115" s="42"/>
      <c r="BH115" s="44" t="s">
        <v>116</v>
      </c>
      <c r="BI115" s="42"/>
      <c r="BJ115" s="42"/>
      <c r="BK115" s="44"/>
      <c r="BL115" s="47"/>
      <c r="BM115" s="44"/>
      <c r="BN115" s="44"/>
      <c r="BO115" s="42"/>
      <c r="BP115" s="44"/>
      <c r="BQ115" s="44"/>
      <c r="BR115" s="44"/>
      <c r="BS115" s="44"/>
      <c r="BT115" s="44"/>
      <c r="BU115" s="44"/>
      <c r="BV115" s="44"/>
      <c r="BW115" s="44"/>
      <c r="BX115" s="44"/>
      <c r="BY115" s="44"/>
      <c r="BZ115" s="44"/>
      <c r="CA115" s="44"/>
      <c r="CB115" s="44"/>
      <c r="CC115" s="44"/>
      <c r="CD115" s="44"/>
      <c r="CE115" s="44"/>
      <c r="CF115" s="44"/>
      <c r="CG115" s="41"/>
      <c r="CH115" s="41"/>
      <c r="CJ115" s="41"/>
      <c r="CK115" s="41"/>
      <c r="EU115" s="41"/>
      <c r="EX115" s="41"/>
      <c r="FA115" s="41"/>
      <c r="FD115" s="41"/>
      <c r="FS115" s="41"/>
      <c r="GN115" s="41"/>
      <c r="GQ115" s="41"/>
      <c r="GT115" s="41"/>
      <c r="GW115" s="41"/>
      <c r="HL115" s="43"/>
    </row>
    <row r="116" spans="1:285" s="39" customFormat="1" ht="45" customHeight="1" x14ac:dyDescent="0.2">
      <c r="A116" s="39" t="s">
        <v>162</v>
      </c>
      <c r="B116" s="39" t="s">
        <v>163</v>
      </c>
      <c r="C116" s="39">
        <v>2018</v>
      </c>
      <c r="D116" s="40" t="s">
        <v>164</v>
      </c>
      <c r="E116" s="39" t="s">
        <v>160</v>
      </c>
      <c r="F116" s="39" t="s">
        <v>160</v>
      </c>
      <c r="G116" s="39" t="s">
        <v>165</v>
      </c>
      <c r="H116" s="39" t="s">
        <v>383</v>
      </c>
      <c r="I116" s="39" t="s">
        <v>374</v>
      </c>
      <c r="J116" s="39" t="s">
        <v>296</v>
      </c>
      <c r="K116" s="39" t="s">
        <v>443</v>
      </c>
      <c r="L116" s="39" t="s">
        <v>265</v>
      </c>
      <c r="M116" s="39" t="s">
        <v>269</v>
      </c>
      <c r="N116" s="41">
        <v>16</v>
      </c>
      <c r="O116" s="41"/>
      <c r="P116" s="41"/>
      <c r="Q116" s="41">
        <v>1000</v>
      </c>
      <c r="R116" s="41">
        <v>1200</v>
      </c>
      <c r="S116" s="41"/>
      <c r="T116" s="41"/>
      <c r="U116" s="41"/>
      <c r="V116" s="41"/>
      <c r="W116" s="41"/>
      <c r="X116" s="41"/>
      <c r="Y116" s="41"/>
      <c r="Z116" s="41"/>
      <c r="AA116" s="41"/>
      <c r="AB116" s="41"/>
      <c r="AC116" s="41"/>
      <c r="AD116" s="41"/>
      <c r="AE116" s="41">
        <v>0.9</v>
      </c>
      <c r="AF116" s="39">
        <v>2.4</v>
      </c>
      <c r="AH116" s="39" t="s">
        <v>577</v>
      </c>
      <c r="AI116" s="39" t="s">
        <v>66</v>
      </c>
      <c r="AO116" s="40" t="s">
        <v>261</v>
      </c>
      <c r="AP116" s="40" t="s">
        <v>384</v>
      </c>
      <c r="AQ116" s="42">
        <v>0.46605999999999997</v>
      </c>
      <c r="AR116" s="43">
        <v>0.33</v>
      </c>
      <c r="AS116" s="40" t="s">
        <v>112</v>
      </c>
      <c r="AT116" s="45">
        <v>0.77729999999999999</v>
      </c>
      <c r="AU116" s="42">
        <v>6.2190000000000002E-2</v>
      </c>
      <c r="AV116" s="40" t="s">
        <v>115</v>
      </c>
      <c r="AW116" s="44">
        <v>399</v>
      </c>
      <c r="AX116" s="44">
        <v>311</v>
      </c>
      <c r="AY116" s="40" t="s">
        <v>113</v>
      </c>
      <c r="AZ116" s="42" t="s">
        <v>381</v>
      </c>
      <c r="BA116" s="42" t="s">
        <v>382</v>
      </c>
      <c r="BB116" s="44" t="s">
        <v>115</v>
      </c>
      <c r="BC116" s="46"/>
      <c r="BD116" s="42"/>
      <c r="BE116" s="44"/>
      <c r="BF116" s="46"/>
      <c r="BG116" s="42"/>
      <c r="BH116" s="44"/>
      <c r="BI116" s="42"/>
      <c r="BJ116" s="42"/>
      <c r="BK116" s="44"/>
      <c r="BL116" s="47"/>
      <c r="BM116" s="44"/>
      <c r="BN116" s="44"/>
      <c r="BO116" s="42"/>
      <c r="BP116" s="44"/>
      <c r="BQ116" s="44"/>
      <c r="BR116" s="44"/>
      <c r="BS116" s="44"/>
      <c r="BT116" s="44"/>
      <c r="BU116" s="44"/>
      <c r="BV116" s="44"/>
      <c r="BW116" s="44"/>
      <c r="BX116" s="44"/>
      <c r="BY116" s="44"/>
      <c r="BZ116" s="44"/>
      <c r="CA116" s="44"/>
      <c r="CB116" s="44"/>
      <c r="CC116" s="44"/>
      <c r="CD116" s="44"/>
      <c r="CE116" s="44"/>
      <c r="CF116" s="44"/>
      <c r="CG116" s="41"/>
      <c r="CH116" s="41"/>
      <c r="CJ116" s="41"/>
      <c r="CK116" s="41"/>
      <c r="EU116" s="41"/>
      <c r="EX116" s="41"/>
      <c r="FA116" s="41"/>
      <c r="FD116" s="41"/>
      <c r="FS116" s="41"/>
      <c r="GN116" s="41"/>
      <c r="GQ116" s="41"/>
      <c r="GT116" s="41"/>
      <c r="GW116" s="41"/>
      <c r="HL116" s="43"/>
    </row>
    <row r="117" spans="1:285" ht="45" customHeight="1" x14ac:dyDescent="0.2">
      <c r="A117" s="39" t="s">
        <v>162</v>
      </c>
      <c r="B117" s="39" t="s">
        <v>163</v>
      </c>
      <c r="C117" s="39">
        <v>2018</v>
      </c>
      <c r="D117" s="40" t="s">
        <v>164</v>
      </c>
      <c r="E117" s="39" t="s">
        <v>160</v>
      </c>
      <c r="F117" s="39" t="s">
        <v>160</v>
      </c>
      <c r="G117" s="39" t="s">
        <v>165</v>
      </c>
      <c r="H117" s="39" t="s">
        <v>383</v>
      </c>
      <c r="I117" s="39" t="s">
        <v>374</v>
      </c>
      <c r="J117" s="39" t="s">
        <v>296</v>
      </c>
      <c r="K117" s="39" t="s">
        <v>444</v>
      </c>
      <c r="L117" s="39" t="s">
        <v>265</v>
      </c>
      <c r="M117" s="39" t="s">
        <v>269</v>
      </c>
      <c r="N117" s="41">
        <v>16</v>
      </c>
      <c r="O117" s="41"/>
      <c r="P117" s="41"/>
      <c r="Q117" s="41">
        <v>1000</v>
      </c>
      <c r="R117" s="41">
        <v>1200</v>
      </c>
      <c r="S117" s="41"/>
      <c r="T117" s="41"/>
      <c r="U117" s="41"/>
      <c r="V117" s="41"/>
      <c r="W117" s="41"/>
      <c r="X117" s="41"/>
      <c r="Y117" s="41"/>
      <c r="Z117" s="41"/>
      <c r="AA117" s="41"/>
      <c r="AB117" s="41"/>
      <c r="AC117" s="41"/>
      <c r="AD117" s="41"/>
      <c r="AE117" s="41">
        <v>0.9</v>
      </c>
      <c r="AF117" s="39">
        <v>2.4</v>
      </c>
      <c r="AG117" s="39"/>
      <c r="AH117" s="39" t="s">
        <v>577</v>
      </c>
      <c r="AI117" s="39" t="s">
        <v>66</v>
      </c>
      <c r="AJ117" s="39"/>
      <c r="AK117" s="39"/>
      <c r="AL117" s="39"/>
      <c r="AM117" s="39"/>
      <c r="AN117" s="39"/>
      <c r="AO117" s="40" t="s">
        <v>263</v>
      </c>
      <c r="AP117" s="40" t="s">
        <v>384</v>
      </c>
      <c r="AQ117" s="42">
        <v>2.7410000000000001</v>
      </c>
      <c r="AR117" s="43">
        <v>0.48</v>
      </c>
      <c r="AS117" s="40" t="s">
        <v>112</v>
      </c>
      <c r="AT117" s="45">
        <v>1.4095</v>
      </c>
      <c r="AU117" s="42">
        <v>0.114</v>
      </c>
      <c r="AV117" s="40" t="s">
        <v>115</v>
      </c>
      <c r="AW117" s="44">
        <v>399</v>
      </c>
      <c r="AX117" s="44">
        <v>311</v>
      </c>
      <c r="AY117" s="40" t="s">
        <v>113</v>
      </c>
      <c r="AZ117" s="42" t="s">
        <v>381</v>
      </c>
      <c r="BA117" s="42" t="s">
        <v>382</v>
      </c>
      <c r="BB117" s="44" t="s">
        <v>115</v>
      </c>
      <c r="BC117" s="46"/>
      <c r="BD117" s="42"/>
      <c r="BE117" s="44"/>
      <c r="BF117" s="46"/>
      <c r="BG117" s="42"/>
      <c r="BH117" s="44"/>
      <c r="BI117" s="42"/>
      <c r="BJ117" s="42"/>
      <c r="BK117" s="44"/>
      <c r="BL117" s="47"/>
      <c r="BM117" s="44"/>
      <c r="BN117" s="44"/>
      <c r="BO117" s="42"/>
      <c r="BP117" s="44"/>
      <c r="BQ117" s="44"/>
      <c r="BR117" s="44"/>
      <c r="BS117" s="44"/>
      <c r="BT117" s="44"/>
      <c r="BU117" s="44"/>
      <c r="BV117" s="44"/>
      <c r="BW117" s="44"/>
      <c r="BX117" s="44"/>
      <c r="BY117" s="44"/>
      <c r="BZ117" s="44"/>
      <c r="CA117" s="44"/>
      <c r="CB117" s="44"/>
      <c r="CC117" s="44"/>
      <c r="CD117" s="44"/>
      <c r="CE117" s="44"/>
      <c r="CF117" s="44"/>
      <c r="CG117" s="41"/>
      <c r="CH117" s="41"/>
      <c r="CI117" s="39"/>
      <c r="CJ117" s="41"/>
      <c r="CK117" s="41"/>
      <c r="CL117" s="39"/>
    </row>
    <row r="118" spans="1:285" ht="45" customHeight="1" x14ac:dyDescent="0.2">
      <c r="A118" s="39" t="s">
        <v>162</v>
      </c>
      <c r="B118" s="39" t="s">
        <v>163</v>
      </c>
      <c r="C118" s="39">
        <v>2018</v>
      </c>
      <c r="D118" s="40" t="s">
        <v>164</v>
      </c>
      <c r="E118" s="39" t="s">
        <v>160</v>
      </c>
      <c r="F118" s="39" t="s">
        <v>160</v>
      </c>
      <c r="G118" s="39" t="s">
        <v>165</v>
      </c>
      <c r="H118" s="39" t="s">
        <v>383</v>
      </c>
      <c r="I118" s="39" t="s">
        <v>374</v>
      </c>
      <c r="J118" s="39" t="s">
        <v>296</v>
      </c>
      <c r="K118" s="39" t="s">
        <v>445</v>
      </c>
      <c r="L118" s="39" t="s">
        <v>265</v>
      </c>
      <c r="M118" s="39" t="s">
        <v>269</v>
      </c>
      <c r="N118" s="41">
        <v>16</v>
      </c>
      <c r="O118" s="41"/>
      <c r="P118" s="41"/>
      <c r="Q118" s="41">
        <v>1000</v>
      </c>
      <c r="R118" s="41">
        <v>1200</v>
      </c>
      <c r="S118" s="41"/>
      <c r="T118" s="41"/>
      <c r="U118" s="41"/>
      <c r="V118" s="41"/>
      <c r="W118" s="41"/>
      <c r="X118" s="41"/>
      <c r="Y118" s="41"/>
      <c r="Z118" s="41"/>
      <c r="AA118" s="41"/>
      <c r="AB118" s="41"/>
      <c r="AC118" s="41"/>
      <c r="AD118" s="41"/>
      <c r="AE118" s="41">
        <v>0.9</v>
      </c>
      <c r="AF118" s="39">
        <v>2.4</v>
      </c>
      <c r="AG118" s="39"/>
      <c r="AH118" s="39" t="s">
        <v>577</v>
      </c>
      <c r="AI118" s="39" t="s">
        <v>66</v>
      </c>
      <c r="AJ118" s="39"/>
      <c r="AK118" s="39"/>
      <c r="AL118" s="39"/>
      <c r="AM118" s="39"/>
      <c r="AN118" s="39"/>
      <c r="AO118" s="40" t="s">
        <v>262</v>
      </c>
      <c r="AP118" s="40" t="s">
        <v>384</v>
      </c>
      <c r="AQ118" s="52">
        <v>1.2809999999999999</v>
      </c>
      <c r="AR118" s="43">
        <v>0.6</v>
      </c>
      <c r="AS118" s="40" t="s">
        <v>112</v>
      </c>
      <c r="AT118" s="45">
        <v>1.026</v>
      </c>
      <c r="AU118" s="42">
        <v>0.155</v>
      </c>
      <c r="AV118" s="40" t="s">
        <v>115</v>
      </c>
      <c r="AW118" s="44">
        <v>399</v>
      </c>
      <c r="AX118" s="44">
        <v>311</v>
      </c>
      <c r="AY118" s="40" t="s">
        <v>113</v>
      </c>
      <c r="AZ118" s="42" t="s">
        <v>381</v>
      </c>
      <c r="BA118" s="42" t="s">
        <v>382</v>
      </c>
      <c r="BB118" s="44" t="s">
        <v>115</v>
      </c>
      <c r="BC118" s="46"/>
      <c r="BD118" s="42"/>
      <c r="BE118" s="44"/>
      <c r="BF118" s="46"/>
      <c r="BG118" s="42"/>
      <c r="BH118" s="44"/>
      <c r="BI118" s="42"/>
      <c r="BJ118" s="42"/>
      <c r="BK118" s="44"/>
      <c r="BL118" s="47"/>
      <c r="BM118" s="44"/>
      <c r="BN118" s="44"/>
      <c r="BO118" s="42"/>
      <c r="BP118" s="44"/>
      <c r="BQ118" s="44"/>
      <c r="BR118" s="44"/>
      <c r="BS118" s="44"/>
      <c r="BT118" s="44"/>
      <c r="BU118" s="44"/>
      <c r="BV118" s="44"/>
      <c r="BW118" s="44"/>
      <c r="BX118" s="44"/>
      <c r="BY118" s="44"/>
      <c r="BZ118" s="44"/>
      <c r="CA118" s="44"/>
      <c r="CB118" s="44"/>
      <c r="CC118" s="44"/>
      <c r="CD118" s="44"/>
      <c r="CE118" s="44"/>
      <c r="CF118" s="44"/>
      <c r="CG118" s="41"/>
      <c r="CH118" s="41"/>
      <c r="CI118" s="39"/>
      <c r="CJ118" s="41"/>
      <c r="CK118" s="41"/>
      <c r="CL118" s="39"/>
    </row>
    <row r="119" spans="1:285" s="74" customFormat="1" ht="45" customHeight="1" x14ac:dyDescent="0.2">
      <c r="A119" s="74" t="s">
        <v>601</v>
      </c>
      <c r="B119" s="74" t="s">
        <v>602</v>
      </c>
      <c r="C119" s="74">
        <v>2011</v>
      </c>
      <c r="D119" s="75" t="s">
        <v>603</v>
      </c>
      <c r="E119" s="74" t="s">
        <v>604</v>
      </c>
      <c r="F119" s="74" t="s">
        <v>604</v>
      </c>
      <c r="G119" s="74" t="s">
        <v>605</v>
      </c>
      <c r="H119" s="74" t="s">
        <v>606</v>
      </c>
      <c r="I119" s="74" t="s">
        <v>825</v>
      </c>
      <c r="J119" s="74" t="s">
        <v>821</v>
      </c>
      <c r="K119" s="74" t="s">
        <v>822</v>
      </c>
      <c r="L119" s="74" t="s">
        <v>265</v>
      </c>
      <c r="M119" s="74" t="s">
        <v>269</v>
      </c>
      <c r="N119" s="74">
        <v>1</v>
      </c>
      <c r="O119" s="74">
        <v>1E-3</v>
      </c>
      <c r="P119" s="74">
        <v>2</v>
      </c>
      <c r="Q119" s="74">
        <v>1073</v>
      </c>
      <c r="R119" s="74">
        <v>1673</v>
      </c>
      <c r="S119" s="74">
        <v>1</v>
      </c>
      <c r="T119" s="74">
        <v>10</v>
      </c>
      <c r="U119" s="74">
        <v>5</v>
      </c>
      <c r="V119" s="74">
        <v>40</v>
      </c>
      <c r="W119" s="74">
        <v>80</v>
      </c>
      <c r="X119" s="74">
        <v>60</v>
      </c>
      <c r="AE119" s="74">
        <v>0</v>
      </c>
      <c r="AF119" s="74">
        <v>6</v>
      </c>
      <c r="AH119" s="74" t="s">
        <v>607</v>
      </c>
      <c r="AI119" s="74" t="s">
        <v>66</v>
      </c>
      <c r="AO119" s="75" t="s">
        <v>28</v>
      </c>
      <c r="AP119" s="75" t="s">
        <v>608</v>
      </c>
      <c r="AQ119" s="76">
        <v>6674.3615622942798</v>
      </c>
      <c r="AR119" s="77"/>
      <c r="AS119" s="75" t="s">
        <v>609</v>
      </c>
      <c r="AT119" s="78">
        <v>7.0916741719039998E-15</v>
      </c>
      <c r="AU119" s="76"/>
      <c r="AV119" s="75" t="s">
        <v>610</v>
      </c>
      <c r="AW119" s="78">
        <v>5.73165E-21</v>
      </c>
      <c r="AX119" s="75"/>
      <c r="AY119" s="75" t="s">
        <v>611</v>
      </c>
      <c r="AZ119" s="76">
        <v>4.0419999999999997E-20</v>
      </c>
      <c r="BA119" s="76"/>
      <c r="BB119" s="79" t="s">
        <v>612</v>
      </c>
      <c r="BC119" s="80">
        <v>-1084.2621288939099</v>
      </c>
      <c r="BD119" s="76"/>
      <c r="BE119" s="79" t="s">
        <v>613</v>
      </c>
      <c r="BF119" s="80">
        <f>20.7088*1000</f>
        <v>20708.8</v>
      </c>
      <c r="BG119" s="76"/>
      <c r="BH119" s="79" t="s">
        <v>614</v>
      </c>
      <c r="BI119" s="76">
        <v>-1000</v>
      </c>
      <c r="BJ119" s="76"/>
      <c r="BK119" s="79" t="s">
        <v>615</v>
      </c>
      <c r="BL119" s="81">
        <v>28.107214086799999</v>
      </c>
      <c r="BM119" s="79"/>
      <c r="BN119" s="79" t="s">
        <v>616</v>
      </c>
      <c r="BO119" s="76">
        <v>-0.30953383000000001</v>
      </c>
      <c r="BP119" s="79"/>
      <c r="BQ119" s="79" t="s">
        <v>617</v>
      </c>
      <c r="BR119" s="79">
        <v>4.035372E-4</v>
      </c>
      <c r="BS119" s="79"/>
      <c r="BT119" s="79" t="s">
        <v>618</v>
      </c>
      <c r="BU119" s="79">
        <v>1.6782775000000001E-3</v>
      </c>
      <c r="BV119" s="79"/>
      <c r="BW119" s="79" t="s">
        <v>619</v>
      </c>
      <c r="BX119" s="79">
        <v>0.1189143906</v>
      </c>
      <c r="BY119" s="79"/>
      <c r="BZ119" s="79" t="s">
        <v>830</v>
      </c>
      <c r="CA119" s="79">
        <v>-1.0946261696999999</v>
      </c>
      <c r="CB119" s="79"/>
      <c r="CC119" s="79" t="s">
        <v>621</v>
      </c>
      <c r="CD119" s="79">
        <v>-0.2161950362</v>
      </c>
      <c r="CE119" s="79"/>
      <c r="CF119" s="79" t="s">
        <v>622</v>
      </c>
      <c r="CG119" s="82">
        <v>-0.91686594399999999</v>
      </c>
      <c r="CH119" s="82"/>
      <c r="CI119" s="74" t="s">
        <v>623</v>
      </c>
      <c r="CJ119" s="76">
        <v>6674.3615622942798</v>
      </c>
      <c r="CK119" s="77"/>
      <c r="CL119" s="75" t="s">
        <v>609</v>
      </c>
      <c r="CM119" s="78">
        <v>7.0916741719039998E-15</v>
      </c>
      <c r="CN119" s="76"/>
      <c r="CO119" s="75" t="s">
        <v>610</v>
      </c>
      <c r="CP119" s="78">
        <v>5.73165E-21</v>
      </c>
      <c r="CQ119" s="75"/>
      <c r="CR119" s="75" t="s">
        <v>611</v>
      </c>
      <c r="CS119" s="76">
        <v>4.0419999999999997E-20</v>
      </c>
      <c r="CT119" s="76"/>
      <c r="CU119" s="79" t="s">
        <v>612</v>
      </c>
      <c r="CV119" s="78">
        <v>-1084.2621288939099</v>
      </c>
      <c r="CW119" s="76"/>
      <c r="CX119" s="79" t="s">
        <v>613</v>
      </c>
      <c r="CY119" s="78">
        <f>20.7088*1000</f>
        <v>20708.8</v>
      </c>
      <c r="CZ119" s="76"/>
      <c r="DA119" s="79" t="s">
        <v>614</v>
      </c>
      <c r="DB119" s="78">
        <v>-1000</v>
      </c>
      <c r="DC119" s="76"/>
      <c r="DD119" s="79" t="s">
        <v>615</v>
      </c>
      <c r="DE119" s="77">
        <v>28.107214086799999</v>
      </c>
      <c r="DF119" s="79"/>
      <c r="DG119" s="79" t="s">
        <v>616</v>
      </c>
      <c r="DH119" s="76">
        <v>-0.30953383000000001</v>
      </c>
      <c r="DI119" s="79"/>
      <c r="DJ119" s="79" t="s">
        <v>617</v>
      </c>
      <c r="DK119" s="79">
        <v>4.035372E-4</v>
      </c>
      <c r="DL119" s="79"/>
      <c r="DM119" s="79" t="s">
        <v>618</v>
      </c>
      <c r="DN119" s="79">
        <v>1.6782775000000001E-3</v>
      </c>
      <c r="DO119" s="79"/>
      <c r="DP119" s="79" t="s">
        <v>619</v>
      </c>
      <c r="DQ119" s="79">
        <v>0.1189143906</v>
      </c>
      <c r="DR119" s="79"/>
      <c r="DS119" s="79" t="s">
        <v>830</v>
      </c>
      <c r="DT119" s="79">
        <v>-1.0946261696999999</v>
      </c>
      <c r="DU119" s="79"/>
      <c r="DV119" s="79" t="s">
        <v>621</v>
      </c>
      <c r="DW119" s="79">
        <v>-0.2161950362</v>
      </c>
      <c r="DX119" s="79"/>
      <c r="DY119" s="79" t="s">
        <v>622</v>
      </c>
      <c r="DZ119" s="82">
        <v>-0.91686594399999999</v>
      </c>
      <c r="EA119" s="82"/>
      <c r="EB119" s="74" t="s">
        <v>623</v>
      </c>
      <c r="EC119" s="74">
        <v>0</v>
      </c>
      <c r="EE119" s="74" t="s">
        <v>624</v>
      </c>
      <c r="EF119" s="74">
        <v>50</v>
      </c>
      <c r="EH119" s="74" t="s">
        <v>625</v>
      </c>
      <c r="EI119" s="76">
        <v>6674.3615622942798</v>
      </c>
      <c r="EJ119" s="77"/>
      <c r="EK119" s="75" t="s">
        <v>609</v>
      </c>
      <c r="EL119" s="78">
        <v>7.0916741719039998E-15</v>
      </c>
      <c r="EM119" s="76"/>
      <c r="EN119" s="75" t="s">
        <v>610</v>
      </c>
      <c r="EO119" s="78">
        <v>5.73165E-21</v>
      </c>
      <c r="EP119" s="75"/>
      <c r="EQ119" s="75" t="s">
        <v>611</v>
      </c>
      <c r="ER119" s="76">
        <v>4.0419999999999997E-20</v>
      </c>
      <c r="ES119" s="76"/>
      <c r="ET119" s="79" t="s">
        <v>612</v>
      </c>
      <c r="EU119" s="83">
        <v>-1084.2621288939099</v>
      </c>
      <c r="EV119" s="76"/>
      <c r="EW119" s="79" t="s">
        <v>613</v>
      </c>
      <c r="EX119" s="83">
        <f>20.7088*1000</f>
        <v>20708.8</v>
      </c>
      <c r="EY119" s="76"/>
      <c r="EZ119" s="79" t="s">
        <v>614</v>
      </c>
      <c r="FA119" s="83">
        <v>-1000</v>
      </c>
      <c r="FB119" s="76"/>
      <c r="FC119" s="79" t="s">
        <v>615</v>
      </c>
      <c r="FD119" s="82">
        <v>28.107214086799999</v>
      </c>
      <c r="FE119" s="79"/>
      <c r="FF119" s="79" t="s">
        <v>616</v>
      </c>
      <c r="FG119" s="76">
        <v>-0.30953383000000001</v>
      </c>
      <c r="FH119" s="79"/>
      <c r="FI119" s="79" t="s">
        <v>617</v>
      </c>
      <c r="FJ119" s="79">
        <v>4.035372E-4</v>
      </c>
      <c r="FK119" s="79"/>
      <c r="FL119" s="79" t="s">
        <v>618</v>
      </c>
      <c r="FM119" s="79">
        <v>1.6782775000000001E-3</v>
      </c>
      <c r="FN119" s="79"/>
      <c r="FO119" s="79" t="s">
        <v>619</v>
      </c>
      <c r="FP119" s="79">
        <v>0.1189143906</v>
      </c>
      <c r="FQ119" s="79"/>
      <c r="FR119" s="79" t="s">
        <v>620</v>
      </c>
      <c r="FS119" s="82">
        <v>-1.0946261696999999</v>
      </c>
      <c r="FT119" s="79"/>
      <c r="FU119" s="79" t="s">
        <v>621</v>
      </c>
      <c r="FV119" s="79">
        <v>-0.2161950362</v>
      </c>
      <c r="FW119" s="79"/>
      <c r="FX119" s="79" t="s">
        <v>622</v>
      </c>
      <c r="FY119" s="82">
        <v>-0.91686594399999999</v>
      </c>
      <c r="FZ119" s="82"/>
      <c r="GA119" s="74" t="s">
        <v>623</v>
      </c>
      <c r="GB119" s="76">
        <v>6674.3615622942798</v>
      </c>
      <c r="GC119" s="77"/>
      <c r="GD119" s="75" t="s">
        <v>609</v>
      </c>
      <c r="GE119" s="78">
        <v>7.0916741719039998E-15</v>
      </c>
      <c r="GF119" s="76"/>
      <c r="GG119" s="75" t="s">
        <v>610</v>
      </c>
      <c r="GH119" s="78">
        <v>5.73165E-21</v>
      </c>
      <c r="GI119" s="75"/>
      <c r="GJ119" s="75" t="s">
        <v>611</v>
      </c>
      <c r="GK119" s="76">
        <v>4.0419999999999997E-20</v>
      </c>
      <c r="GL119" s="76"/>
      <c r="GM119" s="79" t="s">
        <v>612</v>
      </c>
      <c r="GN119" s="83">
        <v>-1084.2621288939099</v>
      </c>
      <c r="GO119" s="76"/>
      <c r="GP119" s="79" t="s">
        <v>613</v>
      </c>
      <c r="GQ119" s="83">
        <f>20.7088*1000</f>
        <v>20708.8</v>
      </c>
      <c r="GR119" s="76"/>
      <c r="GS119" s="79" t="s">
        <v>614</v>
      </c>
      <c r="GT119" s="83">
        <v>-1000</v>
      </c>
      <c r="GU119" s="76"/>
      <c r="GV119" s="79" t="s">
        <v>615</v>
      </c>
      <c r="GW119" s="82">
        <v>17.854828260000001</v>
      </c>
      <c r="GX119" s="79"/>
      <c r="GY119" s="79" t="s">
        <v>616</v>
      </c>
      <c r="GZ119" s="76">
        <v>-5.2183931000000003E-2</v>
      </c>
      <c r="HA119" s="79"/>
      <c r="HB119" s="79" t="s">
        <v>617</v>
      </c>
      <c r="HC119" s="79">
        <v>-1.1716229999999999E-3</v>
      </c>
      <c r="HD119" s="79"/>
      <c r="HE119" s="79" t="s">
        <v>618</v>
      </c>
      <c r="HF119" s="79">
        <v>1.0092670000000001E-3</v>
      </c>
      <c r="HG119" s="79"/>
      <c r="HH119" s="79" t="s">
        <v>619</v>
      </c>
      <c r="HI119" s="79">
        <v>8.7459670000000003E-2</v>
      </c>
      <c r="HJ119" s="79"/>
      <c r="HK119" s="79" t="s">
        <v>830</v>
      </c>
      <c r="HL119" s="77">
        <v>-0.70747724300000003</v>
      </c>
      <c r="HM119" s="79"/>
      <c r="HN119" s="79" t="s">
        <v>621</v>
      </c>
      <c r="HO119" s="79">
        <v>-0.43309211800000003</v>
      </c>
      <c r="HP119" s="79"/>
      <c r="HQ119" s="79" t="s">
        <v>622</v>
      </c>
      <c r="HR119" s="82">
        <v>-0.91925220500000004</v>
      </c>
      <c r="HS119" s="82"/>
      <c r="HT119" s="74" t="s">
        <v>623</v>
      </c>
      <c r="HU119" s="74">
        <v>50</v>
      </c>
      <c r="HW119" s="74" t="s">
        <v>624</v>
      </c>
      <c r="HX119" s="74">
        <v>70</v>
      </c>
      <c r="HZ119" s="74" t="s">
        <v>625</v>
      </c>
      <c r="IA119" s="76">
        <v>6674.3615622942798</v>
      </c>
      <c r="IB119" s="77"/>
      <c r="IC119" s="75" t="s">
        <v>609</v>
      </c>
      <c r="ID119" s="78">
        <v>7.0916741719039998E-15</v>
      </c>
      <c r="IE119" s="76"/>
      <c r="IF119" s="75" t="s">
        <v>610</v>
      </c>
      <c r="IG119" s="78">
        <v>5.73165E-21</v>
      </c>
      <c r="IH119" s="75"/>
      <c r="II119" s="75" t="s">
        <v>611</v>
      </c>
      <c r="IJ119" s="76">
        <v>4.0419999999999997E-20</v>
      </c>
      <c r="IK119" s="76"/>
      <c r="IL119" s="79" t="s">
        <v>612</v>
      </c>
      <c r="IM119" s="83">
        <v>-1084.2621288939099</v>
      </c>
      <c r="IN119" s="76"/>
      <c r="IO119" s="79" t="s">
        <v>613</v>
      </c>
      <c r="IP119" s="83">
        <f>20.7088*1000</f>
        <v>20708.8</v>
      </c>
      <c r="IQ119" s="76"/>
      <c r="IR119" s="79" t="s">
        <v>614</v>
      </c>
      <c r="IS119" s="83">
        <v>-1000</v>
      </c>
      <c r="IT119" s="76"/>
      <c r="IU119" s="79" t="s">
        <v>615</v>
      </c>
      <c r="IV119" s="82">
        <v>-19.08557442</v>
      </c>
      <c r="IW119" s="79"/>
      <c r="IX119" s="79" t="s">
        <v>616</v>
      </c>
      <c r="IY119" s="76">
        <v>0.48973486900000002</v>
      </c>
      <c r="IZ119" s="79"/>
      <c r="JA119" s="79" t="s">
        <v>617</v>
      </c>
      <c r="JB119" s="79">
        <v>-3.5539360000000002E-3</v>
      </c>
      <c r="JC119" s="79"/>
      <c r="JD119" s="79" t="s">
        <v>618</v>
      </c>
      <c r="JE119" s="79">
        <v>1.3060840000000001E-3</v>
      </c>
      <c r="JF119" s="79"/>
      <c r="JG119" s="79" t="s">
        <v>619</v>
      </c>
      <c r="JH119" s="79">
        <v>0.29088441500000001</v>
      </c>
      <c r="JI119" s="79"/>
      <c r="JJ119" s="79" t="s">
        <v>830</v>
      </c>
      <c r="JK119" s="77">
        <v>0</v>
      </c>
      <c r="JL119" s="79"/>
      <c r="JM119" s="79" t="s">
        <v>621</v>
      </c>
      <c r="JN119" s="79">
        <v>-0.51247133600000006</v>
      </c>
      <c r="JO119" s="79"/>
      <c r="JP119" s="79" t="s">
        <v>622</v>
      </c>
      <c r="JQ119" s="82">
        <v>-1.143904969</v>
      </c>
      <c r="JR119" s="82"/>
      <c r="JS119" s="74" t="s">
        <v>623</v>
      </c>
      <c r="JT119" s="74">
        <v>70</v>
      </c>
      <c r="JV119" s="74" t="s">
        <v>624</v>
      </c>
      <c r="JW119" s="74">
        <v>100</v>
      </c>
      <c r="JY119" s="74" t="s">
        <v>625</v>
      </c>
    </row>
    <row r="120" spans="1:285" ht="45" customHeight="1" x14ac:dyDescent="0.2">
      <c r="A120" s="74" t="s">
        <v>601</v>
      </c>
      <c r="B120" s="74" t="s">
        <v>602</v>
      </c>
      <c r="C120" s="74">
        <v>2011</v>
      </c>
      <c r="D120" s="75" t="s">
        <v>603</v>
      </c>
      <c r="E120" s="74" t="s">
        <v>604</v>
      </c>
      <c r="F120" s="74" t="s">
        <v>823</v>
      </c>
      <c r="G120" s="74" t="s">
        <v>605</v>
      </c>
      <c r="H120" s="74" t="s">
        <v>824</v>
      </c>
      <c r="I120" s="74" t="s">
        <v>826</v>
      </c>
      <c r="J120" s="74" t="s">
        <v>821</v>
      </c>
      <c r="K120" s="74" t="s">
        <v>827</v>
      </c>
      <c r="L120" s="74" t="s">
        <v>265</v>
      </c>
      <c r="M120" s="74" t="s">
        <v>269</v>
      </c>
      <c r="N120" s="74">
        <v>1</v>
      </c>
      <c r="O120" s="74">
        <v>1E-3</v>
      </c>
      <c r="P120" s="74">
        <v>2</v>
      </c>
      <c r="Q120" s="74">
        <v>1073</v>
      </c>
      <c r="R120" s="74">
        <v>1673</v>
      </c>
      <c r="S120" s="74">
        <v>1</v>
      </c>
      <c r="T120" s="74">
        <v>10</v>
      </c>
      <c r="U120" s="74">
        <v>5</v>
      </c>
      <c r="V120" s="74">
        <v>40</v>
      </c>
      <c r="W120" s="74">
        <v>80</v>
      </c>
      <c r="X120" s="74">
        <v>60</v>
      </c>
      <c r="Y120" s="74"/>
      <c r="Z120" s="74"/>
      <c r="AA120" s="74"/>
      <c r="AB120" s="74"/>
      <c r="AC120" s="74"/>
      <c r="AD120" s="74"/>
      <c r="AE120" s="74">
        <v>6</v>
      </c>
      <c r="AF120" s="74">
        <v>30</v>
      </c>
      <c r="AG120" s="74"/>
      <c r="AH120" s="74" t="s">
        <v>607</v>
      </c>
      <c r="AI120" s="74" t="s">
        <v>66</v>
      </c>
      <c r="AO120" s="75" t="s">
        <v>28</v>
      </c>
      <c r="AP120" s="75" t="s">
        <v>608</v>
      </c>
      <c r="AQ120" s="13">
        <v>4000</v>
      </c>
      <c r="AS120" s="12" t="s">
        <v>113</v>
      </c>
      <c r="AT120" s="16">
        <v>-78.900000000000006</v>
      </c>
      <c r="AV120" s="12" t="s">
        <v>828</v>
      </c>
      <c r="AW120" s="15">
        <v>64132</v>
      </c>
      <c r="AY120" s="12" t="s">
        <v>115</v>
      </c>
      <c r="AZ120" s="13">
        <v>-2925</v>
      </c>
      <c r="BB120" s="15" t="s">
        <v>829</v>
      </c>
      <c r="BC120" s="17">
        <v>20000</v>
      </c>
      <c r="BE120" s="15" t="s">
        <v>614</v>
      </c>
    </row>
  </sheetData>
  <sortState xmlns:xlrd2="http://schemas.microsoft.com/office/spreadsheetml/2017/richdata2" ref="A2:CL118">
    <sortCondition ref="E2:E118"/>
    <sortCondition ref="C2:C118"/>
  </sortState>
  <hyperlinks>
    <hyperlink ref="D55" r:id="rId1" display="https://doi.org/10.1029/91JB02453" xr:uid="{9DA77ADE-4648-D14F-BFAB-BAA16B3E25E6}"/>
    <hyperlink ref="D56" r:id="rId2" display="https://doi.org/10.1029/1999GL008378" xr:uid="{231586C8-D3CA-B841-9E63-A5837AF1347A}"/>
    <hyperlink ref="D57" r:id="rId3" display="https://doi.org/10.1029/1999GL008378" xr:uid="{587A1BBB-4DC8-DA4D-9389-87DC4A9A72C9}"/>
    <hyperlink ref="D58" r:id="rId4" display="https://doi.org/10.1029/1999GL008378" xr:uid="{4511923F-ACB3-CA40-8E38-D99A4530C2ED}"/>
    <hyperlink ref="D59" r:id="rId5" display="https://doi.org/10.1029/1999GL008378" xr:uid="{0A5CBB8E-24A5-F841-8826-BBFB3BE110D7}"/>
    <hyperlink ref="D68" r:id="rId6" display="https://doi.org/10.1029/2011JB008774" xr:uid="{FD28369E-6DC2-144C-9D6E-0B6935E6BAA5}"/>
    <hyperlink ref="D72" r:id="rId7" display="https://doi.org/10.1002/2014GC005496" xr:uid="{ECD63802-404E-CB40-B168-15A7706644B2}"/>
    <hyperlink ref="D73" r:id="rId8" display="https://doi.org/10.1002/2014GC005496" xr:uid="{41C1DD95-33B1-0742-B20E-7ABE0821D94B}"/>
    <hyperlink ref="D74" r:id="rId9" display="https://doi.org/10.1002/2014GC005496" xr:uid="{2D97BEB1-7CA3-7748-ACB1-7EB116DF3165}"/>
    <hyperlink ref="D78" r:id="rId10" display="https://doi.org/10.1002/2016JB013555" xr:uid="{90862F9A-ADCE-4045-B195-F306237FFEC3}"/>
    <hyperlink ref="D79" r:id="rId11" display="https://doi.org/10.1002/2016JB013555" xr:uid="{769E99AD-F4AA-F543-9D93-1605FC66688B}"/>
    <hyperlink ref="D80" r:id="rId12" display="https://doi.org/10.1002/2016JB013555" xr:uid="{92B19AA2-C385-A64E-AE91-99D7D6705547}"/>
    <hyperlink ref="D84" r:id="rId13" display="https://doi.org/10.1029/2019JB017576" xr:uid="{4BD7993B-7B6F-6C43-BB0A-EF0AE4BF89DA}"/>
    <hyperlink ref="D75" r:id="rId14" display="https://doi.org/10.1002/2014GC005496" xr:uid="{FEDEB40B-4680-AF43-B1AA-9EA1A2E6D141}"/>
    <hyperlink ref="D76" r:id="rId15" display="https://doi.org/10.1002/2014GC005496" xr:uid="{035261FE-FF76-434C-860C-25196CB05384}"/>
    <hyperlink ref="D77" r:id="rId16" display="https://doi.org/10.1002/2014GC005496" xr:uid="{30E83F5F-1010-144D-9483-5166F23A589E}"/>
    <hyperlink ref="D85" r:id="rId17" display="https://doi.org/10.1029/2019JB017576" xr:uid="{7F51686C-3D9D-7043-B359-7717365B7FB2}"/>
  </hyperlinks>
  <pageMargins left="0.7" right="0.7" top="0.75" bottom="0.75" header="0.3" footer="0.3"/>
  <pageSetup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publication_database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KEVIN ANTHONY MENDOZA</cp:lastModifiedBy>
  <dcterms:created xsi:type="dcterms:W3CDTF">2023-08-11T18:07:58Z</dcterms:created>
  <dcterms:modified xsi:type="dcterms:W3CDTF">2024-07-05T19:59:25Z</dcterms:modified>
</cp:coreProperties>
</file>