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3D614538-46CF-46F1-8122-738C3170166F}" xr6:coauthVersionLast="43" xr6:coauthVersionMax="43" xr10:uidLastSave="{00000000-0000-0000-0000-000000000000}"/>
  <bookViews>
    <workbookView xWindow="-110" yWindow="-110" windowWidth="19420" windowHeight="10420" tabRatio="407" activeTab="2" xr2:uid="{00000000-000D-0000-FFFF-FFFF00000000}"/>
  </bookViews>
  <sheets>
    <sheet name="Descriptors" sheetId="2" r:id="rId1"/>
    <sheet name="SDF" sheetId="4" r:id="rId2"/>
    <sheet name="Pictur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2" l="1"/>
  <c r="AQ2" i="2"/>
  <c r="BR2" i="2"/>
  <c r="BG2" i="2"/>
  <c r="X2" i="2"/>
  <c r="Y2" i="2"/>
  <c r="BS2" i="2"/>
  <c r="AN2" i="2"/>
  <c r="AH2" i="2"/>
  <c r="BL2" i="2"/>
  <c r="AG2" i="2"/>
  <c r="AV2" i="2"/>
  <c r="BI2" i="2"/>
  <c r="BN11" i="2"/>
  <c r="AX11" i="2"/>
  <c r="AH11" i="2"/>
  <c r="BQ10" i="2"/>
  <c r="BA10" i="2"/>
  <c r="AK10" i="2"/>
  <c r="BT9" i="2"/>
  <c r="BD9" i="2"/>
  <c r="AN9" i="2"/>
  <c r="X9" i="2"/>
  <c r="BG8" i="2"/>
  <c r="AQ8" i="2"/>
  <c r="AA8" i="2"/>
  <c r="BJ7" i="2"/>
  <c r="AT7" i="2"/>
  <c r="AD7" i="2"/>
  <c r="BM5" i="2"/>
  <c r="AW5" i="2"/>
  <c r="AG5" i="2"/>
  <c r="BP4" i="2"/>
  <c r="AZ4" i="2"/>
  <c r="AJ4" i="2"/>
  <c r="BS3" i="2"/>
  <c r="BC3" i="2"/>
  <c r="AM3" i="2"/>
  <c r="Y3" i="2"/>
  <c r="AQ11" i="2"/>
  <c r="AX10" i="2"/>
  <c r="BA9" i="2"/>
  <c r="AZ8" i="2"/>
  <c r="BG7" i="2"/>
  <c r="BF5" i="2"/>
  <c r="BI11" i="2"/>
  <c r="AS11" i="2"/>
  <c r="AC11" i="2"/>
  <c r="BL10" i="2"/>
  <c r="AV10" i="2"/>
  <c r="AF10" i="2"/>
  <c r="BO9" i="2"/>
  <c r="AY9" i="2"/>
  <c r="AI9" i="2"/>
  <c r="BR8" i="2"/>
  <c r="BB8" i="2"/>
  <c r="AL8" i="2"/>
  <c r="BU7" i="2"/>
  <c r="BE7" i="2"/>
  <c r="AO7" i="2"/>
  <c r="Y7" i="2"/>
  <c r="BH5" i="2"/>
  <c r="AR5" i="2"/>
  <c r="AB5" i="2"/>
  <c r="BK4" i="2"/>
  <c r="AU4" i="2"/>
  <c r="AE4" i="2"/>
  <c r="BN3" i="2"/>
  <c r="AX3" i="2"/>
  <c r="AH3" i="2"/>
  <c r="AW3" i="2"/>
  <c r="AI11" i="2"/>
  <c r="AD10" i="2"/>
  <c r="AG9" i="2"/>
  <c r="AB8" i="2"/>
  <c r="AA7" i="2"/>
  <c r="BP11" i="2"/>
  <c r="AZ11" i="2"/>
  <c r="AJ11" i="2"/>
  <c r="BS10" i="2"/>
  <c r="BC10" i="2"/>
  <c r="AM10" i="2"/>
  <c r="BV9" i="2"/>
  <c r="BF9" i="2"/>
  <c r="AP9" i="2"/>
  <c r="Z9" i="2"/>
  <c r="BI8" i="2"/>
  <c r="AS8" i="2"/>
  <c r="AC8" i="2"/>
  <c r="BL7" i="2"/>
  <c r="AV7" i="2"/>
  <c r="AF7" i="2"/>
  <c r="BO5" i="2"/>
  <c r="AY5" i="2"/>
  <c r="AI5" i="2"/>
  <c r="BR4" i="2"/>
  <c r="BB4" i="2"/>
  <c r="AL4" i="2"/>
  <c r="BU3" i="2"/>
  <c r="BA3" i="2"/>
  <c r="BO11" i="2"/>
  <c r="AE11" i="2"/>
  <c r="AL10" i="2"/>
  <c r="AK9" i="2"/>
  <c r="AV8" i="2"/>
  <c r="BC7" i="2"/>
  <c r="BJ5" i="2"/>
  <c r="BA4" i="2"/>
  <c r="AN3" i="2"/>
  <c r="AR3" i="2"/>
  <c r="AW4" i="2"/>
  <c r="BU4" i="2"/>
  <c r="BI4" i="2"/>
  <c r="AV3" i="2"/>
  <c r="Y4" i="2"/>
  <c r="AC2" i="2"/>
  <c r="AK2" i="2"/>
  <c r="BT2" i="2"/>
  <c r="AY2" i="2"/>
  <c r="AO2" i="2"/>
  <c r="BR11" i="2"/>
  <c r="AL11" i="2"/>
  <c r="AO10" i="2"/>
  <c r="AR9" i="2"/>
  <c r="AU8" i="2"/>
  <c r="BN7" i="2"/>
  <c r="AH7" i="2"/>
  <c r="AX2" i="2"/>
  <c r="AU2" i="2"/>
  <c r="BU2" i="2"/>
  <c r="AW2" i="2"/>
  <c r="AP2" i="2"/>
  <c r="BN2" i="2"/>
  <c r="AZ2" i="2"/>
  <c r="BJ2" i="2"/>
  <c r="AS2" i="2"/>
  <c r="AI2" i="2"/>
  <c r="AT2" i="2"/>
  <c r="AR2" i="2"/>
  <c r="BK2" i="2"/>
  <c r="BJ11" i="2"/>
  <c r="AT11" i="2"/>
  <c r="AD11" i="2"/>
  <c r="BM10" i="2"/>
  <c r="AW10" i="2"/>
  <c r="AG10" i="2"/>
  <c r="BP9" i="2"/>
  <c r="AZ9" i="2"/>
  <c r="AJ9" i="2"/>
  <c r="BS8" i="2"/>
  <c r="BC8" i="2"/>
  <c r="AM8" i="2"/>
  <c r="BV7" i="2"/>
  <c r="BF7" i="2"/>
  <c r="AP7" i="2"/>
  <c r="Z7" i="2"/>
  <c r="BI5" i="2"/>
  <c r="AS5" i="2"/>
  <c r="AC5" i="2"/>
  <c r="BL4" i="2"/>
  <c r="AV4" i="2"/>
  <c r="AF4" i="2"/>
  <c r="BO3" i="2"/>
  <c r="AY3" i="2"/>
  <c r="AI3" i="2"/>
  <c r="BK11" i="2"/>
  <c r="AA11" i="2"/>
  <c r="AH10" i="2"/>
  <c r="AO9" i="2"/>
  <c r="AN8" i="2"/>
  <c r="AU7" i="2"/>
  <c r="BU11" i="2"/>
  <c r="BE11" i="2"/>
  <c r="AO11" i="2"/>
  <c r="Y11" i="2"/>
  <c r="BH10" i="2"/>
  <c r="AR10" i="2"/>
  <c r="AB10" i="2"/>
  <c r="BK9" i="2"/>
  <c r="AU9" i="2"/>
  <c r="AE9" i="2"/>
  <c r="BN8" i="2"/>
  <c r="AX8" i="2"/>
  <c r="AH8" i="2"/>
  <c r="BQ7" i="2"/>
  <c r="BA7" i="2"/>
  <c r="AK7" i="2"/>
  <c r="BT5" i="2"/>
  <c r="BD5" i="2"/>
  <c r="AN5" i="2"/>
  <c r="X5" i="2"/>
  <c r="BG4" i="2"/>
  <c r="AQ4" i="2"/>
  <c r="AA4" i="2"/>
  <c r="BJ3" i="2"/>
  <c r="AT3" i="2"/>
  <c r="AD3" i="2"/>
  <c r="AO3" i="2"/>
  <c r="BN10" i="2"/>
  <c r="BQ9" i="2"/>
  <c r="BP8" i="2"/>
  <c r="BO7" i="2"/>
  <c r="BN5" i="2"/>
  <c r="BL11" i="2"/>
  <c r="AV11" i="2"/>
  <c r="AF11" i="2"/>
  <c r="BO10" i="2"/>
  <c r="AY10" i="2"/>
  <c r="AI10" i="2"/>
  <c r="BR9" i="2"/>
  <c r="BB9" i="2"/>
  <c r="AL9" i="2"/>
  <c r="BU8" i="2"/>
  <c r="BE8" i="2"/>
  <c r="AO8" i="2"/>
  <c r="Y8" i="2"/>
  <c r="BH7" i="2"/>
  <c r="AR7" i="2"/>
  <c r="AB7" i="2"/>
  <c r="BK5" i="2"/>
  <c r="AU5" i="2"/>
  <c r="AE5" i="2"/>
  <c r="BN4" i="2"/>
  <c r="AX4" i="2"/>
  <c r="AH4" i="2"/>
  <c r="BQ3" i="2"/>
  <c r="AS3" i="2"/>
  <c r="BC11" i="2"/>
  <c r="BV10" i="2"/>
  <c r="Z10" i="2"/>
  <c r="AC9" i="2"/>
  <c r="AJ8" i="2"/>
  <c r="AQ7" i="2"/>
  <c r="AX5" i="2"/>
  <c r="AK4" i="2"/>
  <c r="X3" i="2"/>
  <c r="AT5" i="2"/>
  <c r="AG4" i="2"/>
  <c r="BH3" i="2"/>
  <c r="AS4" i="2"/>
  <c r="AF3" i="2"/>
  <c r="AB3" i="2"/>
  <c r="BH2" i="2"/>
  <c r="BU10" i="2"/>
  <c r="Y10" i="2"/>
  <c r="AB9" i="2"/>
  <c r="AE8" i="2"/>
  <c r="BQ5" i="2"/>
  <c r="BC2" i="2"/>
  <c r="BA2" i="2"/>
  <c r="BE2" i="2"/>
  <c r="BD2" i="2"/>
  <c r="AF2" i="2"/>
  <c r="BQ2" i="2"/>
  <c r="AJ2" i="2"/>
  <c r="BP2" i="2"/>
  <c r="AM2" i="2"/>
  <c r="Z2" i="2"/>
  <c r="BM2" i="2"/>
  <c r="AB2" i="2"/>
  <c r="BV11" i="2"/>
  <c r="BF11" i="2"/>
  <c r="AP11" i="2"/>
  <c r="Z11" i="2"/>
  <c r="BI10" i="2"/>
  <c r="AS10" i="2"/>
  <c r="AC10" i="2"/>
  <c r="BL9" i="2"/>
  <c r="AV9" i="2"/>
  <c r="AF9" i="2"/>
  <c r="BO8" i="2"/>
  <c r="AY8" i="2"/>
  <c r="AI8" i="2"/>
  <c r="BR7" i="2"/>
  <c r="BB7" i="2"/>
  <c r="AL7" i="2"/>
  <c r="BU5" i="2"/>
  <c r="BE5" i="2"/>
  <c r="AO5" i="2"/>
  <c r="Y5" i="2"/>
  <c r="BH4" i="2"/>
  <c r="AR4" i="2"/>
  <c r="AB4" i="2"/>
  <c r="BK3" i="2"/>
  <c r="AU3" i="2"/>
  <c r="AE3" i="2"/>
  <c r="BG11" i="2"/>
  <c r="BR10" i="2"/>
  <c r="BU9" i="2"/>
  <c r="Y9" i="2"/>
  <c r="AF8" i="2"/>
  <c r="AI7" i="2"/>
  <c r="BQ11" i="2"/>
  <c r="BA11" i="2"/>
  <c r="AK11" i="2"/>
  <c r="BT10" i="2"/>
  <c r="BD10" i="2"/>
  <c r="AN10" i="2"/>
  <c r="X10" i="2"/>
  <c r="BG9" i="2"/>
  <c r="AQ9" i="2"/>
  <c r="AA9" i="2"/>
  <c r="BJ8" i="2"/>
  <c r="AT8" i="2"/>
  <c r="AD8" i="2"/>
  <c r="BM7" i="2"/>
  <c r="AW7" i="2"/>
  <c r="AG7" i="2"/>
  <c r="BP5" i="2"/>
  <c r="AZ5" i="2"/>
  <c r="AJ5" i="2"/>
  <c r="BS4" i="2"/>
  <c r="BC4" i="2"/>
  <c r="AM4" i="2"/>
  <c r="BV3" i="2"/>
  <c r="BF3" i="2"/>
  <c r="AP3" i="2"/>
  <c r="Z3" i="2"/>
  <c r="AG3" i="2"/>
  <c r="BB10" i="2"/>
  <c r="BE9" i="2"/>
  <c r="BD8" i="2"/>
  <c r="AY7" i="2"/>
  <c r="BB5" i="2"/>
  <c r="BH11" i="2"/>
  <c r="AR11" i="2"/>
  <c r="AB11" i="2"/>
  <c r="BK10" i="2"/>
  <c r="AU10" i="2"/>
  <c r="AE10" i="2"/>
  <c r="BN9" i="2"/>
  <c r="AX9" i="2"/>
  <c r="AH9" i="2"/>
  <c r="BQ8" i="2"/>
  <c r="BA8" i="2"/>
  <c r="AK8" i="2"/>
  <c r="BT7" i="2"/>
  <c r="BD7" i="2"/>
  <c r="AN7" i="2"/>
  <c r="X7" i="2"/>
  <c r="BG5" i="2"/>
  <c r="AQ5" i="2"/>
  <c r="AA5" i="2"/>
  <c r="BJ4" i="2"/>
  <c r="AT4" i="2"/>
  <c r="AD4" i="2"/>
  <c r="BM3" i="2"/>
  <c r="AK3" i="2"/>
  <c r="AU11" i="2"/>
  <c r="BF10" i="2"/>
  <c r="BI9" i="2"/>
  <c r="BT8" i="2"/>
  <c r="X8" i="2"/>
  <c r="AE7" i="2"/>
  <c r="AH5" i="2"/>
  <c r="BT3" i="2"/>
  <c r="AJ3" i="2"/>
  <c r="AD5" i="2"/>
  <c r="BP3" i="2"/>
  <c r="AP5" i="2"/>
  <c r="AC4" i="2"/>
  <c r="AL5" i="2"/>
  <c r="BO2" i="2"/>
  <c r="AL2" i="2"/>
  <c r="AE2" i="2"/>
  <c r="BB2" i="2"/>
  <c r="BF2" i="2"/>
  <c r="AD2" i="2"/>
  <c r="BV2" i="2"/>
  <c r="BB11" i="2"/>
  <c r="BE10" i="2"/>
  <c r="BH9" i="2"/>
  <c r="BK8" i="2"/>
  <c r="AX7" i="2"/>
  <c r="BA5" i="2"/>
  <c r="AK5" i="2"/>
  <c r="X4" i="2"/>
  <c r="AY11" i="2"/>
  <c r="BS7" i="2"/>
  <c r="AG11" i="2"/>
  <c r="BS9" i="2"/>
  <c r="BF8" i="2"/>
  <c r="AS7" i="2"/>
  <c r="AF5" i="2"/>
  <c r="BR3" i="2"/>
  <c r="BS11" i="2"/>
  <c r="AM7" i="2"/>
  <c r="X11" i="2"/>
  <c r="BJ9" i="2"/>
  <c r="AW8" i="2"/>
  <c r="AJ7" i="2"/>
  <c r="BV4" i="2"/>
  <c r="BE3" i="2"/>
  <c r="BT4" i="2"/>
  <c r="BG3" i="2"/>
  <c r="BJ10" i="2"/>
  <c r="BV5" i="2"/>
  <c r="BP10" i="2"/>
  <c r="BC9" i="2"/>
  <c r="AP8" i="2"/>
  <c r="AC7" i="2"/>
  <c r="BO4" i="2"/>
  <c r="BB3" i="2"/>
  <c r="AP10" i="2"/>
  <c r="BT11" i="2"/>
  <c r="BG10" i="2"/>
  <c r="AT9" i="2"/>
  <c r="AG8" i="2"/>
  <c r="BS5" i="2"/>
  <c r="BF4" i="2"/>
  <c r="AC3" i="2"/>
  <c r="BH8" i="2"/>
  <c r="BD3" i="2"/>
  <c r="Z5" i="2"/>
  <c r="AA3" i="2"/>
  <c r="AW11" i="2"/>
  <c r="BV8" i="2"/>
  <c r="AV5" i="2"/>
  <c r="BI3" i="2"/>
  <c r="AN11" i="2"/>
  <c r="AA10" i="2"/>
  <c r="AM5" i="2"/>
  <c r="AT10" i="2"/>
  <c r="BM4" i="2"/>
  <c r="BE4" i="2"/>
  <c r="BQ4" i="2"/>
  <c r="BD4" i="2"/>
  <c r="AQ3" i="2"/>
  <c r="BM9" i="2"/>
  <c r="BM11" i="2"/>
  <c r="AZ10" i="2"/>
  <c r="AM9" i="2"/>
  <c r="Z8" i="2"/>
  <c r="BL5" i="2"/>
  <c r="AY4" i="2"/>
  <c r="AL3" i="2"/>
  <c r="AS9" i="2"/>
  <c r="BD11" i="2"/>
  <c r="AQ10" i="2"/>
  <c r="AD9" i="2"/>
  <c r="BP7" i="2"/>
  <c r="BC5" i="2"/>
  <c r="AP4" i="2"/>
  <c r="AM11" i="2"/>
  <c r="BK7" i="2"/>
  <c r="AO4" i="2"/>
  <c r="BL3" i="2"/>
  <c r="AN4" i="2"/>
  <c r="BL8" i="2"/>
  <c r="AJ10" i="2"/>
  <c r="BI7" i="2"/>
  <c r="AI4" i="2"/>
  <c r="AR8" i="2"/>
  <c r="BM8" i="2"/>
  <c r="AZ7" i="2"/>
  <c r="Z4" i="2"/>
  <c r="BR5" i="2"/>
  <c r="AW9" i="2"/>
  <c r="AZ3" i="2"/>
  <c r="M2" i="2"/>
  <c r="L2" i="2"/>
  <c r="K2" i="2"/>
  <c r="J2" i="2"/>
  <c r="I2" i="2"/>
  <c r="H2" i="2"/>
  <c r="G2" i="2"/>
  <c r="F2" i="2"/>
  <c r="T2" i="2"/>
  <c r="S2" i="2"/>
  <c r="R2" i="2"/>
  <c r="Q2" i="2"/>
  <c r="P2" i="2"/>
  <c r="W2" i="2"/>
  <c r="N2" i="2"/>
  <c r="O2" i="2"/>
  <c r="U2" i="2"/>
  <c r="W11" i="2"/>
  <c r="S11" i="2"/>
  <c r="O11" i="2"/>
  <c r="K11" i="2"/>
  <c r="G11" i="2"/>
  <c r="U10" i="2"/>
  <c r="Q10" i="2"/>
  <c r="M10" i="2"/>
  <c r="I10" i="2"/>
  <c r="W9" i="2"/>
  <c r="S9" i="2"/>
  <c r="O9" i="2"/>
  <c r="K9" i="2"/>
  <c r="G9" i="2"/>
  <c r="U8" i="2"/>
  <c r="Q8" i="2"/>
  <c r="M8" i="2"/>
  <c r="I8" i="2"/>
  <c r="W7" i="2"/>
  <c r="S7" i="2"/>
  <c r="O7" i="2"/>
  <c r="K7" i="2"/>
  <c r="G7" i="2"/>
  <c r="U5" i="2"/>
  <c r="Q5" i="2"/>
  <c r="M5" i="2"/>
  <c r="I5" i="2"/>
  <c r="W4" i="2"/>
  <c r="S4" i="2"/>
  <c r="O4" i="2"/>
  <c r="K4" i="2"/>
  <c r="G4" i="2"/>
  <c r="U3" i="2"/>
  <c r="Q3" i="2"/>
  <c r="M3" i="2"/>
  <c r="I3" i="2"/>
  <c r="T5" i="2"/>
  <c r="P5" i="2"/>
  <c r="L5" i="2"/>
  <c r="H5" i="2"/>
  <c r="V4" i="2"/>
  <c r="R4" i="2"/>
  <c r="N4" i="2"/>
  <c r="J4" i="2"/>
  <c r="F4" i="2"/>
  <c r="T3" i="2"/>
  <c r="P3" i="2"/>
  <c r="L3" i="2"/>
  <c r="H3" i="2"/>
  <c r="U11" i="2"/>
  <c r="Q11" i="2"/>
  <c r="M11" i="2"/>
  <c r="I11" i="2"/>
  <c r="W10" i="2"/>
  <c r="S10" i="2"/>
  <c r="O10" i="2"/>
  <c r="G10" i="2"/>
  <c r="U9" i="2"/>
  <c r="Q9" i="2"/>
  <c r="M9" i="2"/>
  <c r="I9" i="2"/>
  <c r="S8" i="2"/>
  <c r="K8" i="2"/>
  <c r="U7" i="2"/>
  <c r="M7" i="2"/>
  <c r="I7" i="2"/>
  <c r="S5" i="2"/>
  <c r="K5" i="2"/>
  <c r="U4" i="2"/>
  <c r="I4" i="2"/>
  <c r="O3" i="2"/>
  <c r="G3" i="2"/>
  <c r="P11" i="2"/>
  <c r="R10" i="2"/>
  <c r="F10" i="2"/>
  <c r="L9" i="2"/>
  <c r="R8" i="2"/>
  <c r="P7" i="2"/>
  <c r="V5" i="2"/>
  <c r="J5" i="2"/>
  <c r="L4" i="2"/>
  <c r="R3" i="2"/>
  <c r="F3" i="2"/>
  <c r="V11" i="2"/>
  <c r="R11" i="2"/>
  <c r="N11" i="2"/>
  <c r="J11" i="2"/>
  <c r="F11" i="2"/>
  <c r="T10" i="2"/>
  <c r="P10" i="2"/>
  <c r="L10" i="2"/>
  <c r="H10" i="2"/>
  <c r="V9" i="2"/>
  <c r="R9" i="2"/>
  <c r="N9" i="2"/>
  <c r="J9" i="2"/>
  <c r="F9" i="2"/>
  <c r="T8" i="2"/>
  <c r="P8" i="2"/>
  <c r="L8" i="2"/>
  <c r="H8" i="2"/>
  <c r="V7" i="2"/>
  <c r="R7" i="2"/>
  <c r="N7" i="2"/>
  <c r="J7" i="2"/>
  <c r="F7" i="2"/>
  <c r="K10" i="2"/>
  <c r="W8" i="2"/>
  <c r="O8" i="2"/>
  <c r="G8" i="2"/>
  <c r="Q7" i="2"/>
  <c r="W5" i="2"/>
  <c r="O5" i="2"/>
  <c r="G5" i="2"/>
  <c r="Q4" i="2"/>
  <c r="M4" i="2"/>
  <c r="S3" i="2"/>
  <c r="K3" i="2"/>
  <c r="T11" i="2"/>
  <c r="L11" i="2"/>
  <c r="V10" i="2"/>
  <c r="J10" i="2"/>
  <c r="T9" i="2"/>
  <c r="H9" i="2"/>
  <c r="N8" i="2"/>
  <c r="F8" i="2"/>
  <c r="L7" i="2"/>
  <c r="R5" i="2"/>
  <c r="F5" i="2"/>
  <c r="P4" i="2"/>
  <c r="V3" i="2"/>
  <c r="N3" i="2"/>
  <c r="W3" i="2"/>
  <c r="H11" i="2"/>
  <c r="N10" i="2"/>
  <c r="P9" i="2"/>
  <c r="V8" i="2"/>
  <c r="J8" i="2"/>
  <c r="T7" i="2"/>
  <c r="H7" i="2"/>
  <c r="N5" i="2"/>
  <c r="T4" i="2"/>
  <c r="H4" i="2"/>
  <c r="J3" i="2"/>
  <c r="V2" i="2"/>
  <c r="D7" i="2"/>
  <c r="D3" i="2"/>
  <c r="D10" i="2"/>
  <c r="D6" i="2"/>
  <c r="D4" i="2"/>
  <c r="D9" i="2"/>
  <c r="D5" i="2"/>
  <c r="D8" i="2"/>
  <c r="D2" i="2"/>
  <c r="BV6" i="2"/>
  <c r="BR6" i="2"/>
  <c r="BN6" i="2"/>
  <c r="BJ6" i="2"/>
  <c r="BF6" i="2"/>
  <c r="BB6" i="2"/>
  <c r="AX6" i="2"/>
  <c r="AT6" i="2"/>
  <c r="AP6" i="2"/>
  <c r="AL6" i="2"/>
  <c r="AH6" i="2"/>
  <c r="AD6" i="2"/>
  <c r="Z6" i="2"/>
  <c r="BC6" i="2"/>
  <c r="BU6" i="2"/>
  <c r="BQ6" i="2"/>
  <c r="BM6" i="2"/>
  <c r="BI6" i="2"/>
  <c r="BE6" i="2"/>
  <c r="BA6" i="2"/>
  <c r="AW6" i="2"/>
  <c r="AS6" i="2"/>
  <c r="AO6" i="2"/>
  <c r="AK6" i="2"/>
  <c r="AG6" i="2"/>
  <c r="AC6" i="2"/>
  <c r="Y6" i="2"/>
  <c r="BS6" i="2"/>
  <c r="BK6" i="2"/>
  <c r="AY6" i="2"/>
  <c r="AQ6" i="2"/>
  <c r="AI6" i="2"/>
  <c r="AA6" i="2"/>
  <c r="BT6" i="2"/>
  <c r="BP6" i="2"/>
  <c r="BL6" i="2"/>
  <c r="BH6" i="2"/>
  <c r="BD6" i="2"/>
  <c r="AZ6" i="2"/>
  <c r="AV6" i="2"/>
  <c r="AR6" i="2"/>
  <c r="AN6" i="2"/>
  <c r="AJ6" i="2"/>
  <c r="AF6" i="2"/>
  <c r="AB6" i="2"/>
  <c r="X6" i="2"/>
  <c r="BO6" i="2"/>
  <c r="BG6" i="2"/>
  <c r="AU6" i="2"/>
  <c r="AM6" i="2"/>
  <c r="AE6" i="2"/>
  <c r="W6" i="2"/>
  <c r="S6" i="2"/>
  <c r="O6" i="2"/>
  <c r="K6" i="2"/>
  <c r="G6" i="2"/>
  <c r="L6" i="2"/>
  <c r="V6" i="2"/>
  <c r="R6" i="2"/>
  <c r="N6" i="2"/>
  <c r="J6" i="2"/>
  <c r="F6" i="2"/>
  <c r="P6" i="2"/>
  <c r="U6" i="2"/>
  <c r="Q6" i="2"/>
  <c r="M6" i="2"/>
  <c r="I6" i="2"/>
  <c r="T6" i="2"/>
  <c r="H6" i="2"/>
  <c r="Q21" i="4"/>
  <c r="Q17" i="4"/>
  <c r="Q13" i="4"/>
  <c r="Q9" i="4"/>
  <c r="Q5" i="4"/>
  <c r="Q14" i="4"/>
  <c r="Q6" i="4"/>
  <c r="Q20" i="4"/>
  <c r="Q16" i="4"/>
  <c r="Q12" i="4"/>
  <c r="Q8" i="4"/>
  <c r="Q4" i="4"/>
  <c r="Q19" i="4"/>
  <c r="Q15" i="4"/>
  <c r="Q11" i="4"/>
  <c r="Q7" i="4"/>
  <c r="Q3" i="4"/>
  <c r="Q18" i="4"/>
  <c r="Q10" i="4"/>
  <c r="Q2" i="4"/>
  <c r="C8" i="2"/>
  <c r="C6" i="2"/>
  <c r="C5" i="2"/>
  <c r="C4" i="2"/>
  <c r="C7" i="2"/>
  <c r="C9" i="2"/>
  <c r="C11" i="2"/>
  <c r="C10" i="2"/>
  <c r="C3" i="2"/>
  <c r="C2" i="2"/>
  <c r="E11" i="2"/>
  <c r="E7" i="2"/>
  <c r="E3" i="2"/>
  <c r="E4" i="2"/>
  <c r="E10" i="2"/>
  <c r="E6" i="2"/>
  <c r="E9" i="2"/>
  <c r="E5" i="2"/>
  <c r="E8" i="2"/>
  <c r="E2" i="2"/>
</calcChain>
</file>

<file path=xl/sharedStrings.xml><?xml version="1.0" encoding="utf-8"?>
<sst xmlns="http://schemas.openxmlformats.org/spreadsheetml/2006/main" count="208" uniqueCount="166">
  <si>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</si>
  <si>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</si>
  <si>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</si>
  <si>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</si>
  <si>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</si>
  <si>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</si>
  <si>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</si>
  <si>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</si>
  <si>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</si>
  <si>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</si>
  <si>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</si>
  <si>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</si>
  <si>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</si>
  <si>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</si>
  <si>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</si>
  <si>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</si>
  <si>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</si>
  <si>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</si>
  <si>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</si>
  <si>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</si>
  <si>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</si>
  <si>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</si>
  <si>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</si>
  <si>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</si>
  <si>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</si>
  <si>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</si>
  <si>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</si>
  <si>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</si>
  <si>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</si>
  <si>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</si>
  <si>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</si>
  <si>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</si>
  <si>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</si>
  <si>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</si>
  <si>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</si>
  <si>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</si>
  <si>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</si>
  <si>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</si>
  <si>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</si>
  <si>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</si>
  <si>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</si>
  <si>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</si>
  <si>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</si>
  <si>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</si>
  <si>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</si>
  <si>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</si>
  <si>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</si>
  <si>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</si>
  <si>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</si>
  <si>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</si>
  <si>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</si>
  <si>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</si>
  <si>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</si>
  <si>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</si>
  <si>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</si>
  <si>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</si>
  <si>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</si>
  <si>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</si>
  <si>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</si>
  <si>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</si>
  <si>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</si>
  <si>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</si>
  <si>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</si>
  <si>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</si>
  <si>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</si>
  <si>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</si>
  <si>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</si>
  <si>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</si>
  <si>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</si>
  <si>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</si>
  <si>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</si>
  <si>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</si>
  <si>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</si>
  <si>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</si>
  <si>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</si>
  <si>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</si>
  <si>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</si>
  <si>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</si>
  <si>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</si>
  <si>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</si>
  <si>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</si>
  <si>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</si>
  <si>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</si>
  <si>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</si>
  <si>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</si>
  <si>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</si>
  <si>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</si>
  <si>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</si>
  <si>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</si>
  <si>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</si>
  <si>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</si>
  <si>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</si>
  <si>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</si>
  <si>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</si>
  <si>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</si>
  <si>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</si>
  <si>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</si>
  <si>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</si>
  <si>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</si>
  <si>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</si>
  <si>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</si>
  <si>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</si>
  <si>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</si>
  <si>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</si>
  <si>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</si>
  <si>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</si>
  <si>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</si>
  <si>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</si>
  <si>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</si>
  <si>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</si>
  <si>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</si>
  <si>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</si>
  <si>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</si>
  <si>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</si>
  <si>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</si>
  <si>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</si>
  <si>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</si>
  <si>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</si>
  <si>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</si>
  <si>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</si>
  <si>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</si>
  <si>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</si>
  <si>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</si>
  <si>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</si>
  <si>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</si>
  <si>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</si>
  <si>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</si>
  <si>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</si>
  <si>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</si>
  <si>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</si>
  <si>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</si>
  <si>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</si>
  <si>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</si>
  <si>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</si>
  <si>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</si>
  <si>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</si>
  <si>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</si>
  <si>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</si>
  <si>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</si>
  <si>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</si>
  <si>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</si>
  <si>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</si>
  <si>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</si>
  <si>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</si>
  <si>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</si>
  <si>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</si>
  <si>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</si>
  <si>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</si>
  <si>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</si>
  <si>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</si>
  <si>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</si>
  <si>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</si>
  <si>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</si>
  <si>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</si>
  <si>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</si>
  <si>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</si>
  <si>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</si>
  <si>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</si>
  <si>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</si>
  <si>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</si>
  <si>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</si>
  <si>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</si>
  <si>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</si>
  <si>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</si>
  <si>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</si>
  <si>
    <t>CCCCCC(=O)O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</si>
</sst>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1571844</xdr:colOff>
      <xdr:row>1</xdr:row>
      <xdr:rowOff>1019317</xdr:rowOff>
    </xdr:to>
    <xdr:pic>
      <xdr:nvPicPr>
        <xdr:cNvPr id="75" name="NCDK-Picture 1">
          <a:extLst>
            <a:ext uri="{FF2B5EF4-FFF2-40B4-BE49-F238E27FC236}">
              <a16:creationId xmlns:a16="http://schemas.microsoft.com/office/drawing/2014/main" id="{EE7096EE-34AB-49CC-A9FC-49D2D0185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28600"/>
          <a:ext cx="1571844" cy="1019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276264</xdr:colOff>
      <xdr:row>2</xdr:row>
      <xdr:rowOff>190527</xdr:rowOff>
    </xdr:to>
    <xdr:pic>
      <xdr:nvPicPr>
        <xdr:cNvPr id="77" name="NCDK-Picture 2">
          <a:extLst>
            <a:ext uri="{FF2B5EF4-FFF2-40B4-BE49-F238E27FC236}">
              <a16:creationId xmlns:a16="http://schemas.microsoft.com/office/drawing/2014/main" id="{A8027696-844A-44C7-8736-8836EA959C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441450"/>
          <a:ext cx="276264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1495634</xdr:colOff>
      <xdr:row>3</xdr:row>
      <xdr:rowOff>533474</xdr:rowOff>
    </xdr:to>
    <xdr:pic>
      <xdr:nvPicPr>
        <xdr:cNvPr id="79" name="NCDK-Picture 3">
          <a:extLst>
            <a:ext uri="{FF2B5EF4-FFF2-40B4-BE49-F238E27FC236}">
              <a16:creationId xmlns:a16="http://schemas.microsoft.com/office/drawing/2014/main" id="{BACE9196-6F9D-4CDF-92F5-A341065F7F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16100"/>
          <a:ext cx="1495634" cy="533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514422</xdr:colOff>
      <xdr:row>4</xdr:row>
      <xdr:rowOff>581106</xdr:rowOff>
    </xdr:to>
    <xdr:pic>
      <xdr:nvPicPr>
        <xdr:cNvPr id="81" name="NCDK-Picture 4">
          <a:extLst>
            <a:ext uri="{FF2B5EF4-FFF2-40B4-BE49-F238E27FC236}">
              <a16:creationId xmlns:a16="http://schemas.microsoft.com/office/drawing/2014/main" id="{04298DA9-5207-4578-8F40-9CEA740943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578100"/>
          <a:ext cx="514422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514422</xdr:colOff>
      <xdr:row>5</xdr:row>
      <xdr:rowOff>828791</xdr:rowOff>
    </xdr:to>
    <xdr:pic>
      <xdr:nvPicPr>
        <xdr:cNvPr id="83" name="NCDK-Picture 5">
          <a:extLst>
            <a:ext uri="{FF2B5EF4-FFF2-40B4-BE49-F238E27FC236}">
              <a16:creationId xmlns:a16="http://schemas.microsoft.com/office/drawing/2014/main" id="{B956E7D0-23C2-45AB-A384-8B949E761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314700"/>
          <a:ext cx="514422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581106</xdr:colOff>
      <xdr:row>6</xdr:row>
      <xdr:rowOff>657317</xdr:rowOff>
    </xdr:to>
    <xdr:pic>
      <xdr:nvPicPr>
        <xdr:cNvPr id="85" name="NCDK-Picture 6">
          <a:extLst>
            <a:ext uri="{FF2B5EF4-FFF2-40B4-BE49-F238E27FC236}">
              <a16:creationId xmlns:a16="http://schemas.microsoft.com/office/drawing/2014/main" id="{9B7BAFBE-5F5A-4D36-8443-86C1DC61A4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581106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127457</xdr:colOff>
      <xdr:row>7</xdr:row>
      <xdr:rowOff>2838846</xdr:rowOff>
    </xdr:to>
    <xdr:pic>
      <xdr:nvPicPr>
        <xdr:cNvPr id="87" name="NCDK-Picture 7">
          <a:extLst>
            <a:ext uri="{FF2B5EF4-FFF2-40B4-BE49-F238E27FC236}">
              <a16:creationId xmlns:a16="http://schemas.microsoft.com/office/drawing/2014/main" id="{C98CBAD5-CBA1-46E7-80E2-7FF5347693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175250"/>
          <a:ext cx="3277057" cy="2838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2695951</xdr:colOff>
      <xdr:row>8</xdr:row>
      <xdr:rowOff>1933845</xdr:rowOff>
    </xdr:to>
    <xdr:pic>
      <xdr:nvPicPr>
        <xdr:cNvPr id="89" name="NCDK-Picture 8">
          <a:extLst>
            <a:ext uri="{FF2B5EF4-FFF2-40B4-BE49-F238E27FC236}">
              <a16:creationId xmlns:a16="http://schemas.microsoft.com/office/drawing/2014/main" id="{AB2BF226-025E-4046-814D-A60540D4F7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8172450"/>
          <a:ext cx="2695951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BV11"/>
  <sheetViews>
    <sheetView zoomScale="55" zoomScaleNormal="55" workbookViewId="0">
      <selection activeCell="D9" sqref="D9"/>
    </sheetView>
  </sheetViews>
  <sheetFormatPr defaultRowHeight="18" x14ac:dyDescent="0.55000000000000004"/>
  <cols>
    <col min="1" max="3" width="11.25" customWidth="1"/>
    <col min="4" max="4" width="11.08203125" customWidth="1"/>
    <col min="5" max="5" width="21.1640625" customWidth="1"/>
    <col min="6" max="23" width="6.5" customWidth="1"/>
    <col min="25" max="26" width="8.6640625" customWidth="1"/>
  </cols>
  <sheetData>
    <row r="1" spans="1:74" x14ac:dyDescent="0.55000000000000004">
      <c r="A1" t="s">
        <v>53</v>
      </c>
      <c r="B1" t="s">
        <v>49</v>
      </c>
      <c r="C1" t="s">
        <v>163</v>
      </c>
      <c r="D1" t="s">
        <v>84</v>
      </c>
      <c r="E1" t="s">
        <v>164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66</v>
      </c>
      <c r="X1" t="s">
        <v>1</v>
      </c>
      <c r="Y1" t="s">
        <v>50</v>
      </c>
      <c r="Z1" t="s">
        <v>51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61</v>
      </c>
      <c r="BF1" t="s">
        <v>32</v>
      </c>
      <c r="BG1" t="s">
        <v>33</v>
      </c>
      <c r="BH1" t="s">
        <v>34</v>
      </c>
      <c r="BI1" t="s">
        <v>35</v>
      </c>
      <c r="BJ1" t="s">
        <v>36</v>
      </c>
      <c r="BK1" t="s">
        <v>37</v>
      </c>
      <c r="BL1" t="s">
        <v>38</v>
      </c>
      <c r="BM1" t="s">
        <v>39</v>
      </c>
      <c r="BN1" t="s">
        <v>40</v>
      </c>
      <c r="BO1" t="s">
        <v>65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</row>
    <row r="2" spans="1:74" x14ac:dyDescent="0.55000000000000004">
      <c r="A2" t="s">
        <v>60</v>
      </c>
      <c r="B2" t="s">
        <v>59</v>
      </c>
      <c r="C2" t="str">
        <f>_xll.NCDK_MolText(B2)</f>
        <v xml:space="preserve">
  CDK     0603191242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>
        <f>_xll.NCDK_Tanimoto($H2,$H3)</f>
        <v>0</v>
      </c>
      <c r="E2" t="str">
        <f>_xll.NCDK(E$1,$B2)</f>
        <v>0000000000000000001000000000000000001000001000000100100000000100010000000001100100000000111100001110000001010101010011011000001110100001100001100110011001110111101110</v>
      </c>
      <c r="F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H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I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J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M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O2" t="str">
        <f>_xll.NCDK_EStateFingerprinter($B2)</f>
        <v>0000001010100001001000010000000000100000000000000000000000000000000000000000000</v>
      </c>
      <c r="P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Q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R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T2" t="str">
        <f>_xll.NCDK_MACCSFingerprinter($B2)</f>
        <v>0000000000000000001000000000000000001000001000000100100000000100010000000001100100000000111100001110000001010101010011011000001110100001100001100110011001110111101110</v>
      </c>
      <c r="U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V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W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X2">
        <f>_xll.NCDK_AcidicGroupCount(B2)</f>
        <v>0</v>
      </c>
      <c r="Y2">
        <f>_xll.NCDK_ALogP(B2)</f>
        <v>-1.2114000000000014</v>
      </c>
      <c r="Z2">
        <f>_xll.NCDK_AMolarRefractivity(B2)</f>
        <v>59.947099999999999</v>
      </c>
      <c r="AA2">
        <f>_xll.NCDK_APol(B2)</f>
        <v>39.488274000000011</v>
      </c>
      <c r="AB2">
        <f>_xll.NCDK_AromaticAtomsCount(B2)</f>
        <v>0</v>
      </c>
      <c r="AC2">
        <f>_xll.NCDK_AromaticBondsCount(B2)</f>
        <v>0</v>
      </c>
      <c r="AD2">
        <f>_xll.NCDK_AtomCount(B2)</f>
        <v>36</v>
      </c>
      <c r="AE2" t="str">
        <f>_xll.NCDK_AutocorrelationCharge(B2)</f>
        <v>0.482364049323966, -0.239230483102807, 0.193743260003086, -0.422975414094056, 0.245070516996786</v>
      </c>
      <c r="AF2" t="str">
        <f>_xll.NCDK_AutocorrelationMass(B2)</f>
        <v>21.0433677091758, 20.6610036641195, 30.570374510169, 39.3180113704083, 36.7520657397667</v>
      </c>
      <c r="AG2" t="str">
        <f>_xll.NCDK_AutocorrelationPolarizability(B2)</f>
        <v>1236.72445709937, 1455.26096710327, 2067.09825744824, 2452.45202784668, 1776.45546782422</v>
      </c>
      <c r="AH2">
        <f>_xll.NCDK_BasicGroupCount(B2)</f>
        <v>0</v>
      </c>
      <c r="AI2" t="str">
        <f>_xll.NCDK_BCUT(B2)</f>
        <v>11.89, 15.9969274797474, -0.279527566151374, 0.285306450703295, 4.45516607690972, 12.225254833975</v>
      </c>
      <c r="AJ2">
        <f>_xll.NCDK_BondCount(B2)</f>
        <v>0</v>
      </c>
      <c r="AK2">
        <f>_xll.NCDK_BPol(B2)</f>
        <v>23.871725999999995</v>
      </c>
      <c r="AL2" t="str">
        <f>_xll.NCDK_CarbonTypes(B2)</f>
        <v>0, 0, 2, 1, 1, 1, 6, 0, 1</v>
      </c>
      <c r="AM2" t="str">
        <f>_xll.NCDK_ChiChain(B2)</f>
        <v>0, 0, 0, 0.0481125224324688, 0.206136035947173, 0, 0, 0, 0.015625, 0.0379976820715334</v>
      </c>
      <c r="AN2" t="str">
        <f>_xll.NCDK_ChiCluster(B2)</f>
        <v>1.29103942781429, 0.0680413817439772, 0.635379749451514, 0.130245735736926, 0.58282022448487, 0.0441941738241592, 0.195368603605389, 0.0360843918243516</v>
      </c>
      <c r="AO2" t="str">
        <f>_xll.NCDK_ChiPathCluster(B2)</f>
        <v>3.75820832838601, 7.24003474940441, 9.47142848690227, 1.60201233255417, 2.48389505922722, 2.76623804293011</v>
      </c>
      <c r="AP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AQ2" t="str">
        <f>_xll.NCDK_CPSA(B2)</f>
        <v>#N/A</v>
      </c>
      <c r="AR2">
        <f>_xll.NCDK_EccentricConnectivityIndex(B2)</f>
        <v>226</v>
      </c>
      <c r="AS2">
        <f>_xll.NCDK_FMF(B2)</f>
        <v>0.72222222222222221</v>
      </c>
      <c r="AT2">
        <f>_xll.NCDK_FractionalPSA(B2)</f>
        <v>0.30092142334124705</v>
      </c>
      <c r="AU2">
        <f>_xll.NCDK_FragmentComplexity(B2)</f>
        <v>1063.05</v>
      </c>
      <c r="AV2" t="str">
        <f>_xll.NCDK_GravitationalIndex(B2)</f>
        <v>#N/A</v>
      </c>
      <c r="AW2">
        <f>_xll.NCDK_HBondAcceptorCount(B2)</f>
        <v>5</v>
      </c>
      <c r="AX2">
        <f>_xll.NCDK_HBondDonorCount(B2)</f>
        <v>2</v>
      </c>
      <c r="AY2">
        <f>_xll.NCDK_HybridizationRatio(B2)</f>
        <v>0.61538461538461542</v>
      </c>
      <c r="AZ2" t="str">
        <f>_xll.NCDK_KappaShapeIndices(B2)</f>
        <v>14.409972299169, 5.96982167352538, 2.65927977839335</v>
      </c>
      <c r="BA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B2">
        <f>_xll.NCDK_LargestChain(B2)</f>
        <v>9</v>
      </c>
      <c r="BC2">
        <f>_xll.NCDK_LargestPiSystem(B2)</f>
        <v>8</v>
      </c>
      <c r="BD2" t="str">
        <f>_xll.NCDK_LengthOverBreadth(B2)</f>
        <v>#N/A</v>
      </c>
      <c r="BE2">
        <f>_xll.NCDK_LongestAliphaticChain(B2)</f>
        <v>2</v>
      </c>
      <c r="BF2">
        <f>_xll.NCDK_MannholdLogP(B2)</f>
        <v>2.34</v>
      </c>
      <c r="BG2" t="str">
        <f>_xll.NCDK_MDE(B2)</f>
        <v>0, 1.78256861348341, 1.17348231572452, 0.5, 9.28105720195319, 8.27801156561087, 2.82326712400687, 2.67269615442102, 3.03934274260637, 0, 0.75, 0, 0, 0, 0, 0, 0.5, 0, 0</v>
      </c>
      <c r="BH2" t="str">
        <f>_xll.NCDK_MomentOfInertia(B2)</f>
        <v>#N/A</v>
      </c>
      <c r="BI2">
        <f>_xll.NCDK_PetitjeanNumber(B2)</f>
        <v>0.5</v>
      </c>
      <c r="BJ2" t="str">
        <f>_xll.NCDK_PetitjeanShapeIndex(B2)</f>
        <v>#N/A</v>
      </c>
      <c r="BK2">
        <f>_xll.NCDK_RotatableBondsCount(B2)</f>
        <v>2</v>
      </c>
      <c r="BL2">
        <f>_xll.NCDK_RuleOfFive(B2)</f>
        <v>0</v>
      </c>
      <c r="BM2" t="str">
        <f>_xll.NCDK_SmallRing(B2)</f>
        <v>2, 0, 2, 0, 0, 0, 0, 1, 1, 0, 0</v>
      </c>
      <c r="BN2">
        <f>_xll.NCDK_TPSA(B2)</f>
        <v>75.27000000000001</v>
      </c>
      <c r="BO2">
        <f>_xll.NCDK_VABC(B2)</f>
        <v>246.50970715028382</v>
      </c>
      <c r="BP2">
        <f>_xll.NCDK_VAdjMa(B2)</f>
        <v>5.2479275134435852</v>
      </c>
      <c r="BQ2">
        <f>_xll.NCDK_Weight(B2)</f>
        <v>250.131742436</v>
      </c>
      <c r="BR2" t="str">
        <f>_xll.NCDK_WeightedPath(B2)</f>
        <v>35.9822147160759, 1.99901192867088, 13.5466431850826, 7.60403910050065, 5.94260408458194</v>
      </c>
      <c r="BS2" t="str">
        <f>_xll.NCDK_WHIM(B2)</f>
        <v>#N/A</v>
      </c>
      <c r="BT2" t="str">
        <f>_xll.NCDK_WienerNumbers(B2)</f>
        <v>537, 35</v>
      </c>
      <c r="BU2">
        <f>_xll.NCDK_XLogP(B2)</f>
        <v>2.1759999999999997</v>
      </c>
      <c r="BV2">
        <f>_xll.NCDK_ZagrebIndex(B2)</f>
        <v>92</v>
      </c>
    </row>
    <row r="3" spans="1:74" x14ac:dyDescent="0.55000000000000004">
      <c r="A3" t="s">
        <v>54</v>
      </c>
      <c r="B3" t="s">
        <v>48</v>
      </c>
      <c r="C3" t="str">
        <f>_xll.NCDK_MolText(B3)</f>
        <v xml:space="preserve">
  CDK     0603191242
  1  0  0  0  0  0  0  0  0  0999 V2000
    0.0000    0.0000    0.0000 C   0  0  0  0  0  0  0  0  0  0  0  0
M  END
</v>
      </c>
      <c r="D3">
        <f>_xll.NCDK_Tanimoto($H3,$H4)</f>
        <v>0</v>
      </c>
      <c r="E3" t="str">
        <f>_xll.NCDK(E$1,$B3)</f>
        <v>0000000000000000000000000000000000000000000000000000000000000000000000000000000000000000000000000000000000000000000000000000000000000000000000000000000000000001000000</v>
      </c>
      <c r="F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J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3" t="str">
        <f>_xll.NCDK_EStateFingerprinter($B3)</f>
        <v>0000000000000000000000000000000000000000000000000000000000000000000000000000000</v>
      </c>
      <c r="P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Q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_xll.NCDK_MACCSFingerprinter($B3)</f>
        <v>0000000000000000000000000000000000000000000000000000000000000000000000000000000000000000000000000000000000000000000000000000000000000000000000000000000000000001000000</v>
      </c>
      <c r="U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>
        <f>_xll.NCDK_AcidicGroupCount(B3)</f>
        <v>0</v>
      </c>
      <c r="Y3">
        <f>_xll.NCDK_ALogP(B3)</f>
        <v>0</v>
      </c>
      <c r="Z3">
        <f>_xll.NCDK_AMolarRefractivity(B3)</f>
        <v>0</v>
      </c>
      <c r="AA3">
        <f>_xll.NCDK_APol(B3)</f>
        <v>4.4271719999999997</v>
      </c>
      <c r="AB3">
        <f>_xll.NCDK_AromaticAtomsCount(B3)</f>
        <v>0</v>
      </c>
      <c r="AC3">
        <f>_xll.NCDK_AromaticBondsCount(B3)</f>
        <v>0</v>
      </c>
      <c r="AD3">
        <f>_xll.NCDK_AtomCount(B3)</f>
        <v>5</v>
      </c>
      <c r="AE3" t="str">
        <f>_xll.NCDK_AutocorrelationCharge(B3)</f>
        <v>0, 0, 0, 0, 0</v>
      </c>
      <c r="AF3" t="str">
        <f>_xll.NCDK_AutocorrelationMass(B3)</f>
        <v>1, 0, 0, 0, 0</v>
      </c>
      <c r="AG3" t="str">
        <f>_xll.NCDK_AutocorrelationPolarizability(B3)</f>
        <v>6.822544, 0, 0, 0, 0</v>
      </c>
      <c r="AH3">
        <f>_xll.NCDK_BasicGroupCount(B3)</f>
        <v>0</v>
      </c>
      <c r="AI3" t="str">
        <f>_xll.NCDK_BCUT(B3)</f>
        <v>12, 12, -0.0779229231460157, -0.0779229231460157, 2.612, 2.612</v>
      </c>
      <c r="AJ3">
        <f>_xll.NCDK_BondCount(B3)</f>
        <v>0</v>
      </c>
      <c r="AK3">
        <f>_xll.NCDK_BPol(B3)</f>
        <v>4.3728280000000002</v>
      </c>
      <c r="AL3" t="str">
        <f>_xll.NCDK_CarbonTypes(B3)</f>
        <v>0, 0, 0, 0, 0, 0, 0, 0, 0</v>
      </c>
      <c r="AM3" t="str">
        <f>_xll.NCDK_ChiChain(B3)</f>
        <v>0, 0, 0, 0, 0, 0, 0, 0, 0, 0</v>
      </c>
      <c r="AN3" t="str">
        <f>_xll.NCDK_ChiCluster(B3)</f>
        <v>0, 0, 0, 0, 0, 0, 0, 0</v>
      </c>
      <c r="AO3" t="str">
        <f>_xll.NCDK_ChiPathCluster(B3)</f>
        <v>0, 0, 0, 0, 0, 0</v>
      </c>
      <c r="AP3" t="str">
        <f>_xll.NCDK_ChiPath(B3)</f>
        <v>0, 0, 0, 0, 0, 0, 0, 0, 0, 0, 0, 0, 0, 0, 0, 0</v>
      </c>
      <c r="AQ3" t="str">
        <f>_xll.NCDK_CPSA(B3)</f>
        <v>#N/A</v>
      </c>
      <c r="AR3">
        <f>_xll.NCDK_EccentricConnectivityIndex(B3)</f>
        <v>0</v>
      </c>
      <c r="AS3">
        <f>_xll.NCDK_FMF(B3)</f>
        <v>0</v>
      </c>
      <c r="AT3">
        <f>_xll.NCDK_FractionalPSA(B3)</f>
        <v>0</v>
      </c>
      <c r="AU3">
        <f>_xll.NCDK_FragmentComplexity(B3)</f>
        <v>16</v>
      </c>
      <c r="AV3" t="str">
        <f>_xll.NCDK_GravitationalIndex(B3)</f>
        <v>#N/A</v>
      </c>
      <c r="AW3">
        <f>_xll.NCDK_HBondAcceptorCount(B3)</f>
        <v>0</v>
      </c>
      <c r="AX3">
        <f>_xll.NCDK_HBondDonorCount(B3)</f>
        <v>0</v>
      </c>
      <c r="AY3">
        <f>_xll.NCDK_HybridizationRatio(B3)</f>
        <v>1</v>
      </c>
      <c r="AZ3" t="str">
        <f>_xll.NCDK_KappaShapeIndices(B3)</f>
        <v>0, 0, 0</v>
      </c>
      <c r="BA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3">
        <f>_xll.NCDK_LargestChain(B3)</f>
        <v>0</v>
      </c>
      <c r="BC3">
        <f>_xll.NCDK_LargestPiSystem(B3)</f>
        <v>0</v>
      </c>
      <c r="BD3" t="str">
        <f>_xll.NCDK_LengthOverBreadth(B3)</f>
        <v>#N/A</v>
      </c>
      <c r="BE3">
        <f>_xll.NCDK_LongestAliphaticChain(B3)</f>
        <v>0</v>
      </c>
      <c r="BF3">
        <f>_xll.NCDK_MannholdLogP(B3)</f>
        <v>1.57</v>
      </c>
      <c r="BG3" t="str">
        <f>_xll.NCDK_MDE(B3)</f>
        <v>0, 0, 0, 0, 0, 0, 0, 0, 0, 0, 0, 0, 0, 0, 0, 0, 0, 0, 0</v>
      </c>
      <c r="BH3" t="str">
        <f>_xll.NCDK_MomentOfInertia(B3)</f>
        <v>#N/A</v>
      </c>
      <c r="BI3">
        <f>_xll.NCDK_PetitjeanNumber(B3)</f>
        <v>0</v>
      </c>
      <c r="BJ3" t="str">
        <f>_xll.NCDK_PetitjeanShapeIndex(B3)</f>
        <v>#N/A</v>
      </c>
      <c r="BK3">
        <f>_xll.NCDK_RotatableBondsCount(B3)</f>
        <v>0</v>
      </c>
      <c r="BL3">
        <f>_xll.NCDK_RuleOfFive(B3)</f>
        <v>0</v>
      </c>
      <c r="BM3" t="str">
        <f>_xll.NCDK_SmallRing(B3)</f>
        <v>0, 0, 0, 0, 0, 0, 0, 0, 0, 0, 0</v>
      </c>
      <c r="BN3">
        <f>_xll.NCDK_TPSA(B3)</f>
        <v>0</v>
      </c>
      <c r="BO3">
        <f>_xll.NCDK_VABC(B3)</f>
        <v>25.852443326666702</v>
      </c>
      <c r="BP3">
        <f>_xll.NCDK_VAdjMa(B3)</f>
        <v>0</v>
      </c>
      <c r="BQ3">
        <f>_xll.NCDK_Weight(B3)</f>
        <v>16.031300127999998</v>
      </c>
      <c r="BR3" t="str">
        <f>_xll.NCDK_WeightedPath(B3)</f>
        <v>1, 1, 0, 0, 0</v>
      </c>
      <c r="BS3" t="str">
        <f>_xll.NCDK_WHIM(B3)</f>
        <v>#N/A</v>
      </c>
      <c r="BT3" t="str">
        <f>_xll.NCDK_WienerNumbers(B3)</f>
        <v>0, 0</v>
      </c>
      <c r="BU3">
        <f>_xll.NCDK_XLogP(B3)</f>
        <v>0.73899999999999999</v>
      </c>
      <c r="BV3">
        <f>_xll.NCDK_ZagrebIndex(B3)</f>
        <v>0</v>
      </c>
    </row>
    <row r="4" spans="1:74" x14ac:dyDescent="0.55000000000000004">
      <c r="A4" t="s">
        <v>55</v>
      </c>
      <c r="B4" t="s">
        <v>0</v>
      </c>
      <c r="C4" t="str">
        <f>_xll.NCDK_InChI(B4)</f>
        <v>InChI=1S/C2H4O2/c1-2(3)4/h1H3,(H,3,4)</v>
      </c>
      <c r="D4">
        <f>_xll.NCDK_Tanimoto($H4,$H5)</f>
        <v>0</v>
      </c>
      <c r="E4" t="str">
        <f>_xll.NCDK(E$1,$B4)</f>
        <v>0000000000000000000000000000000000000000000000000000000000000000000000000000000000000000000000000000000000000000000000000010000000000000001000000000000001001011000100</v>
      </c>
      <c r="F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G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H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I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J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L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M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4" t="str">
        <f>_xll.NCDK_EStateFingerprinter($B4)</f>
        <v>0000001000000001000000000000000001100000000000000000000000000000000000000000000</v>
      </c>
      <c r="P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Q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R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S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4" t="str">
        <f>_xll.NCDK_MACCSFingerprinter($B4)</f>
        <v>0000000000000000000000000000000000000000000000000000000000000000000000000000000000000000000000000000000000000000000000000010000000000000001000000000000001001011000100</v>
      </c>
      <c r="U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V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W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4">
        <f>_xll.NCDK_AcidicGroupCount(B4)</f>
        <v>1</v>
      </c>
      <c r="Y4">
        <f>_xll.NCDK_ALogP(B4)</f>
        <v>-0.22990000000000016</v>
      </c>
      <c r="Z4">
        <f>_xll.NCDK_AMolarRefractivity(B4)</f>
        <v>12.643699999999999</v>
      </c>
      <c r="AA4">
        <f>_xll.NCDK_APol(B4)</f>
        <v>7.7911719999999995</v>
      </c>
      <c r="AB4">
        <f>_xll.NCDK_AromaticAtomsCount(B4)</f>
        <v>0</v>
      </c>
      <c r="AC4">
        <f>_xll.NCDK_AromaticBondsCount(B4)</f>
        <v>0</v>
      </c>
      <c r="AD4">
        <f>_xll.NCDK_AtomCount(B4)</f>
        <v>8</v>
      </c>
      <c r="AE4" t="str">
        <f>_xll.NCDK_AutocorrelationCharge(B4)</f>
        <v>0.194598407923705, -0.0910121789036757, -0.00628702505817703, 0, 0</v>
      </c>
      <c r="AF4" t="str">
        <f>_xll.NCDK_AutocorrelationMass(B4)</f>
        <v>5.54893807108189, 3.66418395426513, 4.43865298980608, 0, 0</v>
      </c>
      <c r="AG4" t="str">
        <f>_xll.NCDK_AutocorrelationPolarizability(B4)</f>
        <v>58.780575625, 47.106336, 38.8410481875, 0, 0</v>
      </c>
      <c r="AH4">
        <f>_xll.NCDK_BasicGroupCount(B4)</f>
        <v>0</v>
      </c>
      <c r="AI4" t="str">
        <f>_xll.NCDK_BCUT(B4)</f>
        <v>11.9966879762366, 15.9982572603197, -0.351666803410558, 0.275648439067482, 3.09299617864267, 4.35788090208676</v>
      </c>
      <c r="AJ4">
        <f>_xll.NCDK_BondCount(B4)</f>
        <v>0</v>
      </c>
      <c r="AK4">
        <f>_xll.NCDK_BPol(B4)</f>
        <v>5.3308280000000003</v>
      </c>
      <c r="AL4" t="str">
        <f>_xll.NCDK_CarbonTypes(B4)</f>
        <v>0, 0, 1, 0, 0, 1, 0, 0, 0</v>
      </c>
      <c r="AM4" t="str">
        <f>_xll.NCDK_ChiChain(B4)</f>
        <v>0, 0, 0, 0, 0, 0, 0, 0, 0, 0</v>
      </c>
      <c r="AN4" t="str">
        <f>_xll.NCDK_ChiCluster(B4)</f>
        <v>0.577350269189626, 0, 0, 0, 0.0912870929175277, 0, 0, 0</v>
      </c>
      <c r="AO4" t="str">
        <f>_xll.NCDK_ChiPathCluster(B4)</f>
        <v>0, 0, 0, 0, 0, 0</v>
      </c>
      <c r="AP4" t="str">
        <f>_xll.NCDK_ChiPath(B4)</f>
        <v>3.57735026918963, 1.73205080756888, 1.73205080756888, 0, 0, 0, 0, 0, 2.35546188596382, 0.927730942981911, 0.519018035899438, 0, 0, 0, 0, 0</v>
      </c>
      <c r="AQ4" t="str">
        <f>_xll.NCDK_CPSA(B4)</f>
        <v>#N/A</v>
      </c>
      <c r="AR4">
        <f>_xll.NCDK_EccentricConnectivityIndex(B4)</f>
        <v>9</v>
      </c>
      <c r="AS4">
        <f>_xll.NCDK_FMF(B4)</f>
        <v>0</v>
      </c>
      <c r="AT4">
        <f>_xll.NCDK_FractionalPSA(B4)</f>
        <v>0.62144781967398288</v>
      </c>
      <c r="AU4">
        <f>_xll.NCDK_FragmentComplexity(B4)</f>
        <v>37.020000000000003</v>
      </c>
      <c r="AV4" t="str">
        <f>_xll.NCDK_GravitationalIndex(B4)</f>
        <v>#N/A</v>
      </c>
      <c r="AW4">
        <f>_xll.NCDK_HBondAcceptorCount(B4)</f>
        <v>2</v>
      </c>
      <c r="AX4">
        <f>_xll.NCDK_HBondDonorCount(B4)</f>
        <v>1</v>
      </c>
      <c r="AY4">
        <f>_xll.NCDK_HybridizationRatio(B4)</f>
        <v>0.5</v>
      </c>
      <c r="AZ4" t="str">
        <f>_xll.NCDK_KappaShapeIndices(B4)</f>
        <v>4, 1.33333333333333, #N/A</v>
      </c>
      <c r="BA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B4">
        <f>_xll.NCDK_LargestChain(B4)</f>
        <v>3</v>
      </c>
      <c r="BC4">
        <f>_xll.NCDK_LargestPiSystem(B4)</f>
        <v>2</v>
      </c>
      <c r="BD4" t="str">
        <f>_xll.NCDK_LengthOverBreadth(B4)</f>
        <v>#N/A</v>
      </c>
      <c r="BE4">
        <f>_xll.NCDK_LongestAliphaticChain(B4)</f>
        <v>2</v>
      </c>
      <c r="BF4">
        <f>_xll.NCDK_MannholdLogP(B4)</f>
        <v>1.46</v>
      </c>
      <c r="BG4" t="str">
        <f>_xll.NCDK_MDE(B4)</f>
        <v>0, 0, 1, 0, 0, 0, 0, 0, 0, 0, 0.5, 0, 0, 0, 0, 0, 0, 0, 0</v>
      </c>
      <c r="BH4" t="str">
        <f>_xll.NCDK_MomentOfInertia(B4)</f>
        <v>#N/A</v>
      </c>
      <c r="BI4">
        <f>_xll.NCDK_PetitjeanNumber(B4)</f>
        <v>0.5</v>
      </c>
      <c r="BJ4" t="str">
        <f>_xll.NCDK_PetitjeanShapeIndex(B4)</f>
        <v>#N/A</v>
      </c>
      <c r="BK4">
        <f>_xll.NCDK_RotatableBondsCount(B4)</f>
        <v>0</v>
      </c>
      <c r="BL4">
        <f>_xll.NCDK_RuleOfFive(B4)</f>
        <v>0</v>
      </c>
      <c r="BM4" t="str">
        <f>_xll.NCDK_SmallRing(B4)</f>
        <v>0, 0, 0, 0, 0, 0, 0, 0, 0, 0, 0</v>
      </c>
      <c r="BN4">
        <f>_xll.NCDK_TPSA(B4)</f>
        <v>37.299999999999997</v>
      </c>
      <c r="BO4">
        <f>_xll.NCDK_VABC(B4)</f>
        <v>58.092422652855603</v>
      </c>
      <c r="BP4">
        <f>_xll.NCDK_VAdjMa(B4)</f>
        <v>2.5849625007211561</v>
      </c>
      <c r="BQ4">
        <f>_xll.NCDK_Weight(B4)</f>
        <v>60.021129368000004</v>
      </c>
      <c r="BR4" t="str">
        <f>_xll.NCDK_WeightedPath(B4)</f>
        <v>6.73205080756888, 1.68301270189222, 4.48803387171259, 4.48803387171259, 0</v>
      </c>
      <c r="BS4" t="str">
        <f>_xll.NCDK_WHIM(B4)</f>
        <v>#N/A</v>
      </c>
      <c r="BT4" t="str">
        <f>_xll.NCDK_WienerNumbers(B4)</f>
        <v>9, 0</v>
      </c>
      <c r="BU4">
        <f>_xll.NCDK_XLogP(B4)</f>
        <v>-0.08</v>
      </c>
      <c r="BV4">
        <f>_xll.NCDK_ZagrebIndex(B4)</f>
        <v>12</v>
      </c>
    </row>
    <row r="5" spans="1:74" x14ac:dyDescent="0.55000000000000004">
      <c r="A5" t="s">
        <v>56</v>
      </c>
      <c r="B5" t="s">
        <v>52</v>
      </c>
      <c r="C5" t="str">
        <f>_xll.NCDK_InChI(B5)</f>
        <v>InChI=1S/C6H6/c1-2-4-6-5-3-1/h1-6H</v>
      </c>
      <c r="D5">
        <f>_xll.NCDK_Tanimoto($H5,$H6)</f>
        <v>0.27272727272727271</v>
      </c>
      <c r="E5" t="str">
        <f>_xll.NCDK(E$1,$B5)</f>
        <v>0000000000000000000000000000000000000000000000000000000000000000000000000000000000000000000000000000000000000000000000000000000000000000000000000000000000000000011010</v>
      </c>
      <c r="F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G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H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I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J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M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5" t="str">
        <f>_xll.NCDK_EStateFingerprinter($B5)</f>
        <v>0000000000010000000000000000000000000000000000000000000000000000000000000000000</v>
      </c>
      <c r="P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Q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T5" t="str">
        <f>_xll.NCDK_MACCSFingerprinter($B5)</f>
        <v>0000000000000000000000000000000000000000000000000000000000000000000000000000000000000000000000000000000000000000000000000000000000000000000000000000000000000000011010</v>
      </c>
      <c r="U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V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W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X5">
        <f>_xll.NCDK_AcidicGroupCount(B5)</f>
        <v>0</v>
      </c>
      <c r="Y5">
        <f>_xll.NCDK_ALogP(B5)</f>
        <v>1.8299999999999996</v>
      </c>
      <c r="Z5">
        <f>_xll.NCDK_AMolarRefractivity(B5)</f>
        <v>26.058</v>
      </c>
      <c r="AA5">
        <f>_xll.NCDK_APol(B5)</f>
        <v>14.560758</v>
      </c>
      <c r="AB5">
        <f>_xll.NCDK_AromaticAtomsCount(B5)</f>
        <v>6</v>
      </c>
      <c r="AC5">
        <f>_xll.NCDK_AromaticBondsCount(B5)</f>
        <v>6</v>
      </c>
      <c r="AD5">
        <f>_xll.NCDK_AtomCount(B5)</f>
        <v>12</v>
      </c>
      <c r="AE5" t="str">
        <f>_xll.NCDK_AutocorrelationCharge(B5)</f>
        <v>0, 0, 0, 0, 0</v>
      </c>
      <c r="AF5" t="str">
        <f>_xll.NCDK_AutocorrelationMass(B5)</f>
        <v>6, 6, 6, 3, 0</v>
      </c>
      <c r="AG5" t="str">
        <f>_xll.NCDK_AutocorrelationPolarizability(B5)</f>
        <v>233.87838834375, 233.87838834375, 233.87838834375, 116.939194171875, 0</v>
      </c>
      <c r="AH5">
        <f>_xll.NCDK_BasicGroupCount(B5)</f>
        <v>0</v>
      </c>
      <c r="AI5" t="str">
        <f>_xll.NCDK_BCUT(B5)</f>
        <v>11.85, 12.1500544016358, -0.211758152069243, 0.0882962495665529, 6.093375, 6.3934294016358</v>
      </c>
      <c r="AJ5">
        <f>_xll.NCDK_BondCount(B5)</f>
        <v>0</v>
      </c>
      <c r="AK5">
        <f>_xll.NCDK_BPol(B5)</f>
        <v>6.5592419999999994</v>
      </c>
      <c r="AL5" t="str">
        <f>_xll.NCDK_CarbonTypes(B5)</f>
        <v>0, 0, 0, 6, 0, 0, 0, 0, 0</v>
      </c>
      <c r="AM5" t="str">
        <f>_xll.NCDK_ChiChain(B5)</f>
        <v>0, 0, 0, 0.125, 0, 0, 0, 0, 0.037037037037037, 0</v>
      </c>
      <c r="AN5" t="str">
        <f>_xll.NCDK_ChiCluster(B5)</f>
        <v>0, 0, 0, 0, 0, 0, 0, 0</v>
      </c>
      <c r="AO5" t="str">
        <f>_xll.NCDK_ChiPathCluster(B5)</f>
        <v>0, 0, 0, 0, 0, 0</v>
      </c>
      <c r="AP5" t="str">
        <f>_xll.NCDK_ChiPath(B5)</f>
        <v>4.24264068711928, 3, 2.12132034355964, 1.5, 1.06066017177982, 0.75, 0, 0, 3.46410161513775, 2, 1.15470053837925, 0.666666666666667, 0.384900179459751, 0.222222222222222, 0, 0</v>
      </c>
      <c r="AQ5" t="str">
        <f>_xll.NCDK_CPSA(B5)</f>
        <v>#N/A</v>
      </c>
      <c r="AR5">
        <f>_xll.NCDK_EccentricConnectivityIndex(B5)</f>
        <v>36</v>
      </c>
      <c r="AS5">
        <f>_xll.NCDK_FMF(B5)</f>
        <v>1</v>
      </c>
      <c r="AT5">
        <f>_xll.NCDK_FractionalPSA(B5)</f>
        <v>0</v>
      </c>
      <c r="AU5">
        <f>_xll.NCDK_FragmentComplexity(B5)</f>
        <v>114</v>
      </c>
      <c r="AV5" t="str">
        <f>_xll.NCDK_GravitationalIndex(B5)</f>
        <v>#N/A</v>
      </c>
      <c r="AW5">
        <f>_xll.NCDK_HBondAcceptorCount(B5)</f>
        <v>0</v>
      </c>
      <c r="AX5">
        <f>_xll.NCDK_HBondDonorCount(B5)</f>
        <v>0</v>
      </c>
      <c r="AY5">
        <f>_xll.NCDK_HybridizationRatio(B5)</f>
        <v>0</v>
      </c>
      <c r="AZ5" t="str">
        <f>_xll.NCDK_KappaShapeIndices(B5)</f>
        <v>4.16666666666667, 2.22222222222222, 1.33333333333333</v>
      </c>
      <c r="BA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B5">
        <f>_xll.NCDK_LargestChain(B5)</f>
        <v>4</v>
      </c>
      <c r="BC5">
        <f>_xll.NCDK_LargestPiSystem(B5)</f>
        <v>6</v>
      </c>
      <c r="BD5" t="str">
        <f>_xll.NCDK_LengthOverBreadth(B5)</f>
        <v>#N/A</v>
      </c>
      <c r="BE5">
        <f>_xll.NCDK_LongestAliphaticChain(B5)</f>
        <v>0</v>
      </c>
      <c r="BF5">
        <f>_xll.NCDK_MannholdLogP(B5)</f>
        <v>2.12</v>
      </c>
      <c r="BG5" t="str">
        <f>_xll.NCDK_MDE(B5)</f>
        <v>0, 0, 0, 0, 9.12546512839809, 0, 0, 0, 0, 0, 0, 0, 0, 0, 0, 0, 0, 0, 0</v>
      </c>
      <c r="BH5" t="str">
        <f>_xll.NCDK_MomentOfInertia(B5)</f>
        <v>#N/A</v>
      </c>
      <c r="BI5">
        <f>_xll.NCDK_PetitjeanNumber(B5)</f>
        <v>0</v>
      </c>
      <c r="BJ5" t="str">
        <f>_xll.NCDK_PetitjeanShapeIndex(B5)</f>
        <v>#N/A</v>
      </c>
      <c r="BK5">
        <f>_xll.NCDK_RotatableBondsCount(B5)</f>
        <v>0</v>
      </c>
      <c r="BL5">
        <f>_xll.NCDK_RuleOfFive(B5)</f>
        <v>0</v>
      </c>
      <c r="BM5" t="str">
        <f>_xll.NCDK_SmallRing(B5)</f>
        <v>1, 1, 1, 1, 0, 0, 0, 1, 0, 0, 0</v>
      </c>
      <c r="BN5">
        <f>_xll.NCDK_TPSA(B5)</f>
        <v>0</v>
      </c>
      <c r="BO5">
        <f>_xll.NCDK_VABC(B5)</f>
        <v>81.166531652800174</v>
      </c>
      <c r="BP5">
        <f>_xll.NCDK_VAdjMa(B5)</f>
        <v>3.5849625007211561</v>
      </c>
      <c r="BQ5">
        <f>_xll.NCDK_Weight(B5)</f>
        <v>78.046950191999997</v>
      </c>
      <c r="BR5" t="str">
        <f>_xll.NCDK_WeightedPath(B5)</f>
        <v>11.8125, 1.96875, 0, 0, 0</v>
      </c>
      <c r="BS5" t="str">
        <f>_xll.NCDK_WHIM(B5)</f>
        <v>#N/A</v>
      </c>
      <c r="BT5" t="str">
        <f>_xll.NCDK_WienerNumbers(B5)</f>
        <v>27, 3</v>
      </c>
      <c r="BU5">
        <f>_xll.NCDK_XLogP(B5)</f>
        <v>2.0220000000000002</v>
      </c>
      <c r="BV5">
        <f>_xll.NCDK_ZagrebIndex(B5)</f>
        <v>24</v>
      </c>
    </row>
    <row r="6" spans="1:74" x14ac:dyDescent="0.55000000000000004">
      <c r="A6" t="s">
        <v>85</v>
      </c>
      <c r="B6" t="s">
        <v>86</v>
      </c>
      <c r="C6" t="str">
        <f>_xll.NCDK_InChI(B6)</f>
        <v>InChI=1S/C7H8/c1-7-5-3-2-4-6-7/h2-6H,1H3</v>
      </c>
      <c r="D6">
        <f>_xll.NCDK_Tanimoto($H6,$H7)</f>
        <v>0</v>
      </c>
      <c r="E6" t="str">
        <f>_xll.NCDK(E$1,$B6)</f>
        <v>0000000000000000000000000000000000000000000000000000000000000000000000000000000000000000000000000000000000000000000000000000000000000000000000000000000000000001011010</v>
      </c>
      <c r="F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H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I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J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L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M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6" t="str">
        <f>_xll.NCDK_EStateFingerprinter($B6)</f>
        <v>0000001000010000100000000000000000000000000000000000000000000000000000000000000</v>
      </c>
      <c r="P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Q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T6" t="str">
        <f>_xll.NCDK_MACCSFingerprinter($B6)</f>
        <v>0000000000000000000000000000000000000000000000000000000000000000000000000000000000000000000000000000000000000000000000000000000000000000000000000000000000000001011010</v>
      </c>
      <c r="U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V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W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X6">
        <f>_xll.NCDK_AcidicGroupCount(B6)</f>
        <v>0</v>
      </c>
      <c r="Y6">
        <f>_xll.NCDK_ALogP(B6)</f>
        <v>2.3162000000000003</v>
      </c>
      <c r="Z6">
        <f>_xll.NCDK_AMolarRefractivity(B6)</f>
        <v>31.0992</v>
      </c>
      <c r="AA6">
        <f>_xll.NCDK_APol(B6)</f>
        <v>17.654343999999998</v>
      </c>
      <c r="AB6">
        <f>_xll.NCDK_AromaticAtomsCount(B6)</f>
        <v>6</v>
      </c>
      <c r="AC6">
        <f>_xll.NCDK_AromaticBondsCount(B6)</f>
        <v>6</v>
      </c>
      <c r="AD6">
        <f>_xll.NCDK_AtomCount(B6)</f>
        <v>15</v>
      </c>
      <c r="AE6" t="str">
        <f>_xll.NCDK_AutocorrelationCharge(B6)</f>
        <v>0.00145821501522747, -0.000488055819316601, -0.000225165712015084, -1.53979004755717E-05, -4.88075806479512E-07</v>
      </c>
      <c r="AF6" t="str">
        <f>_xll.NCDK_AutocorrelationMass(B6)</f>
        <v>7, 7, 8, 5, 1</v>
      </c>
      <c r="AG6" t="str">
        <f>_xll.NCDK_AutocorrelationPolarizability(B6)</f>
        <v>310.962687273438, 320.438287539063, 355.858255328125, 213.793837835938, 36.9196446054688</v>
      </c>
      <c r="AH6">
        <f>_xll.NCDK_BasicGroupCount(B6)</f>
        <v>0</v>
      </c>
      <c r="AI6" t="str">
        <f>_xll.NCDK_BCUT(B6)</f>
        <v>11.89, 12.1100942558098, -0.155208136358149, 0.0651359477608963, 5.76122693815409, 7.50783741355056</v>
      </c>
      <c r="AJ6">
        <f>_xll.NCDK_BondCount(B6)</f>
        <v>0</v>
      </c>
      <c r="AK6">
        <f>_xll.NCDK_BPol(B6)</f>
        <v>8.7456560000000003</v>
      </c>
      <c r="AL6" t="str">
        <f>_xll.NCDK_CarbonTypes(B6)</f>
        <v>0, 0, 0, 5, 1, 1, 0, 0, 0</v>
      </c>
      <c r="AM6" t="str">
        <f>_xll.NCDK_ChiChain(B6)</f>
        <v>0, 0, 0, 0.102062072615966, 0.102062072615966, 0, 0, 0, 0.0320750149549792, 0.0320750149549792</v>
      </c>
      <c r="AN6" t="str">
        <f>_xll.NCDK_ChiCluster(B6)</f>
        <v>0.288675134594813, 0, 0, 0, 0.166666666666667, 0, 0, 0</v>
      </c>
      <c r="AO6" t="str">
        <f>_xll.NCDK_ChiPathCluster(B6)</f>
        <v>0.408248290463863, 0.433012701892219, 0.408248290463863, 0.192450089729875, 0.166666666666667, 0.128300059819917</v>
      </c>
      <c r="AP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AQ6" t="str">
        <f>_xll.NCDK_CPSA(B6)</f>
        <v>#N/A</v>
      </c>
      <c r="AR6">
        <f>_xll.NCDK_EccentricConnectivityIndex(B6)</f>
        <v>45</v>
      </c>
      <c r="AS6">
        <f>_xll.NCDK_FMF(B6)</f>
        <v>0.8571428571428571</v>
      </c>
      <c r="AT6">
        <f>_xll.NCDK_FractionalPSA(B6)</f>
        <v>0</v>
      </c>
      <c r="AU6">
        <f>_xll.NCDK_FragmentComplexity(B6)</f>
        <v>183</v>
      </c>
      <c r="AV6" t="str">
        <f>_xll.NCDK_GravitationalIndex(B6)</f>
        <v>#N/A</v>
      </c>
      <c r="AW6">
        <f>_xll.NCDK_HBondAcceptorCount(B6)</f>
        <v>0</v>
      </c>
      <c r="AX6">
        <f>_xll.NCDK_HBondDonorCount(B6)</f>
        <v>0</v>
      </c>
      <c r="AY6">
        <f>_xll.NCDK_HybridizationRatio(B6)</f>
        <v>0.14285714285714285</v>
      </c>
      <c r="AZ6" t="str">
        <f>_xll.NCDK_KappaShapeIndices(B6)</f>
        <v>5.14285714285714, 2.34375, 1.5</v>
      </c>
      <c r="BA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B6">
        <f>_xll.NCDK_LargestChain(B6)</f>
        <v>0</v>
      </c>
      <c r="BC6">
        <f>_xll.NCDK_LargestPiSystem(B6)</f>
        <v>6</v>
      </c>
      <c r="BD6" t="str">
        <f>_xll.NCDK_LengthOverBreadth(B6)</f>
        <v>#N/A</v>
      </c>
      <c r="BE6">
        <f>_xll.NCDK_LongestAliphaticChain(B6)</f>
        <v>0</v>
      </c>
      <c r="BF6">
        <f>_xll.NCDK_MannholdLogP(B6)</f>
        <v>2.23</v>
      </c>
      <c r="BG6" t="str">
        <f>_xll.NCDK_MDE(B6)</f>
        <v>0, 1.85053586243577, 1, 0, 6.08364341893206, 3.04182170946603, 0, 0, 0, 0, 0, 0, 0, 0, 0, 0, 0, 0, 0</v>
      </c>
      <c r="BH6" t="str">
        <f>_xll.NCDK_MomentOfInertia(B6)</f>
        <v>#N/A</v>
      </c>
      <c r="BI6">
        <f>_xll.NCDK_PetitjeanNumber(B6)</f>
        <v>0.25</v>
      </c>
      <c r="BJ6" t="str">
        <f>_xll.NCDK_PetitjeanShapeIndex(B6)</f>
        <v>#N/A</v>
      </c>
      <c r="BK6">
        <f>_xll.NCDK_RotatableBondsCount(B6)</f>
        <v>0</v>
      </c>
      <c r="BL6">
        <f>_xll.NCDK_RuleOfFive(B6)</f>
        <v>0</v>
      </c>
      <c r="BM6" t="str">
        <f>_xll.NCDK_SmallRing(B6)</f>
        <v>1, 1, 1, 1, 0, 0, 0, 1, 0, 0, 0</v>
      </c>
      <c r="BN6">
        <f>_xll.NCDK_TPSA(B6)</f>
        <v>0</v>
      </c>
      <c r="BO6">
        <f>_xll.NCDK_VABC(B6)</f>
        <v>98.462516278666868</v>
      </c>
      <c r="BP6">
        <f>_xll.NCDK_VAdjMa(B6)</f>
        <v>3.8073549220576042</v>
      </c>
      <c r="BQ6">
        <f>_xll.NCDK_Weight(B6)</f>
        <v>92.062600255999996</v>
      </c>
      <c r="BR6" t="str">
        <f>_xll.NCDK_WeightedPath(B6)</f>
        <v>13.6768253204364, 1.95383218863377, 0, 0, 0</v>
      </c>
      <c r="BS6" t="str">
        <f>_xll.NCDK_WHIM(B6)</f>
        <v>#N/A</v>
      </c>
      <c r="BT6" t="str">
        <f>_xll.NCDK_WienerNumbers(B6)</f>
        <v>42, 5</v>
      </c>
      <c r="BU6">
        <f>_xll.NCDK_XLogP(B6)</f>
        <v>2.4590000000000001</v>
      </c>
      <c r="BV6">
        <f>_xll.NCDK_ZagrebIndex(B6)</f>
        <v>30</v>
      </c>
    </row>
    <row r="7" spans="1:74" x14ac:dyDescent="0.55000000000000004">
      <c r="A7" t="s">
        <v>56</v>
      </c>
      <c r="B7" t="s">
        <v>57</v>
      </c>
      <c r="C7" t="str">
        <f>_xll.NCDK_SMILES(B7)</f>
        <v>[C]1[C][C][C][C][C]1</v>
      </c>
      <c r="D7">
        <f>_xll.NCDK_Tanimoto($H7,$H8)</f>
        <v>1</v>
      </c>
      <c r="E7" t="str">
        <f>_xll.NCDK(E$1,$B7)</f>
        <v>0000000000000000000000000000000000000000000000000000000000000000000000000000000000000000000000000000000000000000000000000000000000000000000000000000000000000000001010</v>
      </c>
      <c r="F7" t="str">
        <f>_xll.NCDK_ECFP0($B7)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7" t="str">
        <f>_xll.NCDK_ECFP2($B7)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7" t="str">
        <f>_xll.NCDK_ECFP4($B7)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7" t="str">
        <f>_xll.NCDK_ECFP6($B7)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7" t="str">
        <f>_xll.NCDK_FCFP2($B7)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7" t="str">
        <f>_xll.NCDK_FCFP4($B7)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7" t="str">
        <f>_xll.NCDK_EStateFingerprinter($B7)</f>
        <v>0000000000000000000000000000000000000000000000000000000000000000000000000000000</v>
      </c>
      <c r="P7" t="str">
        <f>_xll.NCDK_ExtendedFingerprinter($B7)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7" t="str">
        <f>_xll.NCDK_CDKFingerprinter($B7)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7" t="str">
        <f>_xll.NCDK_LingoFingerprinter($B7)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7" t="str">
        <f>_xll.NCDK_MACCSFingerprinter($B7)</f>
        <v>0000000000000000000000000000000000000000000000000000000000000000000000000000000000000000000000000000000000000000000000000000000000000000000000000000000000000000001010</v>
      </c>
      <c r="U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7">
        <f>_xll.NCDK_AcidicGroupCount(B7)</f>
        <v>0</v>
      </c>
      <c r="Y7">
        <f>_xll.NCDK_ALogP(B7)</f>
        <v>-1.7280000000000006</v>
      </c>
      <c r="Z7">
        <f>_xll.NCDK_AMolarRefractivity(B7)</f>
        <v>17.4696</v>
      </c>
      <c r="AA7">
        <f>_xll.NCDK_APol(B7)</f>
        <v>10.56</v>
      </c>
      <c r="AB7">
        <f>_xll.NCDK_AromaticAtomsCount(B7)</f>
        <v>0</v>
      </c>
      <c r="AC7">
        <f>_xll.NCDK_AromaticBondsCount(B7)</f>
        <v>0</v>
      </c>
      <c r="AD7">
        <f>_xll.NCDK_AtomCount(B7)</f>
        <v>6</v>
      </c>
      <c r="AE7" t="str">
        <f>_xll.NCDK_AutocorrelationCharge(B7)</f>
        <v>0, 0, 0, 0, 0</v>
      </c>
      <c r="AF7" t="str">
        <f>_xll.NCDK_AutocorrelationMass(B7)</f>
        <v>6, 6, 6, 3, 0</v>
      </c>
      <c r="AG7" t="str">
        <f>_xll.NCDK_AutocorrelationPolarizability(B7)</f>
        <v>257.709834375, 257.709834375, 257.709834375, 128.8549171875, 0</v>
      </c>
      <c r="AH7">
        <f>_xll.NCDK_BasicGroupCount(B7)</f>
        <v>0</v>
      </c>
      <c r="AI7" t="str">
        <f>_xll.NCDK_BCUT(B7)</f>
        <v>11.9, 12.1000824042221, -0.15279744210896, 0.0472849621131451, 6.45375, 6.65383240422211</v>
      </c>
      <c r="AJ7">
        <f>_xll.NCDK_BondCount(B7)</f>
        <v>0</v>
      </c>
      <c r="AK7">
        <f>_xll.NCDK_BPol(B7)</f>
        <v>0</v>
      </c>
      <c r="AL7" t="str">
        <f>_xll.NCDK_CarbonTypes(B7)</f>
        <v>0, 0, 0, 0, 0, 0, 6, 0, 0</v>
      </c>
      <c r="AM7" t="str">
        <f>_xll.NCDK_ChiChain(B7)</f>
        <v>0, 0, 0, 0.125, 0, 0, 0, 0, 0.125, 0</v>
      </c>
      <c r="AN7" t="str">
        <f>_xll.NCDK_ChiCluster(B7)</f>
        <v>0, 0, 0, 0, 0, 0, 0, 0</v>
      </c>
      <c r="AO7" t="str">
        <f>_xll.NCDK_ChiPathCluster(B7)</f>
        <v>0, 0, 0, 0, 0, 0</v>
      </c>
      <c r="AP7" t="str">
        <f>_xll.NCDK_ChiPath(B7)</f>
        <v>4.24264068711928, 3, 2.12132034355964, 1.5, 1.06066017177982, 0.75, 0, 0, 4.24264068711928, 3, 2.12132034355964, 1.5, 1.06066017177982, 0.75, 0, 0</v>
      </c>
      <c r="AQ7" t="str">
        <f>_xll.NCDK_CPSA(B7)</f>
        <v>#N/A</v>
      </c>
      <c r="AR7">
        <f>_xll.NCDK_EccentricConnectivityIndex(B7)</f>
        <v>36</v>
      </c>
      <c r="AS7">
        <f>_xll.NCDK_FMF(B7)</f>
        <v>1</v>
      </c>
      <c r="AT7">
        <f>_xll.NCDK_FractionalPSA(B7)</f>
        <v>0</v>
      </c>
      <c r="AU7">
        <f>_xll.NCDK_FragmentComplexity(B7)</f>
        <v>6</v>
      </c>
      <c r="AV7" t="str">
        <f>_xll.NCDK_GravitationalIndex(B7)</f>
        <v>#N/A</v>
      </c>
      <c r="AW7">
        <f>_xll.NCDK_HBondAcceptorCount(B7)</f>
        <v>0</v>
      </c>
      <c r="AX7">
        <f>_xll.NCDK_HBondDonorCount(B7)</f>
        <v>0</v>
      </c>
      <c r="AY7">
        <f>_xll.NCDK_HybridizationRatio(B7)</f>
        <v>1</v>
      </c>
      <c r="AZ7" t="str">
        <f>_xll.NCDK_KappaShapeIndices(B7)</f>
        <v>4.16666666666667, 2.22222222222222, 1.33333333333333</v>
      </c>
      <c r="BA7" t="str">
        <f>_xll.NCDK_KierHallSmarts(B7)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7">
        <f>_xll.NCDK_LargestChain(B7)</f>
        <v>4</v>
      </c>
      <c r="BC7">
        <f>_xll.NCDK_LargestPiSystem(B7)</f>
        <v>0</v>
      </c>
      <c r="BD7" t="str">
        <f>_xll.NCDK_LengthOverBreadth(B7)</f>
        <v>#N/A</v>
      </c>
      <c r="BE7">
        <f>_xll.NCDK_LongestAliphaticChain(B7)</f>
        <v>0</v>
      </c>
      <c r="BF7">
        <f>_xll.NCDK_MannholdLogP(B7)</f>
        <v>2.12</v>
      </c>
      <c r="BG7" t="str">
        <f>_xll.NCDK_MDE(B7)</f>
        <v>0, 0, 0, 0, 9.12546512839809, 0, 0, 0, 0, 0, 0, 0, 0, 0, 0, 0, 0, 0, 0</v>
      </c>
      <c r="BH7" t="str">
        <f>_xll.NCDK_MomentOfInertia(B7)</f>
        <v>#N/A</v>
      </c>
      <c r="BI7">
        <f>_xll.NCDK_PetitjeanNumber(B7)</f>
        <v>0</v>
      </c>
      <c r="BJ7" t="str">
        <f>_xll.NCDK_PetitjeanShapeIndex(B7)</f>
        <v>#N/A</v>
      </c>
      <c r="BK7">
        <f>_xll.NCDK_RotatableBondsCount(B7)</f>
        <v>0</v>
      </c>
      <c r="BL7">
        <f>_xll.NCDK_RuleOfFive(B7)</f>
        <v>0</v>
      </c>
      <c r="BM7" t="str">
        <f>_xll.NCDK_SmallRing(B7)</f>
        <v>1, 0, 1, 0, 0, 0, 0, 1, 0, 0, 0</v>
      </c>
      <c r="BN7">
        <f>_xll.NCDK_TPSA(B7)</f>
        <v>0</v>
      </c>
      <c r="BO7">
        <f>_xll.NCDK_VABC(B7)</f>
        <v>99.975907755200197</v>
      </c>
      <c r="BP7">
        <f>_xll.NCDK_VAdjMa(B7)</f>
        <v>3.5849625007211561</v>
      </c>
      <c r="BQ7">
        <f>_xll.NCDK_Weight(B7)</f>
        <v>72</v>
      </c>
      <c r="BR7" t="str">
        <f>_xll.NCDK_WeightedPath(B7)</f>
        <v>11.8125, 1.96875, 0, 0, 0</v>
      </c>
      <c r="BS7" t="str">
        <f>_xll.NCDK_WHIM(B7)</f>
        <v>#N/A</v>
      </c>
      <c r="BT7" t="str">
        <f>_xll.NCDK_WienerNumbers(B7)</f>
        <v>27, 3</v>
      </c>
      <c r="BU7">
        <f>_xll.NCDK_XLogP(B7)</f>
        <v>3.4139999999999997</v>
      </c>
      <c r="BV7">
        <f>_xll.NCDK_ZagrebIndex(B7)</f>
        <v>24</v>
      </c>
    </row>
    <row r="8" spans="1:74" x14ac:dyDescent="0.55000000000000004">
      <c r="A8" t="s">
        <v>56</v>
      </c>
      <c r="B8" t="s">
        <v>58</v>
      </c>
      <c r="C8" t="str">
        <f>_xll.NCDK_InChIKey(B8)</f>
        <v>PXCDDPIOUAJVRE-UHFFFAOYSA-N</v>
      </c>
      <c r="D8">
        <f>_xll.NCDK_Tanimoto($H8,$H9)</f>
        <v>1</v>
      </c>
      <c r="E8" t="str">
        <f>_xll.NCDK(E$1,$B8)</f>
        <v>0000000000000000000000000000000000000000000000000000000000000000000000000000000000000000000000000000000000000000000000000000000000000000000000000000000000000000001010</v>
      </c>
      <c r="F8" t="str">
        <f>_xll.NCDK_ECFP0($B8)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8" t="str">
        <f>_xll.NCDK_ECFP2($B8)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8" t="str">
        <f>_xll.NCDK_ECFP4($B8)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8" t="str">
        <f>_xll.NCDK_ECFP6($B8)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8" t="str">
        <f>_xll.NCDK_FCFP2($B8)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8" t="str">
        <f>_xll.NCDK_FCFP4($B8)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8" t="str">
        <f>_xll.NCDK_EStateFingerprinter($B8)</f>
        <v>0000000000000000000000000000000000000000000000000000000000000000000000000000000</v>
      </c>
      <c r="P8" t="str">
        <f>_xll.NCDK_ExtendedFingerprinter($B8)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8" t="str">
        <f>_xll.NCDK_CDKFingerprinter($B8)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8" t="str">
        <f>_xll.NCDK_LingoFingerprinter($B8)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8" t="str">
        <f>_xll.NCDK_MACCSFingerprinter($B8)</f>
        <v>0000000000000000000000000000000000000000000000000000000000000000000000000000000000000000000000000000000000000000000000000000000000000000000000000000000000000000001010</v>
      </c>
      <c r="U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8">
        <f>_xll.NCDK_AcidicGroupCount(B8)</f>
        <v>0</v>
      </c>
      <c r="Y8">
        <f>_xll.NCDK_ALogP(B8)</f>
        <v>-1.7280000000000006</v>
      </c>
      <c r="Z8">
        <f>_xll.NCDK_AMolarRefractivity(B8)</f>
        <v>17.4696</v>
      </c>
      <c r="AA8">
        <f>_xll.NCDK_APol(B8)</f>
        <v>10.56</v>
      </c>
      <c r="AB8">
        <f>_xll.NCDK_AromaticAtomsCount(B8)</f>
        <v>0</v>
      </c>
      <c r="AC8">
        <f>_xll.NCDK_AromaticBondsCount(B8)</f>
        <v>0</v>
      </c>
      <c r="AD8">
        <f>_xll.NCDK_AtomCount(B8)</f>
        <v>18</v>
      </c>
      <c r="AE8" t="str">
        <f>_xll.NCDK_AutocorrelationCharge(B8)</f>
        <v>0, 0, 0, 0, 0</v>
      </c>
      <c r="AF8" t="str">
        <f>_xll.NCDK_AutocorrelationMass(B8)</f>
        <v>6, 6, 6, 3, 0</v>
      </c>
      <c r="AG8" t="str">
        <f>_xll.NCDK_AutocorrelationPolarizability(B8)</f>
        <v>257.709834375, 257.709834375, 257.709834375, 128.8549171875, 0</v>
      </c>
      <c r="AH8">
        <f>_xll.NCDK_BasicGroupCount(B8)</f>
        <v>0</v>
      </c>
      <c r="AI8" t="str">
        <f>_xll.NCDK_BCUT(B8)</f>
        <v>11.9, 12.1000824042221, -0.15279744210896, 0.0472849621131451, 6.45375, 6.65383240422211</v>
      </c>
      <c r="AJ8">
        <f>_xll.NCDK_BondCount(B8)</f>
        <v>0</v>
      </c>
      <c r="AK8">
        <f>_xll.NCDK_BPol(B8)</f>
        <v>13.118483999999999</v>
      </c>
      <c r="AL8" t="str">
        <f>_xll.NCDK_CarbonTypes(B8)</f>
        <v>0, 0, 0, 0, 0, 0, 6, 0, 0</v>
      </c>
      <c r="AM8" t="str">
        <f>_xll.NCDK_ChiChain(B8)</f>
        <v>0, 0, 0, 0.125, 0, 0, 0, 0, 0.125, 0</v>
      </c>
      <c r="AN8" t="str">
        <f>_xll.NCDK_ChiCluster(B8)</f>
        <v>0, 0, 0, 0, 0, 0, 0, 0</v>
      </c>
      <c r="AO8" t="str">
        <f>_xll.NCDK_ChiPathCluster(B8)</f>
        <v>0, 0, 0, 0, 0, 0</v>
      </c>
      <c r="AP8" t="str">
        <f>_xll.NCDK_ChiPath(B8)</f>
        <v>4.24264068711928, 3, 2.12132034355964, 1.5, 1.06066017177982, 0.75, 0, 0, 4.24264068711928, 3, 2.12132034355964, 1.5, 1.06066017177982, 0.75, 0, 0</v>
      </c>
      <c r="AQ8" t="str">
        <f>_xll.NCDK_CPSA(B8)</f>
        <v>#N/A</v>
      </c>
      <c r="AR8">
        <f>_xll.NCDK_EccentricConnectivityIndex(B8)</f>
        <v>36</v>
      </c>
      <c r="AS8">
        <f>_xll.NCDK_FMF(B8)</f>
        <v>1</v>
      </c>
      <c r="AT8">
        <f>_xll.NCDK_FractionalPSA(B8)</f>
        <v>0</v>
      </c>
      <c r="AU8">
        <f>_xll.NCDK_FragmentComplexity(B8)</f>
        <v>294</v>
      </c>
      <c r="AV8" t="str">
        <f>_xll.NCDK_GravitationalIndex(B8)</f>
        <v>#N/A</v>
      </c>
      <c r="AW8">
        <f>_xll.NCDK_HBondAcceptorCount(B8)</f>
        <v>0</v>
      </c>
      <c r="AX8">
        <f>_xll.NCDK_HBondDonorCount(B8)</f>
        <v>0</v>
      </c>
      <c r="AY8">
        <f>_xll.NCDK_HybridizationRatio(B8)</f>
        <v>1</v>
      </c>
      <c r="AZ8" t="str">
        <f>_xll.NCDK_KappaShapeIndices(B8)</f>
        <v>4.16666666666667, 2.22222222222222, 1.33333333333333</v>
      </c>
      <c r="BA8" t="str">
        <f>_xll.NCDK_KierHallSmarts(B8)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8">
        <f>_xll.NCDK_LargestChain(B8)</f>
        <v>4</v>
      </c>
      <c r="BC8">
        <f>_xll.NCDK_LargestPiSystem(B8)</f>
        <v>0</v>
      </c>
      <c r="BD8" t="str">
        <f>_xll.NCDK_LengthOverBreadth(B8)</f>
        <v>#N/A</v>
      </c>
      <c r="BE8">
        <f>_xll.NCDK_LongestAliphaticChain(B8)</f>
        <v>0</v>
      </c>
      <c r="BF8">
        <f>_xll.NCDK_MannholdLogP(B8)</f>
        <v>2.12</v>
      </c>
      <c r="BG8" t="str">
        <f>_xll.NCDK_MDE(B8)</f>
        <v>0, 0, 0, 0, 9.12546512839809, 0, 0, 0, 0, 0, 0, 0, 0, 0, 0, 0, 0, 0, 0</v>
      </c>
      <c r="BH8" t="str">
        <f>_xll.NCDK_MomentOfInertia(B8)</f>
        <v>#N/A</v>
      </c>
      <c r="BI8">
        <f>_xll.NCDK_PetitjeanNumber(B8)</f>
        <v>0</v>
      </c>
      <c r="BJ8" t="str">
        <f>_xll.NCDK_PetitjeanShapeIndex(B8)</f>
        <v>#N/A</v>
      </c>
      <c r="BK8">
        <f>_xll.NCDK_RotatableBondsCount(B8)</f>
        <v>0</v>
      </c>
      <c r="BL8">
        <f>_xll.NCDK_RuleOfFive(B8)</f>
        <v>0</v>
      </c>
      <c r="BM8" t="str">
        <f>_xll.NCDK_SmallRing(B8)</f>
        <v>1, 0, 1, 0, 0, 0, 0, 1, 0, 0, 0</v>
      </c>
      <c r="BN8">
        <f>_xll.NCDK_TPSA(B8)</f>
        <v>0</v>
      </c>
      <c r="BO8">
        <f>_xll.NCDK_VABC(B8)</f>
        <v>99.975907755200197</v>
      </c>
      <c r="BP8">
        <f>_xll.NCDK_VAdjMa(B8)</f>
        <v>3.5849625007211561</v>
      </c>
      <c r="BQ8">
        <f>_xll.NCDK_Weight(B8)</f>
        <v>84.093900383999994</v>
      </c>
      <c r="BR8" t="str">
        <f>_xll.NCDK_WeightedPath(B8)</f>
        <v>11.8125, 1.96875, 0, 0, 0</v>
      </c>
      <c r="BS8" t="str">
        <f>_xll.NCDK_WHIM(B8)</f>
        <v>#N/A</v>
      </c>
      <c r="BT8" t="str">
        <f>_xll.NCDK_WienerNumbers(B8)</f>
        <v>27, 3</v>
      </c>
      <c r="BU8">
        <f>_xll.NCDK_XLogP(B8)</f>
        <v>3.4139999999999997</v>
      </c>
      <c r="BV8">
        <f>_xll.NCDK_ZagrebIndex(B8)</f>
        <v>24</v>
      </c>
    </row>
    <row r="9" spans="1:74" x14ac:dyDescent="0.55000000000000004">
      <c r="A9" t="s">
        <v>56</v>
      </c>
      <c r="B9" t="s">
        <v>58</v>
      </c>
      <c r="C9" t="str">
        <f>_xll.NCDK_InChIKey(B9)</f>
        <v>PXCDDPIOUAJVRE-UHFFFAOYSA-N</v>
      </c>
      <c r="D9">
        <f>_xll.NCDK_Tanimoto($H9,$H10)</f>
        <v>1.9607843137254902E-2</v>
      </c>
      <c r="E9" t="str">
        <f>_xll.NCDK(E$1,$B9)</f>
        <v>0000000000000000000000000000000000000000000000000000000000000000000000000000000000000000000000000000000000000000000000000000000000000000000000000000000000000000001010</v>
      </c>
      <c r="F9" t="str">
        <f>_xll.NCDK_ECFP0($B9)</f>
        <v>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G9" t="str">
        <f>_xll.NCDK_ECFP2($B9)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H9" t="str">
        <f>_xll.NCDK_ECFP4($B9)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I9" t="str">
        <f>_xll.NCDK_ECFP6($B9)</f>
        <v>000000000000001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</v>
      </c>
      <c r="J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9" t="str">
        <f>_xll.NCDK_FCFP2($B9)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9" t="str">
        <f>_xll.NCDK_FCFP4($B9)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M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O9" t="str">
        <f>_xll.NCDK_EStateFingerprinter($B9)</f>
        <v>0000000000000000000000000000000000000000000000000000000000000000000000000000000</v>
      </c>
      <c r="P9" t="str">
        <f>_xll.NCDK_ExtendedFingerprinter($B9)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Q9" t="str">
        <f>_xll.NCDK_CDKFingerprinter($B9)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R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9" t="str">
        <f>_xll.NCDK_LingoFingerprinter($B9)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T9" t="str">
        <f>_xll.NCDK_MACCSFingerprinter($B9)</f>
        <v>0000000000000000000000000000000000000000000000000000000000000000000000000000000000000000000000000000000000000000000000000000000000000000000000000000000000000000001010</v>
      </c>
      <c r="U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V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X9">
        <f>_xll.NCDK_AcidicGroupCount(B9)</f>
        <v>0</v>
      </c>
      <c r="Y9">
        <f>_xll.NCDK_ALogP(B9)</f>
        <v>-1.7280000000000006</v>
      </c>
      <c r="Z9">
        <f>_xll.NCDK_AMolarRefractivity(B9)</f>
        <v>17.4696</v>
      </c>
      <c r="AA9">
        <f>_xll.NCDK_APol(B9)</f>
        <v>10.56</v>
      </c>
      <c r="AB9">
        <f>_xll.NCDK_AromaticAtomsCount(B9)</f>
        <v>0</v>
      </c>
      <c r="AC9">
        <f>_xll.NCDK_AromaticBondsCount(B9)</f>
        <v>0</v>
      </c>
      <c r="AD9">
        <f>_xll.NCDK_AtomCount(B9)</f>
        <v>18</v>
      </c>
      <c r="AE9" t="str">
        <f>_xll.NCDK_AutocorrelationCharge(B9)</f>
        <v>0, 0, 0, 0, 0</v>
      </c>
      <c r="AF9" t="str">
        <f>_xll.NCDK_AutocorrelationMass(B9)</f>
        <v>6, 6, 6, 3, 0</v>
      </c>
      <c r="AG9" t="str">
        <f>_xll.NCDK_AutocorrelationPolarizability(B9)</f>
        <v>257.709834375, 257.709834375, 257.709834375, 128.8549171875, 0</v>
      </c>
      <c r="AH9">
        <f>_xll.NCDK_BasicGroupCount(B9)</f>
        <v>0</v>
      </c>
      <c r="AI9" t="str">
        <f>_xll.NCDK_BCUT(B9)</f>
        <v>11.9, 12.1000824042221, -0.15279744210896, 0.0472849621131451, 6.45375, 6.65383240422211</v>
      </c>
      <c r="AJ9">
        <f>_xll.NCDK_BondCount(B9)</f>
        <v>0</v>
      </c>
      <c r="AK9">
        <f>_xll.NCDK_BPol(B9)</f>
        <v>13.118483999999999</v>
      </c>
      <c r="AL9" t="str">
        <f>_xll.NCDK_CarbonTypes(B9)</f>
        <v>0, 0, 0, 0, 0, 0, 6, 0, 0</v>
      </c>
      <c r="AM9" t="str">
        <f>_xll.NCDK_ChiChain(B9)</f>
        <v>0, 0, 0, 0.125, 0, 0, 0, 0, 0.125, 0</v>
      </c>
      <c r="AN9" t="str">
        <f>_xll.NCDK_ChiCluster(B9)</f>
        <v>0, 0, 0, 0, 0, 0, 0, 0</v>
      </c>
      <c r="AO9" t="str">
        <f>_xll.NCDK_ChiPathCluster(B9)</f>
        <v>0, 0, 0, 0, 0, 0</v>
      </c>
      <c r="AP9" t="str">
        <f>_xll.NCDK_ChiPath(B9)</f>
        <v>4.24264068711928, 3, 2.12132034355964, 1.5, 1.06066017177982, 0.75, 0, 0, 4.24264068711928, 3, 2.12132034355964, 1.5, 1.06066017177982, 0.75, 0, 0</v>
      </c>
      <c r="AQ9" t="str">
        <f>_xll.NCDK_CPSA(B9)</f>
        <v>#N/A</v>
      </c>
      <c r="AR9">
        <f>_xll.NCDK_EccentricConnectivityIndex(B9)</f>
        <v>36</v>
      </c>
      <c r="AS9">
        <f>_xll.NCDK_FMF(B9)</f>
        <v>1</v>
      </c>
      <c r="AT9">
        <f>_xll.NCDK_FractionalPSA(B9)</f>
        <v>0</v>
      </c>
      <c r="AU9">
        <f>_xll.NCDK_FragmentComplexity(B9)</f>
        <v>294</v>
      </c>
      <c r="AV9" t="str">
        <f>_xll.NCDK_GravitationalIndex(B9)</f>
        <v>#N/A</v>
      </c>
      <c r="AW9">
        <f>_xll.NCDK_HBondAcceptorCount(B9)</f>
        <v>0</v>
      </c>
      <c r="AX9">
        <f>_xll.NCDK_HBondDonorCount(B9)</f>
        <v>0</v>
      </c>
      <c r="AY9">
        <f>_xll.NCDK_HybridizationRatio(B9)</f>
        <v>1</v>
      </c>
      <c r="AZ9" t="str">
        <f>_xll.NCDK_KappaShapeIndices(B9)</f>
        <v>4.16666666666667, 2.22222222222222, 1.33333333333333</v>
      </c>
      <c r="BA9" t="str">
        <f>_xll.NCDK_KierHallSmarts(B9)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B9">
        <f>_xll.NCDK_LargestChain(B9)</f>
        <v>4</v>
      </c>
      <c r="BC9">
        <f>_xll.NCDK_LargestPiSystem(B9)</f>
        <v>0</v>
      </c>
      <c r="BD9" t="str">
        <f>_xll.NCDK_LengthOverBreadth(B9)</f>
        <v>#N/A</v>
      </c>
      <c r="BE9">
        <f>_xll.NCDK_LongestAliphaticChain(B9)</f>
        <v>0</v>
      </c>
      <c r="BF9">
        <f>_xll.NCDK_MannholdLogP(B9)</f>
        <v>2.12</v>
      </c>
      <c r="BG9" t="str">
        <f>_xll.NCDK_MDE(B9)</f>
        <v>0, 0, 0, 0, 9.12546512839809, 0, 0, 0, 0, 0, 0, 0, 0, 0, 0, 0, 0, 0, 0</v>
      </c>
      <c r="BH9" t="str">
        <f>_xll.NCDK_MomentOfInertia(B9)</f>
        <v>#N/A</v>
      </c>
      <c r="BI9">
        <f>_xll.NCDK_PetitjeanNumber(B9)</f>
        <v>0</v>
      </c>
      <c r="BJ9" t="str">
        <f>_xll.NCDK_PetitjeanShapeIndex(B9)</f>
        <v>#N/A</v>
      </c>
      <c r="BK9">
        <f>_xll.NCDK_RotatableBondsCount(B9)</f>
        <v>0</v>
      </c>
      <c r="BL9">
        <f>_xll.NCDK_RuleOfFive(B9)</f>
        <v>0</v>
      </c>
      <c r="BM9" t="str">
        <f>_xll.NCDK_SmallRing(B9)</f>
        <v>1, 0, 1, 0, 0, 0, 0, 1, 0, 0, 0</v>
      </c>
      <c r="BN9">
        <f>_xll.NCDK_TPSA(B9)</f>
        <v>0</v>
      </c>
      <c r="BO9">
        <f>_xll.NCDK_VABC(B9)</f>
        <v>99.975907755200197</v>
      </c>
      <c r="BP9">
        <f>_xll.NCDK_VAdjMa(B9)</f>
        <v>3.5849625007211561</v>
      </c>
      <c r="BQ9">
        <f>_xll.NCDK_Weight(B9)</f>
        <v>84.093900383999994</v>
      </c>
      <c r="BR9" t="str">
        <f>_xll.NCDK_WeightedPath(B9)</f>
        <v>11.8125, 1.96875, 0, 0, 0</v>
      </c>
      <c r="BS9" t="str">
        <f>_xll.NCDK_WHIM(B9)</f>
        <v>#N/A</v>
      </c>
      <c r="BT9" t="str">
        <f>_xll.NCDK_WienerNumbers(B9)</f>
        <v>27, 3</v>
      </c>
      <c r="BU9">
        <f>_xll.NCDK_XLogP(B9)</f>
        <v>3.4139999999999997</v>
      </c>
      <c r="BV9">
        <f>_xll.NCDK_ZagrebIndex(B9)</f>
        <v>24</v>
      </c>
    </row>
    <row r="10" spans="1:74" ht="19" customHeight="1" x14ac:dyDescent="0.55000000000000004">
      <c r="A10" t="s">
        <v>63</v>
      </c>
      <c r="B10" s="1" t="s">
        <v>62</v>
      </c>
      <c r="C10" t="str">
        <f>_xll.NCDK_SMILES(B10)</f>
        <v>[C@@]12(C(C([C@](O[H])(C(C1=C(C([C@@]3([C@]2([H])C(C([C@]4([C@@]3([H])C(C([C@]4([H])[C@](C([H])([H])[H])(C(C(C(C(C([H])([H])[H])(C([H])([H])[H])[H])([H])[H])([H])[H])([H])[H])[H])([H])[H])([H])[H])C([H])([H])[H])([H])[H])([H])[H])[H])([H])[H])[H])([H])[H])[H])([H])[H])([H])[H])C([H])([H])[H]</v>
      </c>
      <c r="D10">
        <f>_xll.NCDK_Tanimoto($H10,$H11)</f>
        <v>0.47761194029850745</v>
      </c>
      <c r="E10" t="str">
        <f>_xll.NCDK(E$1,$B10)</f>
        <v>0000000000000000000000000100000000000000000000000100000000000000010000000101000000000000010000010010000110010001001101000000011110010000001010101010110100101001001110</v>
      </c>
      <c r="F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H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I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J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M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O10" t="str">
        <f>_xll.NCDK_EStateFingerprinter($B10)</f>
        <v>0000000000000001001000000000000000000000000000000000000000000000000000000000000</v>
      </c>
      <c r="P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Q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R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S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T10" t="str">
        <f>_xll.NCDK_MACCSFingerprinter($B10)</f>
        <v>0000000000000000000000000100000000000000000000000100000000000000010000000101000000000000010000010010000110010001001101000000011110010000001010101010110100101001001110</v>
      </c>
      <c r="U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V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W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X10">
        <f>_xll.NCDK_AcidicGroupCount(B10)</f>
        <v>0</v>
      </c>
      <c r="Y10">
        <f>_xll.NCDK_ALogP(B10)</f>
        <v>1.5548000000000011</v>
      </c>
      <c r="Z10">
        <f>_xll.NCDK_AMolarRefractivity(B10)</f>
        <v>115.17460000000001</v>
      </c>
      <c r="AA10">
        <f>_xll.NCDK_APol(B10)</f>
        <v>78.99447799999993</v>
      </c>
      <c r="AB10">
        <f>_xll.NCDK_AromaticAtomsCount(B10)</f>
        <v>0</v>
      </c>
      <c r="AC10">
        <f>_xll.NCDK_AromaticBondsCount(B10)</f>
        <v>0</v>
      </c>
      <c r="AD10">
        <f>_xll.NCDK_AtomCount(B10)</f>
        <v>74</v>
      </c>
      <c r="AE10" t="str">
        <f>_xll.NCDK_AutocorrelationCharge(B10)</f>
        <v>0.0827991713427503, -0.0229631507285856, -0.0270969061556759, 0.00647128770548948, 0.00909713625645344</v>
      </c>
      <c r="AF10" t="str">
        <f>_xll.NCDK_AutocorrelationMass(B10)</f>
        <v>28.7744690355409, 31.3320919771326, 48.6641839542651, 54.6641839542651, 49.6641839542651</v>
      </c>
      <c r="AG10" t="str">
        <f>_xll.NCDK_AutocorrelationPolarizability(B10)</f>
        <v>2589.35165284459, 3179.06049775734, 4922.9791073968, 5328.87269506555, 4616.91714731414</v>
      </c>
      <c r="AH10">
        <f>_xll.NCDK_BasicGroupCount(B10)</f>
        <v>0</v>
      </c>
      <c r="AI10" t="str">
        <f>_xll.NCDK_BCUT(B10)</f>
        <v>11.89, 15.9949214370833, -0.392219399090072, 0.0596280868632924, 5.23875003301361, 12.6475909449557</v>
      </c>
      <c r="AJ10">
        <f>_xll.NCDK_BondCount(B10)</f>
        <v>46</v>
      </c>
      <c r="AK10">
        <f>_xll.NCDK_BPol(B10)</f>
        <v>50.287521999999989</v>
      </c>
      <c r="AL10" t="str">
        <f>_xll.NCDK_CarbonTypes(B10)</f>
        <v>0, 0, 0, 1, 1, 5, 12, 6, 2</v>
      </c>
      <c r="AM10" t="str">
        <f>_xll.NCDK_ChiChain(B10)</f>
        <v>0, 0, 0.0833333333333333, 0.393634553260967, 0.976046921839545, 0, 0, 0.0833333333333333, 0.37164819290959, 0.863165765466815</v>
      </c>
      <c r="AN10" t="str">
        <f>_xll.NCDK_ChiCluster(B10)</f>
        <v>2.9521315814894, 0.235702260395516, 1.02234106177579, 0.203263132396285, 2.68481479020038, 0.219913202813724, 0.935219433730957, 0.179558378198271</v>
      </c>
      <c r="AO10" t="str">
        <f>_xll.NCDK_ChiPathCluster(B10)</f>
        <v>6.93012787723299, 11.9183161832455, 18.084244169983, 6.31056734345633, 10.8246614459309, 15.7948474414898</v>
      </c>
      <c r="AP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AQ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AR10">
        <f>_xll.NCDK_EccentricConnectivityIndex(B10)</f>
        <v>669</v>
      </c>
      <c r="AS10">
        <f>_xll.NCDK_FMF(B10)</f>
        <v>0.22972972972972974</v>
      </c>
      <c r="AT10">
        <f>_xll.NCDK_FractionalPSA(B10)</f>
        <v>5.2361188574192148E-2</v>
      </c>
      <c r="AU10">
        <f>_xll.NCDK_FragmentComplexity(B10)</f>
        <v>5173.01</v>
      </c>
      <c r="AV10" t="str">
        <f>_xll.NCDK_GravitationalIndex(B10)</f>
        <v>1941.85812139388, 44.0665192793109, 12.4759176252409, 2394.88950905792, 48.9376083299737, 13.37914910667, 4535.65140656394, 67.3472449812458, 16.5531209985441</v>
      </c>
      <c r="AW10">
        <f>_xll.NCDK_HBondAcceptorCount(B10)</f>
        <v>1</v>
      </c>
      <c r="AX10">
        <f>_xll.NCDK_HBondDonorCount(B10)</f>
        <v>1</v>
      </c>
      <c r="AY10">
        <f>_xll.NCDK_HybridizationRatio(B10)</f>
        <v>0.92592592592592593</v>
      </c>
      <c r="AZ10" t="str">
        <f>_xll.NCDK_KappaShapeIndices(B10)</f>
        <v>21.2403746097815, 7.921875, 3.65484429065744</v>
      </c>
      <c r="BA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B10">
        <f>_xll.NCDK_LargestChain(B10)</f>
        <v>7</v>
      </c>
      <c r="BC10">
        <f>_xll.NCDK_LargestPiSystem(B10)</f>
        <v>2</v>
      </c>
      <c r="BD10" t="str">
        <f>_xll.NCDK_LengthOverBreadth(B10)</f>
        <v>3.502934717034, 3.502934717034</v>
      </c>
      <c r="BE10">
        <f>_xll.NCDK_LongestAliphaticChain(B10)</f>
        <v>7</v>
      </c>
      <c r="BF10">
        <f>_xll.NCDK_MannholdLogP(B10)</f>
        <v>4.3199999999999994</v>
      </c>
      <c r="BG10" t="str">
        <f>_xll.NCDK_MDE(B10)</f>
        <v>2.79346109096649, 16.5925259846737, 11.5560895487586, 3.39888423642021, 17.7527182855433, 29.2401176288661, 7.64127863367805, 8.77423090217006, 6.5802347918611, 0.5, 0, 0, 0, 0, 0, 0, 0, 0, 0</v>
      </c>
      <c r="BH10" t="str">
        <f>_xll.NCDK_MomentOfInertia(B10)</f>
        <v>10068.4095883237, 9731.07167302841, 773.613761142664, 1.03466606008362, 13.0147757111406, 12.5787210127379, 8.29661608019916</v>
      </c>
      <c r="BI10">
        <f>_xll.NCDK_PetitjeanNumber(B10)</f>
        <v>0.46666666666666667</v>
      </c>
      <c r="BJ10" t="str">
        <f>_xll.NCDK_PetitjeanShapeIndex(B10)</f>
        <v>0.875, 0.940550174456362</v>
      </c>
      <c r="BK10">
        <f>_xll.NCDK_RotatableBondsCount(B10)</f>
        <v>5</v>
      </c>
      <c r="BL10">
        <f>_xll.NCDK_RuleOfFive(B10)</f>
        <v>1</v>
      </c>
      <c r="BM10" t="str">
        <f>_xll.NCDK_SmallRing(B10)</f>
        <v>4, 0, 1, 0, 0, 0, 1, 3, 0, 0, 0</v>
      </c>
      <c r="BN10">
        <f>_xll.NCDK_TPSA(B10)</f>
        <v>20.23</v>
      </c>
      <c r="BO10">
        <f>_xll.NCDK_VABC(B10)</f>
        <v>432.2759767957632</v>
      </c>
      <c r="BP10">
        <f>_xll.NCDK_VAdjMa(B10)</f>
        <v>5.9541963103868758</v>
      </c>
      <c r="BQ10">
        <f>_xll.NCDK_Weight(B10)</f>
        <v>386.35486609200063</v>
      </c>
      <c r="BR10" t="str">
        <f>_xll.NCDK_WeightedPath(B10)</f>
        <v>57.2167299866347, 2.04345464237981, 2.54245315921217, 2.54245315921217, 0</v>
      </c>
      <c r="BS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BT10" t="str">
        <f>_xll.NCDK_WienerNumbers(B10)</f>
        <v>2022, 54</v>
      </c>
      <c r="BU10">
        <f>_xll.NCDK_XLogP(B10)</f>
        <v>10.518000000000004</v>
      </c>
      <c r="BV10">
        <f>_xll.NCDK_ZagrebIndex(B10)</f>
        <v>158</v>
      </c>
    </row>
    <row r="11" spans="1:74" ht="19" customHeight="1" x14ac:dyDescent="0.55000000000000004">
      <c r="A11" t="s">
        <v>63</v>
      </c>
      <c r="B11" t="s">
        <v>64</v>
      </c>
      <c r="C11" t="str">
        <f>_xll.NCDK_InChI(B11)</f>
        <v>InChI=1S/C27H46O/c1-18(2)7-6-8-19(3)23-11-12-24-22-10-9-20-17-21(28)13-15-26(20,4)25(22)14-16-27(23,24)5/h9,18-19,21-25,28H,6-8,10-17H2,1-5H3</v>
      </c>
      <c r="E11" t="str">
        <f>_xll.NCDK(E$1,$B11)</f>
        <v>0000000000000000000000000100000000000000000000000100000000000000010000000101000000000000010000010010000110010001001101000000001110010000001010101010110100101001001110</v>
      </c>
      <c r="F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G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H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I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J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K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L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M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N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O11" t="str">
        <f>_xll.NCDK_EStateFingerprinter($B11)</f>
        <v>0000001010101001001000000000000001000000000000000000000000000000000000000000000</v>
      </c>
      <c r="P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Q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R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S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T11" t="str">
        <f>_xll.NCDK_MACCSFingerprinter($B11)</f>
        <v>0000000000000000000000000100000000000000000000000100000000000000010000000101000000000000010000010010000110010001001101000000001110010000001010101010110100101001001110</v>
      </c>
      <c r="U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V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W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X11">
        <f>_xll.NCDK_AcidicGroupCount(B11)</f>
        <v>0</v>
      </c>
      <c r="Y11">
        <f>_xll.NCDK_ALogP(B11)</f>
        <v>1.5548000000000011</v>
      </c>
      <c r="Z11">
        <f>_xll.NCDK_AMolarRefractivity(B11)</f>
        <v>115.17460000000001</v>
      </c>
      <c r="AA11">
        <f>_xll.NCDK_APol(B11)</f>
        <v>78.994478000000029</v>
      </c>
      <c r="AB11">
        <f>_xll.NCDK_AromaticAtomsCount(B11)</f>
        <v>0</v>
      </c>
      <c r="AC11">
        <f>_xll.NCDK_AromaticBondsCount(B11)</f>
        <v>0</v>
      </c>
      <c r="AD11">
        <f>_xll.NCDK_AtomCount(B11)</f>
        <v>74</v>
      </c>
      <c r="AE11" t="str">
        <f>_xll.NCDK_AutocorrelationCharge(B11)</f>
        <v>0.0827991713427503, -0.0229631507285856, -0.0270969061556759, 0.00647128770548948, 0.00909713625645344</v>
      </c>
      <c r="AF11" t="str">
        <f>_xll.NCDK_AutocorrelationMass(B11)</f>
        <v>28.7744690355409, 31.3320919771326, 48.6641839542651, 54.6641839542651, 49.6641839542651</v>
      </c>
      <c r="AG11" t="str">
        <f>_xll.NCDK_AutocorrelationPolarizability(B11)</f>
        <v>2589.35165284459, 3179.06049775734, 4922.9791073968, 5328.87269506555, 4616.91714731414</v>
      </c>
      <c r="AH11">
        <f>_xll.NCDK_BasicGroupCount(B11)</f>
        <v>0</v>
      </c>
      <c r="AI11" t="str">
        <f>_xll.NCDK_BCUT(B11)</f>
        <v>11.89, 15.9949214370832, -0.392219474278523, 0.0694748577202458, 5.23874992098634, 12.6503467270457</v>
      </c>
      <c r="AJ11">
        <f>_xll.NCDK_BondCount(B11)</f>
        <v>0</v>
      </c>
      <c r="AK11">
        <f>_xll.NCDK_BPol(B11)</f>
        <v>50.287521999999989</v>
      </c>
      <c r="AL11" t="str">
        <f>_xll.NCDK_CarbonTypes(B11)</f>
        <v>0, 0, 0, 1, 1, 5, 12, 6, 2</v>
      </c>
      <c r="AM11" t="str">
        <f>_xll.NCDK_ChiChain(B11)</f>
        <v>0, 0, 0.0833333333333333, 0.393634553260967, 0.976046921839545, 0, 0, 0.0833333333333333, 0.37164819290959, 0.863165765466815</v>
      </c>
      <c r="AN11" t="str">
        <f>_xll.NCDK_ChiCluster(B11)</f>
        <v>2.9521315814894, 0.235702260395516, 1.02234106177579, 0.203263132396285, 2.68481479020038, 0.219913202813724, 0.935219433730957, 0.179558378198271</v>
      </c>
      <c r="AO11" t="str">
        <f>_xll.NCDK_ChiPathCluster(B11)</f>
        <v>6.93012787723299, 11.9183161832455, 18.084244169983, 6.31056734345633, 10.8246614459309, 15.7948474414898</v>
      </c>
      <c r="AP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AQ11" t="str">
        <f>_xll.NCDK_CPSA(B11)</f>
        <v>#N/A</v>
      </c>
      <c r="AR11">
        <f>_xll.NCDK_EccentricConnectivityIndex(B11)</f>
        <v>669</v>
      </c>
      <c r="AS11">
        <f>_xll.NCDK_FMF(B11)</f>
        <v>0.6071428571428571</v>
      </c>
      <c r="AT11">
        <f>_xll.NCDK_FractionalPSA(B11)</f>
        <v>5.2361188524318612E-2</v>
      </c>
      <c r="AU11">
        <f>_xll.NCDK_FragmentComplexity(B11)</f>
        <v>5173.01</v>
      </c>
      <c r="AV11" t="str">
        <f>_xll.NCDK_GravitationalIndex(B11)</f>
        <v>#N/A</v>
      </c>
      <c r="AW11">
        <f>_xll.NCDK_HBondAcceptorCount(B11)</f>
        <v>1</v>
      </c>
      <c r="AX11">
        <f>_xll.NCDK_HBondDonorCount(B11)</f>
        <v>1</v>
      </c>
      <c r="AY11">
        <f>_xll.NCDK_HybridizationRatio(B11)</f>
        <v>0.92592592592592593</v>
      </c>
      <c r="AZ11" t="str">
        <f>_xll.NCDK_KappaShapeIndices(B11)</f>
        <v>21.2403746097815, 7.921875, 3.65484429065744</v>
      </c>
      <c r="BA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B11">
        <f>_xll.NCDK_LargestChain(B11)</f>
        <v>16</v>
      </c>
      <c r="BC11">
        <f>_xll.NCDK_LargestPiSystem(B11)</f>
        <v>2</v>
      </c>
      <c r="BD11" t="str">
        <f>_xll.NCDK_LengthOverBreadth(B11)</f>
        <v>#N/A</v>
      </c>
      <c r="BE11">
        <f>_xll.NCDK_LongestAliphaticChain(B11)</f>
        <v>7</v>
      </c>
      <c r="BF11">
        <f>_xll.NCDK_MannholdLogP(B11)</f>
        <v>4.3199999999999994</v>
      </c>
      <c r="BG11" t="str">
        <f>_xll.NCDK_MDE(B11)</f>
        <v>1.54697174276407, 11.0054221495714, 8.10399071027919, 2.24225976804296, 15.301585299106, 26.1301405209996, 7.46130267367364, 6.99912877305946, 5.73136198628621, 0.25, 0, 0, 0, 0, 0, 0, 0, 0, 0</v>
      </c>
      <c r="BH11" t="str">
        <f>_xll.NCDK_MomentOfInertia(B11)</f>
        <v>#N/A</v>
      </c>
      <c r="BI11">
        <f>_xll.NCDK_PetitjeanNumber(B11)</f>
        <v>0.46666666666666667</v>
      </c>
      <c r="BJ11" t="str">
        <f>_xll.NCDK_PetitjeanShapeIndex(B11)</f>
        <v>#N/A</v>
      </c>
      <c r="BK11">
        <f>_xll.NCDK_RotatableBondsCount(B11)</f>
        <v>5</v>
      </c>
      <c r="BL11">
        <f>_xll.NCDK_RuleOfFive(B11)</f>
        <v>1</v>
      </c>
      <c r="BM11" t="str">
        <f>_xll.NCDK_SmallRing(B11)</f>
        <v>4, 0, 1, 0, 0, 0, 1, 3, 0, 0, 0</v>
      </c>
      <c r="BN11">
        <f>_xll.NCDK_TPSA(B11)</f>
        <v>20.23</v>
      </c>
      <c r="BO11">
        <f>_xll.NCDK_VABC(B11)</f>
        <v>432.27597679576252</v>
      </c>
      <c r="BP11">
        <f>_xll.NCDK_VAdjMa(B11)</f>
        <v>5.9541963103868758</v>
      </c>
      <c r="BQ11">
        <f>_xll.NCDK_Weight(B11)</f>
        <v>386.35486609200007</v>
      </c>
      <c r="BR11" t="str">
        <f>_xll.NCDK_WeightedPath(B11)</f>
        <v>57.2167299866347, 2.04345464237981, 2.54245315921218, 2.54245315921218, 0</v>
      </c>
      <c r="BS11" t="str">
        <f>_xll.NCDK_WHIM(B11)</f>
        <v>#N/A</v>
      </c>
      <c r="BT11" t="str">
        <f>_xll.NCDK_WienerNumbers(B11)</f>
        <v>2022, 54</v>
      </c>
      <c r="BU11">
        <f>_xll.NCDK_XLogP(B11)</f>
        <v>10.518000000000004</v>
      </c>
      <c r="BV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Q21"/>
  <sheetViews>
    <sheetView zoomScale="85" zoomScaleNormal="85" workbookViewId="0">
      <selection activeCell="D7" sqref="D7"/>
    </sheetView>
  </sheetViews>
  <sheetFormatPr defaultRowHeight="18" x14ac:dyDescent="0.55000000000000004"/>
  <cols>
    <col min="5" max="16" width="4.83203125" customWidth="1"/>
  </cols>
  <sheetData>
    <row r="1" spans="1:17" x14ac:dyDescent="0.55000000000000004">
      <c r="A1" t="s">
        <v>87</v>
      </c>
      <c r="B1" t="s">
        <v>88</v>
      </c>
      <c r="C1" t="s">
        <v>91</v>
      </c>
      <c r="D1" t="s">
        <v>92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114</v>
      </c>
    </row>
    <row r="2" spans="1:17" ht="18" customHeight="1" x14ac:dyDescent="0.55000000000000004">
      <c r="A2" s="1" t="s">
        <v>89</v>
      </c>
      <c r="B2" t="s">
        <v>90</v>
      </c>
      <c r="C2" t="s">
        <v>90</v>
      </c>
      <c r="D2" t="s">
        <v>93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Q2" t="str">
        <f>_xll.NCDK_MACCSFingerprinter($A2)</f>
        <v>0000000000000000000000000000000000000100000000000000110010000100100000010010101101101000111110111100000010001100000010011100001000111010101101100101011110111111111110</v>
      </c>
    </row>
    <row r="3" spans="1:17" ht="18" customHeight="1" x14ac:dyDescent="0.55000000000000004">
      <c r="A3" s="1" t="s">
        <v>105</v>
      </c>
      <c r="B3" t="s">
        <v>106</v>
      </c>
      <c r="C3" t="s">
        <v>106</v>
      </c>
      <c r="D3" t="s">
        <v>107</v>
      </c>
      <c r="E3">
        <v>0</v>
      </c>
      <c r="F3">
        <v>0</v>
      </c>
      <c r="H3">
        <v>1</v>
      </c>
      <c r="J3">
        <v>0</v>
      </c>
      <c r="L3">
        <v>1</v>
      </c>
      <c r="O3">
        <v>1</v>
      </c>
      <c r="Q3" t="str">
        <f>_xll.NCDK_MACCSFingerprinter($A3)</f>
        <v>0000000000000000000000000000000000000000000000000000110000000000000000010000000000000000100000000010000000000000100000000000101000100000001100111100010100001010011110</v>
      </c>
    </row>
    <row r="4" spans="1:17" ht="18" customHeight="1" x14ac:dyDescent="0.55000000000000004">
      <c r="A4" s="1" t="s">
        <v>108</v>
      </c>
      <c r="B4" t="s">
        <v>109</v>
      </c>
      <c r="C4" t="s">
        <v>109</v>
      </c>
      <c r="D4" t="s">
        <v>110</v>
      </c>
      <c r="E4">
        <v>0</v>
      </c>
      <c r="G4">
        <v>1</v>
      </c>
      <c r="H4">
        <v>0</v>
      </c>
      <c r="K4">
        <v>1</v>
      </c>
      <c r="M4">
        <v>1</v>
      </c>
      <c r="O4">
        <v>0</v>
      </c>
      <c r="Q4" t="str">
        <f>_xll.NCDK_MACCSFingerprinter($A4)</f>
        <v>0000000000000000000000000001000000000000000000001000000010000000100000010010000000101000000010011100001010001000100000011110111000000100100110111101110110011111111111</v>
      </c>
    </row>
    <row r="5" spans="1:17" ht="18" customHeight="1" x14ac:dyDescent="0.55000000000000004">
      <c r="A5" s="1" t="s">
        <v>111</v>
      </c>
      <c r="B5" t="s">
        <v>112</v>
      </c>
      <c r="C5" t="s">
        <v>112</v>
      </c>
      <c r="D5" t="s">
        <v>113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tr">
        <f>_xll.NCDK_MACCSFingerprinter($A5)</f>
        <v>0000000000000000000000000000000000000000000001000000010010000000100000110000000000110000110101111000010100000110100110011011001000100100101101110100011101111111110111</v>
      </c>
    </row>
    <row r="6" spans="1:17" ht="18" customHeight="1" x14ac:dyDescent="0.55000000000000004">
      <c r="A6" s="1" t="s">
        <v>115</v>
      </c>
      <c r="B6" t="s">
        <v>116</v>
      </c>
      <c r="C6" t="s">
        <v>116</v>
      </c>
      <c r="D6" t="s">
        <v>117</v>
      </c>
      <c r="E6">
        <v>1</v>
      </c>
      <c r="F6">
        <v>0</v>
      </c>
      <c r="G6">
        <v>0</v>
      </c>
      <c r="I6">
        <v>0</v>
      </c>
      <c r="J6">
        <v>0</v>
      </c>
      <c r="K6">
        <v>1</v>
      </c>
      <c r="L6">
        <v>1</v>
      </c>
      <c r="M6">
        <v>0</v>
      </c>
      <c r="O6">
        <v>0</v>
      </c>
      <c r="P6">
        <v>0</v>
      </c>
      <c r="Q6" t="str">
        <f>_xll.NCDK_MACCSFingerprinter($A6)</f>
        <v>0000000000000000000000001000000000000100000000000000100000000010100000100000101100010000100101101100010001001100100011111001011110101010100001111010011010111110111110</v>
      </c>
    </row>
    <row r="7" spans="1:17" ht="18" customHeight="1" x14ac:dyDescent="0.55000000000000004">
      <c r="A7" s="1" t="s">
        <v>118</v>
      </c>
      <c r="B7" t="s">
        <v>119</v>
      </c>
      <c r="C7" t="s">
        <v>119</v>
      </c>
      <c r="D7" t="s">
        <v>120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tr">
        <f>_xll.NCDK_MACCSFingerprinter($A7)</f>
        <v>0000000000000000000000000000000000000000000000000000000010000100000000010010001000001100000000111101000010001010100001011100100110011010110001011011000110011110111110</v>
      </c>
    </row>
    <row r="8" spans="1:17" ht="18" customHeight="1" x14ac:dyDescent="0.55000000000000004">
      <c r="A8" s="1" t="s">
        <v>121</v>
      </c>
      <c r="B8" t="s">
        <v>122</v>
      </c>
      <c r="C8" t="s">
        <v>122</v>
      </c>
      <c r="D8" t="s">
        <v>123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t="str">
        <f>_xll.NCDK_MACCSFingerprinter($A8)</f>
        <v>0000000000000000001000000000000000000000000000000000010000000100000000010000000001000100001000000001001110000010100000001000101110100100111000111010011110001110111111</v>
      </c>
    </row>
    <row r="9" spans="1:17" ht="18" customHeight="1" x14ac:dyDescent="0.55000000000000004">
      <c r="A9" s="1" t="s">
        <v>124</v>
      </c>
      <c r="B9" t="s">
        <v>125</v>
      </c>
      <c r="C9" t="s">
        <v>125</v>
      </c>
      <c r="D9" t="s">
        <v>126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tr">
        <f>_xll.NCDK_MACCSFingerprinter($A9)</f>
        <v>0000000000000000000000000000001000000100011000000010001001011000001000001000110000010001000000000000011001100001000000100001000001110101000001000001001010110110111111</v>
      </c>
    </row>
    <row r="10" spans="1:17" ht="18" customHeight="1" x14ac:dyDescent="0.55000000000000004">
      <c r="A10" s="1" t="s">
        <v>127</v>
      </c>
      <c r="B10" t="s">
        <v>128</v>
      </c>
      <c r="C10" t="s">
        <v>128</v>
      </c>
      <c r="D10" t="s">
        <v>129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>_xll.NCDK_MACCSFingerprinter($A10)</f>
        <v>0000000000000000000000000000000000000000000000000000000010000100010000000010000000001100000000100101001000001011000001011110010110010100110000001111000011101110111111</v>
      </c>
    </row>
    <row r="11" spans="1:17" ht="18" customHeight="1" x14ac:dyDescent="0.55000000000000004">
      <c r="A11" s="1" t="s">
        <v>130</v>
      </c>
      <c r="B11" t="s">
        <v>131</v>
      </c>
      <c r="C11" t="s">
        <v>131</v>
      </c>
      <c r="D11" t="s">
        <v>132</v>
      </c>
      <c r="E11">
        <v>0</v>
      </c>
      <c r="F11">
        <v>0</v>
      </c>
      <c r="I11">
        <v>0</v>
      </c>
      <c r="K11">
        <v>1</v>
      </c>
      <c r="L11">
        <v>0</v>
      </c>
      <c r="M11">
        <v>1</v>
      </c>
      <c r="N11">
        <v>1</v>
      </c>
      <c r="O11">
        <v>1</v>
      </c>
      <c r="Q11" t="str">
        <f>_xll.NCDK_MACCSFingerprinter($A11)</f>
        <v>0000000000000000000000000000000000000000000000000000100010000000100000000000000100100000100110111100000010010111001110011010000110111011101111011110111101111111111110</v>
      </c>
    </row>
    <row r="12" spans="1:17" ht="18" customHeight="1" x14ac:dyDescent="0.55000000000000004">
      <c r="A12" s="1" t="s">
        <v>133</v>
      </c>
      <c r="B12" t="s">
        <v>134</v>
      </c>
      <c r="C12" t="s">
        <v>134</v>
      </c>
      <c r="D12" t="s">
        <v>135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tr">
        <f>_xll.NCDK_MACCSFingerprinter($A12)</f>
        <v>0000000000000000000000000000000000100011000100011000011001011000001000011000000001000001000010000000010101001001100000000001011001110001001100110101010110101011011111</v>
      </c>
    </row>
    <row r="13" spans="1:17" ht="18" customHeight="1" x14ac:dyDescent="0.55000000000000004">
      <c r="A13" s="1" t="s">
        <v>136</v>
      </c>
      <c r="B13" t="s">
        <v>137</v>
      </c>
      <c r="C13" t="s">
        <v>137</v>
      </c>
      <c r="D13" t="s">
        <v>138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  <c r="Q13" t="str">
        <f>_xll.NCDK_MACCSFingerprinter($A13)</f>
        <v>0000000000000000000000100000000000000000000000000000000000000000000000000010001100101110000110010111001001110110000011011110010110110101111101011111010011111111111111</v>
      </c>
    </row>
    <row r="14" spans="1:17" ht="18" customHeight="1" x14ac:dyDescent="0.55000000000000004">
      <c r="A14" s="1" t="s">
        <v>139</v>
      </c>
      <c r="B14" t="s">
        <v>140</v>
      </c>
      <c r="C14" t="s">
        <v>140</v>
      </c>
      <c r="D14" t="s">
        <v>141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tr">
        <f>_xll.NCDK_MACCSFingerprinter($A14)</f>
        <v>0000000000000000000000000000000000000000000000000000000010000100100000100010000100101100000011111001011000010010001101011101000000000100100001000011110110010101110111</v>
      </c>
    </row>
    <row r="15" spans="1:17" ht="18" customHeight="1" x14ac:dyDescent="0.55000000000000004">
      <c r="A15" s="1" t="s">
        <v>142</v>
      </c>
      <c r="B15" t="s">
        <v>143</v>
      </c>
      <c r="C15" t="s">
        <v>143</v>
      </c>
      <c r="D15" t="s">
        <v>144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tr">
        <f>_xll.NCDK_MACCSFingerprinter($A15)</f>
        <v>0000000010000000000000000000000000000000001100001000100000000000000010000000100100000000000001001000011001000001000010000001010001100100000001000001001000010010100101</v>
      </c>
    </row>
    <row r="16" spans="1:17" ht="18" customHeight="1" x14ac:dyDescent="0.55000000000000004">
      <c r="A16" s="1" t="s">
        <v>145</v>
      </c>
      <c r="B16" t="s">
        <v>146</v>
      </c>
      <c r="C16" t="s">
        <v>146</v>
      </c>
      <c r="D16" t="s">
        <v>147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tr">
        <f>_xll.NCDK_MACCSFingerprinter($A16)</f>
        <v>0000000000000000000001000000000000000000000000000000000010000000110000010010000000101100111000110101101110000011100001011100101110110100111101111111001110111110111111</v>
      </c>
    </row>
    <row r="17" spans="1:17" ht="18" customHeight="1" x14ac:dyDescent="0.55000000000000004">
      <c r="A17" s="1" t="s">
        <v>148</v>
      </c>
      <c r="B17" t="s">
        <v>149</v>
      </c>
      <c r="C17" t="s">
        <v>149</v>
      </c>
      <c r="D17" t="s">
        <v>150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tr">
        <f>_xll.NCDK_MACCSFingerprinter($A17)</f>
        <v>0000000000000000000000000000000110000000000000000000010000000010001001100000001101010001011101100001010100000110000010100011000101110001011101000110001011111110100100</v>
      </c>
    </row>
    <row r="18" spans="1:17" ht="18" customHeight="1" x14ac:dyDescent="0.55000000000000004">
      <c r="A18" s="1" t="s">
        <v>151</v>
      </c>
      <c r="B18" t="s">
        <v>152</v>
      </c>
      <c r="C18" t="s">
        <v>152</v>
      </c>
      <c r="D18" t="s">
        <v>153</v>
      </c>
      <c r="E18">
        <v>0</v>
      </c>
      <c r="G18">
        <v>0</v>
      </c>
      <c r="I18">
        <v>0</v>
      </c>
      <c r="J18">
        <v>0</v>
      </c>
      <c r="L18">
        <v>0</v>
      </c>
      <c r="M18">
        <v>0</v>
      </c>
      <c r="Q18" t="str">
        <f>_xll.NCDK_MACCSFingerprinter($A18)</f>
        <v>0000000000000000000000000000000000000000000000000000010000000000000000000000001001000000000000000001001100000010000000000000100000100100010001001010001010110100111011</v>
      </c>
    </row>
    <row r="19" spans="1:17" ht="18" customHeight="1" x14ac:dyDescent="0.55000000000000004">
      <c r="A19" s="1" t="s">
        <v>154</v>
      </c>
      <c r="B19" t="s">
        <v>155</v>
      </c>
      <c r="C19" t="s">
        <v>155</v>
      </c>
      <c r="D19" t="s">
        <v>156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Q19" t="str">
        <f>_xll.NCDK_MACCSFingerprinter($A19)</f>
        <v>0000000000000000000000000000000110010100000001100000000000000100101000000010111110100001000011010000000001000000000000111101100000001110100001011001010000010101111011</v>
      </c>
    </row>
    <row r="20" spans="1:17" ht="18" customHeight="1" x14ac:dyDescent="0.55000000000000004">
      <c r="A20" s="1" t="s">
        <v>157</v>
      </c>
      <c r="B20" t="s">
        <v>158</v>
      </c>
      <c r="C20" t="s">
        <v>158</v>
      </c>
      <c r="D20" t="s">
        <v>159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O20">
        <v>0</v>
      </c>
      <c r="Q20" t="str">
        <f>_xll.NCDK_MACCSFingerprinter($A20)</f>
        <v>0000000000000000000000000000000000001000001000000000000000000000100000000010101000101100001010010101001011010110001110011100100000101110100001011011001011010101111111</v>
      </c>
    </row>
    <row r="21" spans="1:17" ht="18" customHeight="1" x14ac:dyDescent="0.55000000000000004">
      <c r="A21" s="1" t="s">
        <v>160</v>
      </c>
      <c r="B21" t="s">
        <v>161</v>
      </c>
      <c r="C21" t="s">
        <v>161</v>
      </c>
      <c r="D21" t="s">
        <v>162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tr">
        <f>_xll.NCDK_MACCSFingerprinter($A21)</f>
        <v>0000000000000000000000000000000001001111000000010010001001111101101010001010101110101001100110111111010011010101100010011101101001000001101101111101110011110111111110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B9"/>
  <sheetViews>
    <sheetView tabSelected="1" zoomScale="55" zoomScaleNormal="55" workbookViewId="0">
      <selection activeCell="I5" sqref="I5"/>
    </sheetView>
  </sheetViews>
  <sheetFormatPr defaultRowHeight="18" customHeight="1" x14ac:dyDescent="0.55000000000000004"/>
  <cols>
    <col min="1" max="1" width="11.25" customWidth="1"/>
    <col min="2" max="2" width="41.33203125" customWidth="1"/>
  </cols>
  <sheetData>
    <row r="1" spans="1:2" ht="18" customHeight="1" x14ac:dyDescent="0.55000000000000004">
      <c r="A1" t="s">
        <v>53</v>
      </c>
      <c r="B1" t="s">
        <v>49</v>
      </c>
    </row>
    <row r="2" spans="1:2" ht="95.5" customHeight="1" x14ac:dyDescent="0.55000000000000004">
      <c r="A2" t="s">
        <v>60</v>
      </c>
      <c r="B2" t="s">
        <v>59</v>
      </c>
    </row>
    <row r="3" spans="1:2" ht="29.5" customHeight="1" x14ac:dyDescent="0.55000000000000004">
      <c r="A3" t="s">
        <v>54</v>
      </c>
      <c r="B3" t="s">
        <v>48</v>
      </c>
    </row>
    <row r="4" spans="1:2" ht="60" customHeight="1" x14ac:dyDescent="0.55000000000000004">
      <c r="A4" t="s">
        <v>55</v>
      </c>
      <c r="B4" t="s">
        <v>165</v>
      </c>
    </row>
    <row r="5" spans="1:2" ht="58" customHeight="1" x14ac:dyDescent="0.55000000000000004">
      <c r="A5" t="s">
        <v>56</v>
      </c>
      <c r="B5" t="s">
        <v>52</v>
      </c>
    </row>
    <row r="6" spans="1:2" ht="76.5" customHeight="1" x14ac:dyDescent="0.55000000000000004">
      <c r="A6" t="s">
        <v>85</v>
      </c>
      <c r="B6" t="s">
        <v>86</v>
      </c>
    </row>
    <row r="7" spans="1:2" ht="70" customHeight="1" x14ac:dyDescent="0.55000000000000004">
      <c r="A7" t="s">
        <v>56</v>
      </c>
      <c r="B7" t="s">
        <v>57</v>
      </c>
    </row>
    <row r="8" spans="1:2" ht="236" customHeight="1" x14ac:dyDescent="0.55000000000000004">
      <c r="A8" t="s">
        <v>63</v>
      </c>
      <c r="B8" s="1" t="s">
        <v>62</v>
      </c>
    </row>
    <row r="9" spans="1:2" ht="168" customHeight="1" x14ac:dyDescent="0.55000000000000004">
      <c r="A9" t="s">
        <v>63</v>
      </c>
      <c r="B9" t="s">
        <v>64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Descriptors</vt:lpstr>
      <vt:lpstr>SDF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2019-07-01T14:44:36Z</dcterms:modified>
</cp:coreProperties>
</file>