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енда автоматов" sheetId="1" r:id="rId4"/>
    <sheet state="visible" name="Аренда автоматов (2 год)" sheetId="2" r:id="rId5"/>
    <sheet state="visible" name="Аренда автоматов (3 год)" sheetId="3" r:id="rId6"/>
    <sheet state="visible" name="Инвестиции (4 год)" sheetId="4" r:id="rId7"/>
    <sheet state="visible" name="Инвестиции (5 год)" sheetId="5" r:id="rId8"/>
    <sheet state="visible" name="Покупка автоматов" sheetId="6" r:id="rId9"/>
    <sheet state="visible" name="Покупка автоматов (2 год)" sheetId="7" r:id="rId10"/>
    <sheet state="hidden" name="Покупака автоматов" sheetId="8" r:id="rId11"/>
    <sheet state="hidden" name="Шаблон финмодели (покупка автом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8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8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8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2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2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8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Заложено 6% от оборота.
Для налогов типа "Доходы - Расходы 15%" надо делить расходы на прямые и косвенные. Это можно сделать и в этом шаблоне. 
Если сложно - напишите нам  в чат на сайте и мы вышлем более сложный шаблон.</t>
      </text>
    </comment>
  </commentList>
</comments>
</file>

<file path=xl/sharedStrings.xml><?xml version="1.0" encoding="utf-8"?>
<sst xmlns="http://schemas.openxmlformats.org/spreadsheetml/2006/main" count="380" uniqueCount="169">
  <si>
    <t>&lt;</t>
  </si>
  <si>
    <t xml:space="preserve"> Месяцы</t>
  </si>
  <si>
    <t>Итого за год</t>
  </si>
  <si>
    <t xml:space="preserve"> Вложения владельца</t>
  </si>
  <si>
    <t xml:space="preserve">   Количество автоматов в аренде</t>
  </si>
  <si>
    <t xml:space="preserve"> </t>
  </si>
  <si>
    <t xml:space="preserve"> Доходы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</si>
  <si>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</si>
  <si>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</si>
  <si>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увидевших 1 автомат</t>
    </r>
  </si>
  <si>
    <t xml:space="preserve">   Число увидевших автоматы</t>
  </si>
  <si>
    <t xml:space="preserve">   Конверсия в покупку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</si>
  <si>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</si>
  <si>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</si>
  <si>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t xml:space="preserve">   Оплат в день</t>
  </si>
  <si>
    <t xml:space="preserve">   Оплат на 1 автомат в день</t>
  </si>
  <si>
    <t xml:space="preserve"> Расходы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</si>
  <si>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</si>
  <si>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t xml:space="preserve">   Аренда автоматов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</si>
  <si>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</si>
  <si>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t xml:space="preserve">   Аренда (вместе с электричеством)</t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</si>
  <si>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</si>
  <si>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t xml:space="preserve">   Прачечные</t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</si>
  <si>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</si>
  <si>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 автоматов</t>
    </r>
  </si>
  <si>
    <t xml:space="preserve">   Перевозки пледов</t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</si>
  <si>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</si>
  <si>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t xml:space="preserve"> Постоянные расходы</t>
  </si>
  <si>
    <t xml:space="preserve"> Расходы на единицу продукции</t>
  </si>
  <si>
    <t xml:space="preserve"> Прибыль</t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</si>
  <si>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</si>
  <si>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t xml:space="preserve"> Точка безубыточности (без учета налогов)</t>
  </si>
  <si>
    <t xml:space="preserve">   В единицах товара (в месяц)</t>
  </si>
  <si>
    <t>Количество покупок:</t>
  </si>
  <si>
    <t xml:space="preserve">   В единицах товара (в день)</t>
  </si>
  <si>
    <t>в день:</t>
  </si>
  <si>
    <t xml:space="preserve">   В единицах товара (в день на 1 автомат)</t>
  </si>
  <si>
    <t>на 1 автомат:</t>
  </si>
  <si>
    <t xml:space="preserve"> Остатки на счете</t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</si>
  <si>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</si>
  <si>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</si>
  <si>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t xml:space="preserve">   Процентный прирост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</si>
  <si>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</si>
  <si>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</si>
  <si>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увидевших 1 автомат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</si>
  <si>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</si>
  <si>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</si>
  <si>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</si>
  <si>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</si>
  <si>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</si>
  <si>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</si>
  <si>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 автоматов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</si>
  <si>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</si>
  <si>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</si>
  <si>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</si>
  <si>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</si>
  <si>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</si>
  <si>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</si>
  <si>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увидевших 1 автомат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</si>
  <si>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</si>
  <si>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</si>
  <si>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</si>
  <si>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</si>
  <si>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</si>
  <si>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</si>
  <si>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 автоматов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</si>
  <si>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</si>
  <si>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</si>
  <si>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</si>
  <si>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</si>
  <si>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t xml:space="preserve">   Купленных автоматов</t>
  </si>
  <si>
    <t xml:space="preserve">   Всего автоматов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</si>
  <si>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</si>
  <si>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</si>
  <si>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увидевших 1 автомат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</si>
  <si>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</si>
  <si>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</si>
  <si>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t xml:space="preserve">   Сдача в аренду автоматов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</si>
  <si>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</si>
  <si>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t xml:space="preserve">   Покупка автоматов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</si>
  <si>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</si>
  <si>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</si>
  <si>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</si>
  <si>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 автоматов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</si>
  <si>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</si>
  <si>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</si>
  <si>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</si>
  <si>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</si>
  <si>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t>Процент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</si>
  <si>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</si>
  <si>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</si>
  <si>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увидевших 1 автомат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</si>
  <si>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</si>
  <si>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</si>
  <si>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</si>
  <si>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</si>
  <si>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</si>
  <si>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</si>
  <si>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 автоматов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</si>
  <si>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</si>
  <si>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</si>
  <si>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</si>
  <si>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</si>
  <si>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t xml:space="preserve">   Количество автоматов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</si>
  <si>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</si>
  <si>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</si>
  <si>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увидевших 1 автомат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</si>
  <si>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</si>
  <si>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</si>
  <si>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</si>
  <si>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</si>
  <si>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</si>
  <si>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</si>
  <si>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 автоматов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</si>
  <si>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</si>
  <si>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</si>
  <si>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</si>
  <si>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</si>
  <si>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</si>
  <si>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</si>
  <si>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увидевших 1 автомат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</si>
  <si>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</si>
  <si>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</si>
  <si>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</si>
  <si>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</si>
  <si>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</si>
  <si>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</si>
  <si>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 автоматов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</si>
  <si>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</si>
  <si>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</si>
  <si>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</si>
  <si>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</si>
  <si>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</si>
  <si>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</si>
  <si>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 1 автомат</t>
    </r>
  </si>
  <si>
    <t xml:space="preserve">   Число увидевших автомат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</si>
  <si>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</si>
  <si>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</si>
  <si>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r>
      <rPr>
        <rFont val="Arial"/>
        <b/>
        <color theme="1"/>
        <sz val="10.0"/>
      </rPr>
      <t xml:space="preserve">   </t>
    </r>
    <r>
      <rPr>
        <rFont val="Arial"/>
        <b val="0"/>
        <color theme="1"/>
        <sz val="10.0"/>
      </rPr>
      <t>Сдача автомата в аренду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</si>
  <si>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</si>
  <si>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</si>
  <si>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</si>
  <si>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</si>
  <si>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</si>
  <si>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</si>
  <si>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</si>
  <si>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</si>
  <si>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</si>
  <si>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t>Количество автоматов в аренде</t>
  </si>
  <si>
    <t xml:space="preserve">   Сдача в аренду пледов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</si>
  <si>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посетителей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</si>
  <si>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% увидевших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</si>
  <si>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Конверсия в оплату, %</t>
    </r>
  </si>
  <si>
    <t xml:space="preserve">   Конверсия на 1 автомат</t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</si>
  <si>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Число оплат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</si>
  <si>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Средний чек</t>
    </r>
  </si>
  <si>
    <t xml:space="preserve">   Продаж в день</t>
  </si>
  <si>
    <t xml:space="preserve">   Продаж на 1 автомат в день</t>
  </si>
  <si>
    <r>
      <rPr>
        <rFont val="Arial"/>
        <b/>
        <color theme="1"/>
        <sz val="10.0"/>
      </rPr>
      <t xml:space="preserve">   </t>
    </r>
    <r>
      <rPr>
        <rFont val="Arial"/>
        <b val="0"/>
        <color theme="1"/>
        <sz val="10.0"/>
      </rPr>
      <t>Сдача автомата в аренду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</si>
  <si>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Поставщики (пледы)</t>
    </r>
  </si>
  <si>
    <r>
      <rPr>
        <rFont val="Arial"/>
        <b/>
        <color theme="1"/>
        <sz val="10.0"/>
      </rPr>
      <t xml:space="preserve">   </t>
    </r>
    <r>
      <rPr>
        <rFont val="Arial"/>
        <color theme="1"/>
        <sz val="10.0"/>
      </rPr>
      <t>Зарплата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</si>
  <si>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Реклама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</si>
  <si>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Эквайринг</t>
    </r>
  </si>
  <si>
    <r>
      <rPr>
        <rFont val="Arial"/>
        <b/>
        <color rgb="FF000000"/>
        <sz val="10.0"/>
      </rPr>
      <t xml:space="preserve">   </t>
    </r>
    <r>
      <rPr>
        <rFont val="Arial"/>
        <b val="0"/>
        <color rgb="FF000000"/>
        <sz val="10.0"/>
      </rPr>
      <t>Перевозки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</si>
  <si>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Налоги (15%)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</si>
  <si>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Рентабельность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</si>
  <si>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Начало месяца</t>
    </r>
  </si>
  <si>
    <r>
      <rPr>
        <rFont val="Arial"/>
        <b/>
        <color rgb="FF000000"/>
        <sz val="10.0"/>
      </rPr>
      <t xml:space="preserve">   </t>
    </r>
    <r>
      <rPr>
        <rFont val="Arial"/>
        <color rgb="FF000000"/>
        <sz val="10.0"/>
      </rPr>
      <t>Конец месяца</t>
    </r>
  </si>
  <si>
    <t>https://container-deshevo.ru/sklad-boksy-individualnogo-hraneniya/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</si>
</sst>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yyyy"/>
    <numFmt numFmtId="165" formatCode="#,##0\ &quot;₽&quot;"/>
    <numFmt numFmtId="166" formatCode="0.0%"/>
    <numFmt numFmtId="167" formatCode="[$р.-419]#,##0"/>
  </numFmts>
  <fonts count="17">
    <font>
      <sz val="10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1.0"/>
      <color rgb="FF000000"/>
      <name val="Arial"/>
    </font>
    <font>
      <b/>
      <sz val="10.0"/>
      <color rgb="FF000000"/>
      <name val="Calibri"/>
      <scheme val="minor"/>
    </font>
    <font>
      <sz val="10.0"/>
      <color theme="1"/>
      <name val="Arial"/>
    </font>
    <font>
      <b/>
      <sz val="11.0"/>
      <color rgb="FF38761D"/>
      <name val="Arial"/>
    </font>
    <font>
      <b/>
      <sz val="11.0"/>
      <color rgb="FFCC0000"/>
      <name val="Arial"/>
    </font>
    <font>
      <sz val="12.0"/>
      <color theme="1"/>
      <name val="Calibri"/>
      <scheme val="minor"/>
    </font>
    <font>
      <sz val="13.0"/>
      <color theme="1"/>
      <name val="Arial"/>
    </font>
    <font>
      <sz val="11.0"/>
      <color rgb="FF000000"/>
      <name val="Arial"/>
    </font>
    <font>
      <color theme="1"/>
      <name val="Arial"/>
    </font>
    <font>
      <sz val="12.0"/>
      <color theme="1"/>
      <name val="Arial"/>
    </font>
    <font>
      <u/>
      <sz val="13.0"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6">
    <border/>
    <border>
      <left/>
      <right/>
      <top/>
      <bottom/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5" numFmtId="0" xfId="0" applyFont="1"/>
    <xf borderId="0" fillId="2" fontId="0" numFmtId="0" xfId="0" applyFill="1" applyFont="1"/>
    <xf borderId="1" fillId="3" fontId="6" numFmtId="0" xfId="0" applyAlignment="1" applyBorder="1" applyFill="1" applyFont="1">
      <alignment horizontal="left" readingOrder="0" vertical="center"/>
    </xf>
    <xf borderId="1" fillId="3" fontId="2" numFmtId="165" xfId="0" applyAlignment="1" applyBorder="1" applyFont="1" applyNumberFormat="1">
      <alignment horizontal="right" readingOrder="0" vertical="center"/>
    </xf>
    <xf borderId="1" fillId="3" fontId="2" numFmtId="165" xfId="0" applyAlignment="1" applyBorder="1" applyFont="1" applyNumberFormat="1">
      <alignment horizontal="right" vertical="center"/>
    </xf>
    <xf borderId="1" fillId="3" fontId="6" numFmtId="165" xfId="0" applyAlignment="1" applyBorder="1" applyFont="1" applyNumberFormat="1">
      <alignment horizontal="right" vertical="center"/>
    </xf>
    <xf borderId="1" fillId="3" fontId="2" numFmtId="165" xfId="0" applyAlignment="1" applyBorder="1" applyFont="1" applyNumberForma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4" fontId="2" numFmtId="0" xfId="0" applyAlignment="1" applyBorder="1" applyFill="1" applyFont="1">
      <alignment horizontal="left" readingOrder="0" vertical="center"/>
    </xf>
    <xf borderId="1" fillId="4" fontId="2" numFmtId="165" xfId="0" applyAlignment="1" applyBorder="1" applyFont="1" applyNumberFormat="1">
      <alignment readingOrder="0" vertical="center"/>
    </xf>
    <xf borderId="1" fillId="4" fontId="2" numFmtId="165" xfId="0" applyAlignment="1" applyBorder="1" applyFont="1" applyNumberFormat="1">
      <alignment vertical="center"/>
    </xf>
    <xf borderId="1" fillId="0" fontId="7" numFmtId="0" xfId="0" applyAlignment="1" applyBorder="1" applyFont="1">
      <alignment vertical="center"/>
    </xf>
    <xf borderId="0" fillId="0" fontId="8" numFmtId="0" xfId="0" applyAlignment="1" applyFont="1">
      <alignment horizontal="left" readingOrder="0" vertical="center"/>
    </xf>
    <xf borderId="0" fillId="0" fontId="8" numFmtId="3" xfId="0" applyAlignment="1" applyFont="1" applyNumberFormat="1">
      <alignment horizontal="right" readingOrder="0" vertical="center"/>
    </xf>
    <xf borderId="0" fillId="0" fontId="8" numFmtId="3" xfId="0" applyAlignment="1" applyFont="1" applyNumberFormat="1">
      <alignment vertical="center"/>
    </xf>
    <xf borderId="0" fillId="0" fontId="8" numFmtId="9" xfId="0" applyAlignment="1" applyFont="1" applyNumberFormat="1">
      <alignment horizontal="right" readingOrder="0" vertical="center"/>
    </xf>
    <xf borderId="0" fillId="5" fontId="8" numFmtId="9" xfId="0" applyAlignment="1" applyFill="1" applyFont="1" applyNumberFormat="1">
      <alignment horizontal="right" readingOrder="0" vertical="center"/>
    </xf>
    <xf borderId="0" fillId="0" fontId="8" numFmtId="166" xfId="0" applyAlignment="1" applyFont="1" applyNumberFormat="1">
      <alignment horizontal="right" vertical="center"/>
    </xf>
    <xf borderId="0" fillId="0" fontId="8" numFmtId="10" xfId="0" applyAlignment="1" applyFont="1" applyNumberFormat="1">
      <alignment horizontal="right" readingOrder="0" vertical="center"/>
    </xf>
    <xf borderId="0" fillId="5" fontId="8" numFmtId="1" xfId="0" applyAlignment="1" applyFont="1" applyNumberFormat="1">
      <alignment horizontal="right" readingOrder="0" vertical="center"/>
    </xf>
    <xf borderId="0" fillId="0" fontId="8" numFmtId="3" xfId="0" applyAlignment="1" applyFont="1" applyNumberFormat="1">
      <alignment horizontal="right" vertical="center"/>
    </xf>
    <xf borderId="0" fillId="5" fontId="8" numFmtId="10" xfId="0" applyAlignment="1" applyFont="1" applyNumberFormat="1">
      <alignment horizontal="right" readingOrder="0" vertical="center"/>
    </xf>
    <xf borderId="0" fillId="5" fontId="8" numFmtId="3" xfId="0" applyAlignment="1" applyFont="1" applyNumberFormat="1">
      <alignment horizontal="right" readingOrder="0" vertical="center"/>
    </xf>
    <xf borderId="0" fillId="6" fontId="8" numFmtId="3" xfId="0" applyAlignment="1" applyFill="1" applyFont="1" applyNumberFormat="1">
      <alignment horizontal="right" readingOrder="0" vertical="center"/>
    </xf>
    <xf borderId="0" fillId="0" fontId="8" numFmtId="4" xfId="0" applyAlignment="1" applyFont="1" applyNumberFormat="1">
      <alignment horizontal="right" readingOrder="0" vertical="center"/>
    </xf>
    <xf borderId="0" fillId="0" fontId="3" numFmtId="0" xfId="0" applyAlignment="1" applyFont="1">
      <alignment horizontal="left" vertical="center"/>
    </xf>
    <xf borderId="1" fillId="7" fontId="2" numFmtId="0" xfId="0" applyAlignment="1" applyBorder="1" applyFill="1" applyFont="1">
      <alignment horizontal="left" readingOrder="0" vertical="center"/>
    </xf>
    <xf borderId="1" fillId="7" fontId="6" numFmtId="165" xfId="0" applyAlignment="1" applyBorder="1" applyFont="1" applyNumberFormat="1">
      <alignment vertical="center"/>
    </xf>
    <xf borderId="0" fillId="0" fontId="8" numFmtId="167" xfId="0" applyAlignment="1" applyFont="1" applyNumberFormat="1">
      <alignment readingOrder="0" vertical="center"/>
    </xf>
    <xf borderId="0" fillId="0" fontId="8" numFmtId="167" xfId="0" applyAlignment="1" applyFont="1" applyNumberFormat="1">
      <alignment vertical="center"/>
    </xf>
    <xf borderId="0" fillId="2" fontId="0" numFmtId="10" xfId="0" applyFont="1" applyNumberFormat="1"/>
    <xf borderId="0" fillId="0" fontId="5" numFmtId="167" xfId="0" applyAlignment="1" applyFont="1" applyNumberFormat="1">
      <alignment readingOrder="0" vertical="center"/>
    </xf>
    <xf borderId="0" fillId="5" fontId="8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167" xfId="0" applyAlignment="1" applyFont="1" applyNumberFormat="1">
      <alignment vertical="center"/>
    </xf>
    <xf borderId="0" fillId="0" fontId="5" numFmtId="3" xfId="0" applyAlignment="1" applyFont="1" applyNumberFormat="1">
      <alignment vertical="center"/>
    </xf>
    <xf borderId="0" fillId="0" fontId="5" numFmtId="0" xfId="0" applyAlignment="1" applyFont="1">
      <alignment horizontal="left" vertical="center"/>
    </xf>
    <xf borderId="1" fillId="4" fontId="9" numFmtId="0" xfId="0" applyAlignment="1" applyBorder="1" applyFont="1">
      <alignment horizontal="left" readingOrder="0" vertical="center"/>
    </xf>
    <xf borderId="0" fillId="8" fontId="10" numFmtId="165" xfId="0" applyAlignment="1" applyFill="1" applyFont="1" applyNumberFormat="1">
      <alignment vertical="center"/>
    </xf>
    <xf borderId="0" fillId="4" fontId="9" numFmtId="165" xfId="0" applyAlignment="1" applyFont="1" applyNumberFormat="1">
      <alignment vertical="center"/>
    </xf>
    <xf borderId="0" fillId="0" fontId="11" numFmtId="0" xfId="0" applyAlignment="1" applyFont="1">
      <alignment vertical="center"/>
    </xf>
    <xf borderId="0" fillId="0" fontId="5" numFmtId="9" xfId="0" applyAlignment="1" applyFont="1" applyNumberFormat="1">
      <alignment vertical="center"/>
    </xf>
    <xf borderId="0" fillId="0" fontId="12" numFmtId="0" xfId="0" applyFont="1"/>
    <xf borderId="1" fillId="3" fontId="6" numFmtId="0" xfId="0" applyAlignment="1" applyBorder="1" applyFont="1">
      <alignment horizontal="left" readingOrder="0" shrinkToFit="0" vertical="center" wrapText="1"/>
    </xf>
    <xf borderId="0" fillId="0" fontId="5" numFmtId="4" xfId="0" applyAlignment="1" applyFont="1" applyNumberFormat="1">
      <alignment readingOrder="0" vertical="center"/>
    </xf>
    <xf borderId="1" fillId="3" fontId="13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1" fillId="3" fontId="5" numFmtId="0" xfId="0" applyAlignment="1" applyBorder="1" applyFont="1">
      <alignment vertical="center"/>
    </xf>
    <xf borderId="0" fillId="0" fontId="14" numFmtId="167" xfId="0" applyAlignment="1" applyFont="1" applyNumberFormat="1">
      <alignment vertical="center"/>
    </xf>
    <xf borderId="0" fillId="0" fontId="8" numFmtId="10" xfId="0" applyAlignment="1" applyFont="1" applyNumberFormat="1">
      <alignment readingOrder="0" vertical="center"/>
    </xf>
    <xf borderId="0" fillId="9" fontId="8" numFmtId="10" xfId="0" applyAlignment="1" applyFill="1" applyFont="1" applyNumberFormat="1">
      <alignment readingOrder="0" vertical="center"/>
    </xf>
    <xf borderId="2" fillId="2" fontId="15" numFmtId="0" xfId="0" applyAlignment="1" applyBorder="1" applyFont="1">
      <alignment horizontal="center" readingOrder="0" shrinkToFit="0" vertical="bottom" wrapText="1"/>
    </xf>
    <xf borderId="3" fillId="2" fontId="15" numFmtId="0" xfId="0" applyAlignment="1" applyBorder="1" applyFont="1">
      <alignment horizontal="center" readingOrder="0" shrinkToFit="0" vertical="bottom" wrapText="1"/>
    </xf>
    <xf borderId="4" fillId="2" fontId="15" numFmtId="0" xfId="0" applyAlignment="1" applyBorder="1" applyFont="1">
      <alignment horizontal="center" readingOrder="0" shrinkToFit="0" vertical="bottom" wrapText="1"/>
    </xf>
    <xf borderId="5" fillId="2" fontId="15" numFmtId="0" xfId="0" applyAlignment="1" applyBorder="1" applyFont="1">
      <alignment horizontal="center" readingOrder="0" shrinkToFit="0" vertical="bottom" wrapText="1"/>
    </xf>
    <xf borderId="3" fillId="2" fontId="15" numFmtId="0" xfId="0" applyAlignment="1" applyBorder="1" applyFont="1">
      <alignment horizontal="left" readingOrder="0" shrinkToFit="0" vertical="bottom" wrapText="1"/>
    </xf>
    <xf borderId="5" fillId="2" fontId="15" numFmtId="0" xfId="0" applyAlignment="1" applyBorder="1" applyFont="1">
      <alignment horizontal="left" readingOrder="0" shrinkToFit="0" vertical="bottom" wrapText="1"/>
    </xf>
    <xf borderId="0" fillId="0" fontId="8" numFmtId="167" xfId="0" applyAlignment="1" applyFont="1" applyNumberFormat="1">
      <alignment horizontal="left" readingOrder="0" vertical="center"/>
    </xf>
    <xf borderId="0" fillId="0" fontId="8" numFmtId="167" xfId="0" applyAlignment="1" applyFont="1" applyNumberFormat="1">
      <alignment horizontal="right" readingOrder="0" vertical="center"/>
    </xf>
    <xf borderId="0" fillId="2" fontId="0" numFmtId="167" xfId="0" applyFont="1" applyNumberFormat="1"/>
    <xf borderId="0" fillId="0" fontId="0" numFmtId="167" xfId="0" applyAlignment="1" applyFont="1" applyNumberFormat="1">
      <alignment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center"/>
    </xf>
    <xf borderId="0" fillId="0" fontId="5" numFmtId="3" xfId="0" applyAlignment="1" applyFont="1" applyNumberFormat="1">
      <alignment readingOrder="0" vertical="center"/>
    </xf>
    <xf borderId="0" fillId="0" fontId="14" numFmtId="3" xfId="0" applyAlignment="1" applyFont="1" applyNumberFormat="1">
      <alignment vertical="center"/>
    </xf>
    <xf borderId="0" fillId="0" fontId="8" numFmtId="3" xfId="0" applyAlignment="1" applyFont="1" applyNumberFormat="1">
      <alignment readingOrder="0" vertical="center"/>
    </xf>
    <xf borderId="0" fillId="10" fontId="8" numFmtId="10" xfId="0" applyAlignment="1" applyFill="1" applyFont="1" applyNumberFormat="1">
      <alignment horizontal="right" readingOrder="0" vertical="center"/>
    </xf>
    <xf borderId="0" fillId="0" fontId="8" numFmtId="166" xfId="0" applyAlignment="1" applyFont="1" applyNumberFormat="1">
      <alignment horizontal="right" readingOrder="0" vertical="center"/>
    </xf>
    <xf borderId="0" fillId="10" fontId="8" numFmtId="3" xfId="0" applyAlignment="1" applyFont="1" applyNumberFormat="1">
      <alignment horizontal="right" readingOrder="0" vertical="center"/>
    </xf>
    <xf borderId="0" fillId="6" fontId="8" numFmtId="0" xfId="0" applyAlignment="1" applyFont="1">
      <alignment horizontal="left" readingOrder="0" vertical="center"/>
    </xf>
    <xf borderId="0" fillId="0" fontId="12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90000"/>
      </font>
      <fill>
        <patternFill patternType="solid">
          <fgColor rgb="FFE06666"/>
          <bgColor rgb="FFE06666"/>
        </patternFill>
      </fill>
      <border/>
    </dxf>
    <dxf>
      <font>
        <color rgb="FFBF9000"/>
      </font>
      <fill>
        <patternFill patternType="solid">
          <fgColor rgb="FFFFD966"/>
          <bgColor rgb="FFFFD966"/>
        </patternFill>
      </fill>
      <border/>
    </dxf>
    <dxf>
      <font>
        <color rgb="FF38761D"/>
      </font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s://container-deshevo.ru/sklad-boksy-individualnogo-hraneniya/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6.71"/>
    <col customWidth="1" min="2" max="4" width="15.29"/>
    <col customWidth="1" min="5" max="13" width="13.71"/>
    <col customWidth="1" min="14" max="14" width="3.71"/>
    <col customWidth="1" min="15" max="15" width="27.0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45412.0</v>
      </c>
      <c r="C2" s="5">
        <f t="shared" ref="C2:M2" si="1">EDATE(B2,1)</f>
        <v>45442</v>
      </c>
      <c r="D2" s="5">
        <f t="shared" si="1"/>
        <v>45473</v>
      </c>
      <c r="E2" s="5">
        <f t="shared" si="1"/>
        <v>45503</v>
      </c>
      <c r="F2" s="5">
        <f t="shared" si="1"/>
        <v>45534</v>
      </c>
      <c r="G2" s="5">
        <f t="shared" si="1"/>
        <v>45565</v>
      </c>
      <c r="H2" s="5">
        <f t="shared" si="1"/>
        <v>45595</v>
      </c>
      <c r="I2" s="5">
        <f t="shared" si="1"/>
        <v>45626</v>
      </c>
      <c r="J2" s="5">
        <f t="shared" si="1"/>
        <v>45656</v>
      </c>
      <c r="K2" s="5">
        <f t="shared" si="1"/>
        <v>45687</v>
      </c>
      <c r="L2" s="5">
        <f t="shared" si="1"/>
        <v>45716</v>
      </c>
      <c r="M2" s="5">
        <f t="shared" si="1"/>
        <v>45744</v>
      </c>
      <c r="N2" s="6"/>
      <c r="O2" s="7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Q3" s="9"/>
      <c r="R3" s="9"/>
      <c r="S3" s="9"/>
      <c r="T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>
        <v>1000000.0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14"/>
      <c r="P4" s="9"/>
      <c r="Q4" s="9"/>
      <c r="R4" s="9"/>
      <c r="S4" s="9"/>
      <c r="T4" s="9"/>
      <c r="U4" s="15"/>
      <c r="V4" s="15"/>
      <c r="W4" s="15"/>
      <c r="X4" s="15"/>
      <c r="Y4" s="15"/>
      <c r="Z4" s="15"/>
    </row>
    <row r="5" ht="17.25" customHeight="1">
      <c r="A5" s="16" t="s">
        <v>4</v>
      </c>
      <c r="B5" s="16">
        <v>0.0</v>
      </c>
      <c r="C5" s="16">
        <v>15.0</v>
      </c>
      <c r="D5" s="16">
        <v>15.0</v>
      </c>
      <c r="E5" s="16">
        <v>15.0</v>
      </c>
      <c r="F5" s="16">
        <v>15.0</v>
      </c>
      <c r="G5" s="16">
        <v>15.0</v>
      </c>
      <c r="H5" s="16">
        <v>15.0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O5" s="17"/>
      <c r="P5" s="9"/>
      <c r="Q5" s="9"/>
      <c r="R5" s="9"/>
      <c r="S5" s="9"/>
      <c r="T5" s="9"/>
      <c r="U5" s="15"/>
      <c r="V5" s="15"/>
      <c r="W5" s="15"/>
      <c r="X5" s="15"/>
      <c r="Y5" s="15"/>
      <c r="Z5" s="15"/>
    </row>
    <row r="6" ht="17.25" customHeight="1">
      <c r="A6" s="17"/>
      <c r="B6" s="17"/>
      <c r="C6" s="17"/>
      <c r="D6" s="17" t="s">
        <v>5</v>
      </c>
      <c r="E6" s="17"/>
      <c r="F6" s="17"/>
      <c r="G6" s="17"/>
      <c r="H6" s="17"/>
      <c r="I6" s="17"/>
      <c r="J6" s="17"/>
      <c r="K6" s="17"/>
      <c r="L6" s="17"/>
      <c r="M6" s="17"/>
      <c r="O6" s="17"/>
      <c r="P6" s="9"/>
      <c r="Q6" s="9"/>
      <c r="R6" s="9"/>
      <c r="S6" s="9"/>
      <c r="T6" s="9"/>
      <c r="U6" s="15"/>
      <c r="V6" s="15"/>
      <c r="W6" s="15"/>
      <c r="X6" s="15"/>
      <c r="Y6" s="15"/>
      <c r="Z6" s="15"/>
    </row>
    <row r="7" ht="17.25" customHeight="1">
      <c r="A7" s="18" t="s">
        <v>6</v>
      </c>
      <c r="B7" s="19">
        <v>0.0</v>
      </c>
      <c r="C7" s="20">
        <f t="shared" ref="C7:M7" si="2">C14*C13</f>
        <v>1920000</v>
      </c>
      <c r="D7" s="20">
        <f t="shared" si="2"/>
        <v>1920000</v>
      </c>
      <c r="E7" s="20">
        <f t="shared" si="2"/>
        <v>1800000</v>
      </c>
      <c r="F7" s="20">
        <f t="shared" si="2"/>
        <v>1680000</v>
      </c>
      <c r="G7" s="20">
        <f t="shared" si="2"/>
        <v>2040000</v>
      </c>
      <c r="H7" s="20">
        <f t="shared" si="2"/>
        <v>2040000</v>
      </c>
      <c r="I7" s="20">
        <f t="shared" si="2"/>
        <v>0</v>
      </c>
      <c r="J7" s="20">
        <f t="shared" si="2"/>
        <v>0</v>
      </c>
      <c r="K7" s="20">
        <f t="shared" si="2"/>
        <v>0</v>
      </c>
      <c r="L7" s="20">
        <f t="shared" si="2"/>
        <v>0</v>
      </c>
      <c r="M7" s="20">
        <f t="shared" si="2"/>
        <v>0</v>
      </c>
      <c r="O7" s="20">
        <f t="shared" ref="O7:O8" si="4">SUM(B7:M7)</f>
        <v>11400000</v>
      </c>
      <c r="P7" s="9"/>
      <c r="Q7" s="9"/>
      <c r="R7" s="9"/>
      <c r="S7" s="9"/>
      <c r="T7" s="9"/>
      <c r="U7" s="21"/>
      <c r="V7" s="21"/>
      <c r="W7" s="21"/>
      <c r="X7" s="21"/>
      <c r="Y7" s="21"/>
      <c r="Z7" s="21"/>
    </row>
    <row r="8" ht="17.25" customHeight="1">
      <c r="A8" s="22" t="s">
        <v>7</v>
      </c>
      <c r="B8" s="23"/>
      <c r="C8" s="23">
        <f t="shared" ref="C8:H8" si="3">200000*30</f>
        <v>6000000</v>
      </c>
      <c r="D8" s="23">
        <f t="shared" si="3"/>
        <v>6000000</v>
      </c>
      <c r="E8" s="23">
        <f t="shared" si="3"/>
        <v>6000000</v>
      </c>
      <c r="F8" s="23">
        <f t="shared" si="3"/>
        <v>6000000</v>
      </c>
      <c r="G8" s="23">
        <f t="shared" si="3"/>
        <v>6000000</v>
      </c>
      <c r="H8" s="23">
        <f t="shared" si="3"/>
        <v>6000000</v>
      </c>
      <c r="I8" s="23"/>
      <c r="J8" s="23"/>
      <c r="K8" s="23"/>
      <c r="L8" s="23"/>
      <c r="M8" s="23"/>
      <c r="O8" s="24">
        <f t="shared" si="4"/>
        <v>36000000</v>
      </c>
      <c r="P8" s="9"/>
      <c r="Q8" s="9"/>
      <c r="R8" s="9"/>
      <c r="S8" s="9"/>
      <c r="T8" s="9"/>
      <c r="U8" s="15"/>
      <c r="V8" s="15"/>
      <c r="W8" s="15"/>
      <c r="X8" s="15"/>
      <c r="Y8" s="15"/>
      <c r="Z8" s="15"/>
    </row>
    <row r="9" ht="17.25" customHeight="1">
      <c r="A9" s="22" t="s">
        <v>8</v>
      </c>
      <c r="B9" s="25"/>
      <c r="C9" s="26">
        <v>0.1</v>
      </c>
      <c r="D9" s="26">
        <v>0.1</v>
      </c>
      <c r="E9" s="26">
        <v>0.1</v>
      </c>
      <c r="F9" s="26">
        <v>0.1</v>
      </c>
      <c r="G9" s="26">
        <v>0.1</v>
      </c>
      <c r="H9" s="26">
        <v>0.1</v>
      </c>
      <c r="I9" s="27"/>
      <c r="J9" s="27"/>
      <c r="K9" s="27"/>
      <c r="L9" s="27"/>
      <c r="M9" s="27"/>
      <c r="O9" s="17"/>
      <c r="P9" s="9"/>
      <c r="Q9" s="9"/>
      <c r="R9" s="9"/>
      <c r="S9" s="9"/>
      <c r="T9" s="9"/>
      <c r="U9" s="15"/>
      <c r="V9" s="15"/>
      <c r="W9" s="15"/>
      <c r="X9" s="15"/>
      <c r="Y9" s="15"/>
      <c r="Z9" s="15"/>
    </row>
    <row r="10" ht="17.25" customHeight="1">
      <c r="A10" s="22" t="s">
        <v>9</v>
      </c>
      <c r="B10" s="28"/>
      <c r="C10" s="29">
        <f t="shared" ref="C10:H10" si="5">C9/C5*C8</f>
        <v>40000</v>
      </c>
      <c r="D10" s="29">
        <f t="shared" si="5"/>
        <v>40000</v>
      </c>
      <c r="E10" s="29">
        <f t="shared" si="5"/>
        <v>40000</v>
      </c>
      <c r="F10" s="29">
        <f t="shared" si="5"/>
        <v>40000</v>
      </c>
      <c r="G10" s="29">
        <f t="shared" si="5"/>
        <v>40000</v>
      </c>
      <c r="H10" s="29">
        <f t="shared" si="5"/>
        <v>40000</v>
      </c>
      <c r="I10" s="27"/>
      <c r="J10" s="27"/>
      <c r="K10" s="27"/>
      <c r="L10" s="27"/>
      <c r="M10" s="27"/>
      <c r="O10" s="17"/>
      <c r="P10" s="9"/>
      <c r="Q10" s="9"/>
      <c r="R10" s="9"/>
      <c r="S10" s="9"/>
      <c r="T10" s="9"/>
      <c r="U10" s="15"/>
      <c r="V10" s="15"/>
      <c r="W10" s="15"/>
      <c r="X10" s="15"/>
      <c r="Y10" s="15"/>
      <c r="Z10" s="15"/>
    </row>
    <row r="11" ht="17.25" customHeight="1">
      <c r="A11" s="22" t="s">
        <v>10</v>
      </c>
      <c r="B11" s="30"/>
      <c r="C11" s="30">
        <f t="shared" ref="C11:H11" si="6">C8*C9</f>
        <v>600000</v>
      </c>
      <c r="D11" s="30">
        <f t="shared" si="6"/>
        <v>600000</v>
      </c>
      <c r="E11" s="30">
        <f t="shared" si="6"/>
        <v>600000</v>
      </c>
      <c r="F11" s="30">
        <f t="shared" si="6"/>
        <v>600000</v>
      </c>
      <c r="G11" s="30">
        <f t="shared" si="6"/>
        <v>600000</v>
      </c>
      <c r="H11" s="30">
        <f t="shared" si="6"/>
        <v>600000</v>
      </c>
      <c r="I11" s="30"/>
      <c r="J11" s="30"/>
      <c r="K11" s="30"/>
      <c r="L11" s="30"/>
      <c r="M11" s="30"/>
      <c r="O11" s="24">
        <f>SUM(B11:M11)</f>
        <v>3600000</v>
      </c>
      <c r="P11" s="9"/>
      <c r="Q11" s="9"/>
      <c r="R11" s="9"/>
      <c r="S11" s="9"/>
      <c r="T11" s="9"/>
      <c r="U11" s="15"/>
      <c r="V11" s="15"/>
      <c r="W11" s="15"/>
      <c r="X11" s="15"/>
      <c r="Y11" s="15"/>
      <c r="Z11" s="15"/>
    </row>
    <row r="12" ht="17.25" customHeight="1">
      <c r="A12" s="22" t="s">
        <v>11</v>
      </c>
      <c r="B12" s="28"/>
      <c r="C12" s="31">
        <v>0.016</v>
      </c>
      <c r="D12" s="31">
        <v>0.016</v>
      </c>
      <c r="E12" s="31">
        <v>0.015</v>
      </c>
      <c r="F12" s="31">
        <v>0.014</v>
      </c>
      <c r="G12" s="31">
        <v>0.017</v>
      </c>
      <c r="H12" s="31">
        <v>0.017</v>
      </c>
      <c r="I12" s="28"/>
      <c r="J12" s="28"/>
      <c r="K12" s="28"/>
      <c r="L12" s="28"/>
      <c r="M12" s="28"/>
      <c r="O12" s="17"/>
      <c r="P12" s="9"/>
      <c r="Q12" s="9"/>
      <c r="R12" s="9"/>
      <c r="S12" s="9"/>
      <c r="T12" s="9"/>
      <c r="U12" s="15"/>
      <c r="V12" s="15"/>
      <c r="W12" s="15"/>
      <c r="X12" s="15"/>
      <c r="Y12" s="15"/>
      <c r="Z12" s="15"/>
    </row>
    <row r="13" ht="17.25" customHeight="1">
      <c r="A13" s="22" t="s">
        <v>12</v>
      </c>
      <c r="B13" s="23"/>
      <c r="C13" s="32">
        <v>200.0</v>
      </c>
      <c r="D13" s="32">
        <v>200.0</v>
      </c>
      <c r="E13" s="32">
        <v>200.0</v>
      </c>
      <c r="F13" s="32">
        <v>200.0</v>
      </c>
      <c r="G13" s="32">
        <v>200.0</v>
      </c>
      <c r="H13" s="32">
        <v>200.0</v>
      </c>
      <c r="I13" s="23"/>
      <c r="J13" s="23"/>
      <c r="K13" s="23"/>
      <c r="L13" s="23"/>
      <c r="M13" s="23"/>
      <c r="O13" s="17"/>
      <c r="P13" s="9"/>
      <c r="Q13" s="9"/>
      <c r="R13" s="9"/>
      <c r="S13" s="9"/>
      <c r="T13" s="9"/>
      <c r="U13" s="15"/>
      <c r="V13" s="15"/>
      <c r="W13" s="15"/>
      <c r="X13" s="15"/>
      <c r="Y13" s="15"/>
      <c r="Z13" s="15"/>
    </row>
    <row r="14" ht="17.25" customHeight="1">
      <c r="A14" s="22" t="s">
        <v>13</v>
      </c>
      <c r="B14" s="23"/>
      <c r="C14" s="30">
        <f t="shared" ref="C14:H14" si="7">C11*C12</f>
        <v>9600</v>
      </c>
      <c r="D14" s="30">
        <f t="shared" si="7"/>
        <v>9600</v>
      </c>
      <c r="E14" s="30">
        <f t="shared" si="7"/>
        <v>9000</v>
      </c>
      <c r="F14" s="30">
        <f t="shared" si="7"/>
        <v>8400</v>
      </c>
      <c r="G14" s="30">
        <f t="shared" si="7"/>
        <v>10200</v>
      </c>
      <c r="H14" s="30">
        <f t="shared" si="7"/>
        <v>10200</v>
      </c>
      <c r="I14" s="30"/>
      <c r="J14" s="30"/>
      <c r="K14" s="30"/>
      <c r="L14" s="30"/>
      <c r="M14" s="30"/>
      <c r="O14" s="24">
        <f>SUM(B14:M14)</f>
        <v>57000</v>
      </c>
      <c r="P14" s="9"/>
      <c r="Q14" s="9"/>
      <c r="R14" s="9"/>
      <c r="S14" s="9"/>
      <c r="T14" s="9"/>
      <c r="U14" s="15"/>
      <c r="V14" s="15"/>
      <c r="W14" s="15"/>
      <c r="X14" s="15"/>
      <c r="Y14" s="15"/>
      <c r="Z14" s="15"/>
    </row>
    <row r="15" ht="17.25" customHeight="1">
      <c r="A15" s="22" t="s">
        <v>14</v>
      </c>
      <c r="B15" s="23"/>
      <c r="C15" s="33">
        <f t="shared" ref="C15:H15" si="8">C14/30</f>
        <v>320</v>
      </c>
      <c r="D15" s="33">
        <f t="shared" si="8"/>
        <v>320</v>
      </c>
      <c r="E15" s="33">
        <f t="shared" si="8"/>
        <v>300</v>
      </c>
      <c r="F15" s="33">
        <f t="shared" si="8"/>
        <v>280</v>
      </c>
      <c r="G15" s="33">
        <f t="shared" si="8"/>
        <v>340</v>
      </c>
      <c r="H15" s="33">
        <f t="shared" si="8"/>
        <v>340</v>
      </c>
      <c r="I15" s="23"/>
      <c r="J15" s="23"/>
      <c r="K15" s="23"/>
      <c r="L15" s="23"/>
      <c r="M15" s="23"/>
      <c r="O15" s="17"/>
      <c r="P15" s="9"/>
      <c r="Q15" s="9"/>
      <c r="R15" s="9"/>
      <c r="S15" s="9"/>
      <c r="T15" s="9"/>
      <c r="U15" s="15"/>
      <c r="V15" s="15"/>
      <c r="W15" s="15"/>
      <c r="X15" s="15"/>
      <c r="Y15" s="15"/>
      <c r="Z15" s="15"/>
    </row>
    <row r="16" ht="17.25" customHeight="1">
      <c r="A16" s="22" t="s">
        <v>15</v>
      </c>
      <c r="B16" s="34"/>
      <c r="C16" s="34">
        <f t="shared" ref="C16:H16" si="9">C15/C5</f>
        <v>21.33333333</v>
      </c>
      <c r="D16" s="34">
        <f t="shared" si="9"/>
        <v>21.33333333</v>
      </c>
      <c r="E16" s="34">
        <f t="shared" si="9"/>
        <v>20</v>
      </c>
      <c r="F16" s="34">
        <f t="shared" si="9"/>
        <v>18.66666667</v>
      </c>
      <c r="G16" s="34">
        <f t="shared" si="9"/>
        <v>22.66666667</v>
      </c>
      <c r="H16" s="34">
        <f t="shared" si="9"/>
        <v>22.66666667</v>
      </c>
      <c r="I16" s="34"/>
      <c r="J16" s="34"/>
      <c r="K16" s="34"/>
      <c r="L16" s="34"/>
      <c r="M16" s="34"/>
      <c r="O16" s="17"/>
      <c r="P16" s="9"/>
      <c r="Q16" s="9"/>
      <c r="R16" s="9"/>
      <c r="S16" s="9"/>
      <c r="T16" s="9"/>
      <c r="U16" s="15"/>
      <c r="V16" s="15"/>
      <c r="W16" s="15"/>
      <c r="X16" s="15"/>
      <c r="Y16" s="15"/>
      <c r="Z16" s="15"/>
    </row>
    <row r="17" ht="17.25" customHeight="1">
      <c r="A17" s="3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O17" s="24"/>
      <c r="P17" s="9"/>
      <c r="Q17" s="9"/>
      <c r="R17" s="9"/>
      <c r="S17" s="9"/>
      <c r="T17" s="9"/>
      <c r="U17" s="15"/>
      <c r="V17" s="15"/>
      <c r="W17" s="15"/>
      <c r="X17" s="15"/>
      <c r="Y17" s="15"/>
      <c r="Z17" s="15"/>
    </row>
    <row r="18" ht="17.25" customHeight="1">
      <c r="A18" s="36" t="s">
        <v>16</v>
      </c>
      <c r="B18" s="37">
        <f t="shared" ref="B18:M18" si="10">SUM(B19:B28)</f>
        <v>995000</v>
      </c>
      <c r="C18" s="37">
        <f t="shared" si="10"/>
        <v>1373080</v>
      </c>
      <c r="D18" s="37">
        <f t="shared" si="10"/>
        <v>1373080</v>
      </c>
      <c r="E18" s="37">
        <f t="shared" si="10"/>
        <v>1343200</v>
      </c>
      <c r="F18" s="37">
        <f t="shared" si="10"/>
        <v>1313320</v>
      </c>
      <c r="G18" s="37">
        <f t="shared" si="10"/>
        <v>1422960</v>
      </c>
      <c r="H18" s="37">
        <f t="shared" si="10"/>
        <v>897960</v>
      </c>
      <c r="I18" s="37">
        <f t="shared" si="10"/>
        <v>60000</v>
      </c>
      <c r="J18" s="37">
        <f t="shared" si="10"/>
        <v>60000</v>
      </c>
      <c r="K18" s="37">
        <f t="shared" si="10"/>
        <v>60000</v>
      </c>
      <c r="L18" s="37">
        <f t="shared" si="10"/>
        <v>60000</v>
      </c>
      <c r="M18" s="37">
        <f t="shared" si="10"/>
        <v>60000</v>
      </c>
      <c r="O18" s="37">
        <f>SUM(O19:O29)</f>
        <v>9375810</v>
      </c>
      <c r="P18" s="9"/>
      <c r="Q18" s="9"/>
      <c r="R18" s="9"/>
      <c r="S18" s="9"/>
      <c r="T18" s="9"/>
      <c r="U18" s="21"/>
      <c r="V18" s="21"/>
      <c r="W18" s="21"/>
      <c r="X18" s="21"/>
      <c r="Y18" s="21"/>
      <c r="Z18" s="21"/>
    </row>
    <row r="19" ht="17.25" customHeight="1">
      <c r="A19" s="22" t="s">
        <v>17</v>
      </c>
      <c r="B19" s="38">
        <f>C5*40*250</f>
        <v>150000</v>
      </c>
      <c r="C19" s="39">
        <f t="shared" ref="C19:H19" si="11">C14/10*250</f>
        <v>240000</v>
      </c>
      <c r="D19" s="39">
        <f t="shared" si="11"/>
        <v>240000</v>
      </c>
      <c r="E19" s="39">
        <f t="shared" si="11"/>
        <v>225000</v>
      </c>
      <c r="F19" s="39">
        <f t="shared" si="11"/>
        <v>210000</v>
      </c>
      <c r="G19" s="39">
        <f t="shared" si="11"/>
        <v>255000</v>
      </c>
      <c r="H19" s="39">
        <f t="shared" si="11"/>
        <v>255000</v>
      </c>
      <c r="I19" s="39">
        <f t="shared" ref="I19:M19" si="12">I14/10*240</f>
        <v>0</v>
      </c>
      <c r="J19" s="39">
        <f t="shared" si="12"/>
        <v>0</v>
      </c>
      <c r="K19" s="39">
        <f t="shared" si="12"/>
        <v>0</v>
      </c>
      <c r="L19" s="39">
        <f t="shared" si="12"/>
        <v>0</v>
      </c>
      <c r="M19" s="39">
        <f t="shared" si="12"/>
        <v>0</v>
      </c>
      <c r="O19" s="38">
        <f t="shared" ref="O19:O27" si="14">SUM(B19:M19)</f>
        <v>1575000</v>
      </c>
      <c r="P19" s="40">
        <f t="shared" ref="P19:P28" si="15">O19/SUM($O$19:$O$28)</f>
        <v>0.1679854861</v>
      </c>
      <c r="Q19" s="9"/>
      <c r="R19" s="9"/>
      <c r="S19" s="9"/>
      <c r="T19" s="9"/>
      <c r="U19" s="15"/>
      <c r="V19" s="15"/>
      <c r="W19" s="15"/>
      <c r="X19" s="15"/>
      <c r="Y19" s="15"/>
      <c r="Z19" s="15"/>
    </row>
    <row r="20" ht="17.25" customHeight="1">
      <c r="A20" s="22" t="s">
        <v>18</v>
      </c>
      <c r="B20" s="38">
        <f t="shared" ref="B20:M20" si="13">C5*20000</f>
        <v>300000</v>
      </c>
      <c r="C20" s="38">
        <f t="shared" si="13"/>
        <v>300000</v>
      </c>
      <c r="D20" s="38">
        <f t="shared" si="13"/>
        <v>300000</v>
      </c>
      <c r="E20" s="38">
        <f t="shared" si="13"/>
        <v>300000</v>
      </c>
      <c r="F20" s="38">
        <f t="shared" si="13"/>
        <v>300000</v>
      </c>
      <c r="G20" s="38">
        <f t="shared" si="13"/>
        <v>300000</v>
      </c>
      <c r="H20" s="38">
        <f t="shared" si="13"/>
        <v>0</v>
      </c>
      <c r="I20" s="38">
        <f t="shared" si="13"/>
        <v>0</v>
      </c>
      <c r="J20" s="38">
        <f t="shared" si="13"/>
        <v>0</v>
      </c>
      <c r="K20" s="38">
        <f t="shared" si="13"/>
        <v>0</v>
      </c>
      <c r="L20" s="38">
        <f t="shared" si="13"/>
        <v>0</v>
      </c>
      <c r="M20" s="38">
        <f t="shared" si="13"/>
        <v>0</v>
      </c>
      <c r="O20" s="38">
        <f t="shared" si="14"/>
        <v>1800000</v>
      </c>
      <c r="P20" s="40">
        <f t="shared" si="15"/>
        <v>0.1919834126</v>
      </c>
      <c r="Q20" s="9"/>
      <c r="R20" s="9"/>
      <c r="S20" s="9"/>
      <c r="T20" s="9"/>
      <c r="U20" s="15"/>
      <c r="V20" s="15"/>
      <c r="W20" s="15"/>
      <c r="X20" s="15"/>
      <c r="Y20" s="15"/>
      <c r="Z20" s="15"/>
    </row>
    <row r="21" ht="17.25" customHeight="1">
      <c r="A21" s="22" t="s">
        <v>19</v>
      </c>
      <c r="B21" s="41">
        <v>200000.0</v>
      </c>
      <c r="C21" s="41">
        <f t="shared" ref="C21:H21" si="16">90000*3</f>
        <v>270000</v>
      </c>
      <c r="D21" s="41">
        <f t="shared" si="16"/>
        <v>270000</v>
      </c>
      <c r="E21" s="41">
        <f t="shared" si="16"/>
        <v>270000</v>
      </c>
      <c r="F21" s="41">
        <f t="shared" si="16"/>
        <v>270000</v>
      </c>
      <c r="G21" s="41">
        <f t="shared" si="16"/>
        <v>270000</v>
      </c>
      <c r="H21" s="41">
        <f t="shared" si="16"/>
        <v>270000</v>
      </c>
      <c r="I21" s="41">
        <f t="shared" ref="I21:M21" si="17">3*20000</f>
        <v>60000</v>
      </c>
      <c r="J21" s="41">
        <f t="shared" si="17"/>
        <v>60000</v>
      </c>
      <c r="K21" s="41">
        <f t="shared" si="17"/>
        <v>60000</v>
      </c>
      <c r="L21" s="41">
        <f t="shared" si="17"/>
        <v>60000</v>
      </c>
      <c r="M21" s="41">
        <f t="shared" si="17"/>
        <v>60000</v>
      </c>
      <c r="O21" s="38">
        <f t="shared" si="14"/>
        <v>2120000</v>
      </c>
      <c r="P21" s="40">
        <f t="shared" si="15"/>
        <v>0.2261137971</v>
      </c>
      <c r="Q21" s="9"/>
      <c r="R21" s="9"/>
      <c r="S21" s="9"/>
      <c r="T21" s="9"/>
      <c r="U21" s="15"/>
      <c r="V21" s="15"/>
      <c r="W21" s="15"/>
      <c r="X21" s="15"/>
      <c r="Y21" s="15"/>
      <c r="Z21" s="15"/>
    </row>
    <row r="22" ht="17.25" customHeight="1">
      <c r="A22" s="42" t="s">
        <v>20</v>
      </c>
      <c r="B22" s="41">
        <f t="shared" ref="B22:M22" si="18">C5*15000</f>
        <v>225000</v>
      </c>
      <c r="C22" s="41">
        <f t="shared" si="18"/>
        <v>225000</v>
      </c>
      <c r="D22" s="41">
        <f t="shared" si="18"/>
        <v>225000</v>
      </c>
      <c r="E22" s="41">
        <f t="shared" si="18"/>
        <v>225000</v>
      </c>
      <c r="F22" s="41">
        <f t="shared" si="18"/>
        <v>225000</v>
      </c>
      <c r="G22" s="41">
        <f t="shared" si="18"/>
        <v>225000</v>
      </c>
      <c r="H22" s="41">
        <f t="shared" si="18"/>
        <v>0</v>
      </c>
      <c r="I22" s="41">
        <f t="shared" si="18"/>
        <v>0</v>
      </c>
      <c r="J22" s="41">
        <f t="shared" si="18"/>
        <v>0</v>
      </c>
      <c r="K22" s="41">
        <f t="shared" si="18"/>
        <v>0</v>
      </c>
      <c r="L22" s="41">
        <f t="shared" si="18"/>
        <v>0</v>
      </c>
      <c r="M22" s="41">
        <f t="shared" si="18"/>
        <v>0</v>
      </c>
      <c r="O22" s="38">
        <f t="shared" si="14"/>
        <v>1350000</v>
      </c>
      <c r="P22" s="40">
        <f t="shared" si="15"/>
        <v>0.1439875595</v>
      </c>
      <c r="Q22" s="9"/>
      <c r="R22" s="9"/>
      <c r="S22" s="9"/>
      <c r="T22" s="9"/>
      <c r="U22" s="15"/>
      <c r="V22" s="15"/>
      <c r="W22" s="15"/>
      <c r="X22" s="15"/>
      <c r="Y22" s="15"/>
      <c r="Z22" s="15"/>
    </row>
    <row r="23" ht="17.25" customHeight="1">
      <c r="A23" s="43" t="s">
        <v>21</v>
      </c>
      <c r="B23" s="41">
        <v>100000.0</v>
      </c>
      <c r="C23" s="41">
        <v>40000.0</v>
      </c>
      <c r="D23" s="41">
        <v>40000.0</v>
      </c>
      <c r="E23" s="41">
        <v>40000.0</v>
      </c>
      <c r="F23" s="41">
        <v>40000.0</v>
      </c>
      <c r="G23" s="41">
        <v>40000.0</v>
      </c>
      <c r="H23" s="41">
        <v>40000.0</v>
      </c>
      <c r="I23" s="41">
        <v>0.0</v>
      </c>
      <c r="J23" s="41">
        <v>0.0</v>
      </c>
      <c r="K23" s="41">
        <v>0.0</v>
      </c>
      <c r="L23" s="41">
        <v>0.0</v>
      </c>
      <c r="M23" s="41">
        <v>0.0</v>
      </c>
      <c r="O23" s="38">
        <f t="shared" si="14"/>
        <v>340000</v>
      </c>
      <c r="P23" s="40">
        <f t="shared" si="15"/>
        <v>0.0362635335</v>
      </c>
      <c r="Q23" s="9"/>
      <c r="R23" s="9"/>
      <c r="S23" s="9"/>
      <c r="T23" s="9"/>
      <c r="U23" s="15"/>
      <c r="V23" s="15"/>
      <c r="W23" s="15"/>
      <c r="X23" s="15"/>
      <c r="Y23" s="15"/>
      <c r="Z23" s="15"/>
    </row>
    <row r="24" ht="17.25" customHeight="1">
      <c r="A24" s="43" t="s">
        <v>22</v>
      </c>
      <c r="B24" s="41">
        <f>B14/12*500</f>
        <v>0</v>
      </c>
      <c r="C24" s="41">
        <f t="shared" ref="C24:H24" si="19">C14/2*40</f>
        <v>192000</v>
      </c>
      <c r="D24" s="41">
        <f t="shared" si="19"/>
        <v>192000</v>
      </c>
      <c r="E24" s="41">
        <f t="shared" si="19"/>
        <v>180000</v>
      </c>
      <c r="F24" s="41">
        <f t="shared" si="19"/>
        <v>168000</v>
      </c>
      <c r="G24" s="41">
        <f t="shared" si="19"/>
        <v>204000</v>
      </c>
      <c r="H24" s="41">
        <f t="shared" si="19"/>
        <v>204000</v>
      </c>
      <c r="I24" s="41">
        <f t="shared" ref="I24:M24" si="20">I14/12*500</f>
        <v>0</v>
      </c>
      <c r="J24" s="41">
        <f t="shared" si="20"/>
        <v>0</v>
      </c>
      <c r="K24" s="41">
        <f t="shared" si="20"/>
        <v>0</v>
      </c>
      <c r="L24" s="41">
        <f t="shared" si="20"/>
        <v>0</v>
      </c>
      <c r="M24" s="41">
        <f t="shared" si="20"/>
        <v>0</v>
      </c>
      <c r="O24" s="38">
        <f t="shared" si="14"/>
        <v>1140000</v>
      </c>
      <c r="P24" s="40">
        <f t="shared" si="15"/>
        <v>0.1215894947</v>
      </c>
      <c r="Q24" s="9"/>
      <c r="R24" s="9"/>
      <c r="S24" s="9"/>
      <c r="T24" s="9"/>
      <c r="U24" s="15"/>
      <c r="V24" s="15"/>
      <c r="W24" s="15"/>
      <c r="X24" s="15"/>
      <c r="Y24" s="15"/>
      <c r="Z24" s="15"/>
    </row>
    <row r="25" ht="17.25" customHeight="1">
      <c r="A25" s="44" t="s">
        <v>23</v>
      </c>
      <c r="B25" s="45">
        <f t="shared" ref="B25:M25" si="21">B14*B13*2.4%</f>
        <v>0</v>
      </c>
      <c r="C25" s="45">
        <f t="shared" si="21"/>
        <v>46080</v>
      </c>
      <c r="D25" s="45">
        <f t="shared" si="21"/>
        <v>46080</v>
      </c>
      <c r="E25" s="45">
        <f t="shared" si="21"/>
        <v>43200</v>
      </c>
      <c r="F25" s="45">
        <f t="shared" si="21"/>
        <v>40320</v>
      </c>
      <c r="G25" s="45">
        <f t="shared" si="21"/>
        <v>48960</v>
      </c>
      <c r="H25" s="45">
        <f t="shared" si="21"/>
        <v>48960</v>
      </c>
      <c r="I25" s="45">
        <f t="shared" si="21"/>
        <v>0</v>
      </c>
      <c r="J25" s="45">
        <f t="shared" si="21"/>
        <v>0</v>
      </c>
      <c r="K25" s="45">
        <f t="shared" si="21"/>
        <v>0</v>
      </c>
      <c r="L25" s="45">
        <f t="shared" si="21"/>
        <v>0</v>
      </c>
      <c r="M25" s="45">
        <f t="shared" si="21"/>
        <v>0</v>
      </c>
      <c r="O25" s="38">
        <f t="shared" si="14"/>
        <v>273600</v>
      </c>
      <c r="P25" s="40">
        <f t="shared" si="15"/>
        <v>0.02918147872</v>
      </c>
      <c r="Q25" s="9"/>
      <c r="R25" s="9"/>
      <c r="S25" s="9"/>
      <c r="T25" s="9"/>
      <c r="U25" s="15"/>
      <c r="V25" s="15"/>
      <c r="W25" s="15"/>
      <c r="X25" s="15"/>
      <c r="Y25" s="15"/>
      <c r="Z25" s="15"/>
    </row>
    <row r="26" ht="17.25" customHeight="1">
      <c r="A26" s="44" t="s">
        <v>24</v>
      </c>
      <c r="B26" s="41">
        <v>20000.0</v>
      </c>
      <c r="C26" s="41"/>
      <c r="D26" s="45"/>
      <c r="E26" s="45"/>
      <c r="F26" s="45"/>
      <c r="G26" s="41">
        <v>20000.0</v>
      </c>
      <c r="H26" s="41">
        <v>20000.0</v>
      </c>
      <c r="I26" s="45"/>
      <c r="J26" s="45"/>
      <c r="K26" s="45"/>
      <c r="L26" s="45"/>
      <c r="M26" s="41"/>
      <c r="O26" s="38">
        <f t="shared" si="14"/>
        <v>60000</v>
      </c>
      <c r="P26" s="40">
        <f t="shared" si="15"/>
        <v>0.006399447088</v>
      </c>
      <c r="Q26" s="9"/>
      <c r="R26" s="9"/>
      <c r="S26" s="9"/>
      <c r="T26" s="9"/>
      <c r="U26" s="15"/>
      <c r="V26" s="15"/>
      <c r="W26" s="15"/>
      <c r="X26" s="15"/>
      <c r="Y26" s="15"/>
      <c r="Z26" s="15"/>
    </row>
    <row r="27" ht="17.25" customHeight="1">
      <c r="A27" s="43" t="s">
        <v>25</v>
      </c>
      <c r="B27" s="41"/>
      <c r="C27" s="41">
        <f t="shared" ref="C27:H27" si="22">1000*2*30</f>
        <v>60000</v>
      </c>
      <c r="D27" s="41">
        <f t="shared" si="22"/>
        <v>60000</v>
      </c>
      <c r="E27" s="41">
        <f t="shared" si="22"/>
        <v>60000</v>
      </c>
      <c r="F27" s="41">
        <f t="shared" si="22"/>
        <v>60000</v>
      </c>
      <c r="G27" s="41">
        <f t="shared" si="22"/>
        <v>60000</v>
      </c>
      <c r="H27" s="41">
        <f t="shared" si="22"/>
        <v>60000</v>
      </c>
      <c r="I27" s="41"/>
      <c r="J27" s="45"/>
      <c r="K27" s="45"/>
      <c r="L27" s="45"/>
      <c r="M27" s="41"/>
      <c r="O27" s="38">
        <f t="shared" si="14"/>
        <v>360000</v>
      </c>
      <c r="P27" s="40">
        <f t="shared" si="15"/>
        <v>0.03839668253</v>
      </c>
      <c r="Q27" s="9"/>
      <c r="R27" s="9"/>
      <c r="S27" s="9"/>
      <c r="T27" s="9"/>
      <c r="U27" s="15"/>
      <c r="V27" s="15"/>
      <c r="W27" s="15"/>
      <c r="X27" s="15"/>
      <c r="Y27" s="15"/>
      <c r="Z27" s="15"/>
    </row>
    <row r="28" ht="17.25" customHeight="1">
      <c r="A28" s="43" t="s">
        <v>26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O28" s="38">
        <f>(O7-SUM(O19:O27))*15%</f>
        <v>357210</v>
      </c>
      <c r="P28" s="40">
        <f t="shared" si="15"/>
        <v>0.03809910824</v>
      </c>
      <c r="Q28" s="9"/>
      <c r="R28" s="9"/>
      <c r="S28" s="9"/>
      <c r="T28" s="9"/>
      <c r="U28" s="15"/>
      <c r="V28" s="15"/>
      <c r="W28" s="15"/>
      <c r="X28" s="15"/>
      <c r="Y28" s="15"/>
      <c r="Z28" s="15"/>
    </row>
    <row r="29" ht="17.25" customHeight="1">
      <c r="A29" s="43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O29" s="38"/>
      <c r="P29" s="9"/>
      <c r="Q29" s="9"/>
      <c r="R29" s="9"/>
      <c r="S29" s="9"/>
      <c r="T29" s="9"/>
      <c r="U29" s="15"/>
      <c r="V29" s="15"/>
      <c r="W29" s="15"/>
      <c r="X29" s="15"/>
      <c r="Y29" s="15"/>
      <c r="Z29" s="15"/>
    </row>
    <row r="30" ht="17.25" customHeight="1">
      <c r="A30" s="36" t="s">
        <v>27</v>
      </c>
      <c r="B30" s="37">
        <f t="shared" ref="B30:M30" si="23">B20+B21+B22+B23+B26</f>
        <v>845000</v>
      </c>
      <c r="C30" s="37">
        <f t="shared" si="23"/>
        <v>835000</v>
      </c>
      <c r="D30" s="37">
        <f t="shared" si="23"/>
        <v>835000</v>
      </c>
      <c r="E30" s="37">
        <f t="shared" si="23"/>
        <v>835000</v>
      </c>
      <c r="F30" s="37">
        <f t="shared" si="23"/>
        <v>835000</v>
      </c>
      <c r="G30" s="37">
        <f t="shared" si="23"/>
        <v>855000</v>
      </c>
      <c r="H30" s="37">
        <f t="shared" si="23"/>
        <v>330000</v>
      </c>
      <c r="I30" s="37">
        <f t="shared" si="23"/>
        <v>60000</v>
      </c>
      <c r="J30" s="37">
        <f t="shared" si="23"/>
        <v>60000</v>
      </c>
      <c r="K30" s="37">
        <f t="shared" si="23"/>
        <v>60000</v>
      </c>
      <c r="L30" s="37">
        <f t="shared" si="23"/>
        <v>60000</v>
      </c>
      <c r="M30" s="37">
        <f t="shared" si="23"/>
        <v>60000</v>
      </c>
      <c r="O30" s="37">
        <f>SUM(B30:M30)</f>
        <v>5670000</v>
      </c>
      <c r="P30" s="9"/>
      <c r="Q30" s="9"/>
      <c r="R30" s="9"/>
      <c r="S30" s="9"/>
      <c r="T30" s="9"/>
      <c r="U30" s="15"/>
      <c r="V30" s="15"/>
      <c r="W30" s="15"/>
      <c r="X30" s="15"/>
      <c r="Y30" s="15"/>
      <c r="Z30" s="15"/>
    </row>
    <row r="31" ht="17.25" customHeight="1">
      <c r="A31" s="36" t="s">
        <v>28</v>
      </c>
      <c r="B31" s="37">
        <f t="shared" ref="B31:M31" si="24">IFERROR((B19+B24+B25+B27)/B14,0)</f>
        <v>0</v>
      </c>
      <c r="C31" s="37">
        <f t="shared" si="24"/>
        <v>56.05</v>
      </c>
      <c r="D31" s="37">
        <f t="shared" si="24"/>
        <v>56.05</v>
      </c>
      <c r="E31" s="37">
        <f t="shared" si="24"/>
        <v>56.46666667</v>
      </c>
      <c r="F31" s="37">
        <f t="shared" si="24"/>
        <v>56.94285714</v>
      </c>
      <c r="G31" s="37">
        <f t="shared" si="24"/>
        <v>55.68235294</v>
      </c>
      <c r="H31" s="37">
        <f t="shared" si="24"/>
        <v>55.68235294</v>
      </c>
      <c r="I31" s="37">
        <f t="shared" si="24"/>
        <v>0</v>
      </c>
      <c r="J31" s="37">
        <f t="shared" si="24"/>
        <v>0</v>
      </c>
      <c r="K31" s="37">
        <f t="shared" si="24"/>
        <v>0</v>
      </c>
      <c r="L31" s="37">
        <f t="shared" si="24"/>
        <v>0</v>
      </c>
      <c r="M31" s="37">
        <f t="shared" si="24"/>
        <v>0</v>
      </c>
      <c r="O31" s="37">
        <f>O18-O30</f>
        <v>3705810</v>
      </c>
      <c r="P31" s="9"/>
      <c r="Q31" s="9"/>
      <c r="R31" s="9"/>
      <c r="S31" s="9"/>
      <c r="T31" s="9"/>
      <c r="U31" s="15"/>
      <c r="V31" s="15"/>
      <c r="W31" s="15"/>
      <c r="X31" s="15"/>
      <c r="Y31" s="15"/>
      <c r="Z31" s="15"/>
    </row>
    <row r="32" ht="17.25" customHeight="1">
      <c r="A32" s="47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O32" s="24"/>
      <c r="P32" s="9"/>
      <c r="Q32" s="9"/>
      <c r="R32" s="9"/>
      <c r="S32" s="9"/>
      <c r="T32" s="9"/>
      <c r="U32" s="15"/>
      <c r="V32" s="15"/>
      <c r="W32" s="15"/>
      <c r="X32" s="15"/>
      <c r="Y32" s="15"/>
      <c r="Z32" s="15"/>
    </row>
    <row r="33" ht="17.25" customHeight="1">
      <c r="A33" s="48" t="s">
        <v>29</v>
      </c>
      <c r="B33" s="49">
        <f t="shared" ref="B33:M33" si="25">B7-B18</f>
        <v>-995000</v>
      </c>
      <c r="C33" s="49">
        <f t="shared" si="25"/>
        <v>546920</v>
      </c>
      <c r="D33" s="49">
        <f t="shared" si="25"/>
        <v>546920</v>
      </c>
      <c r="E33" s="49">
        <f t="shared" si="25"/>
        <v>456800</v>
      </c>
      <c r="F33" s="49">
        <f t="shared" si="25"/>
        <v>366680</v>
      </c>
      <c r="G33" s="49">
        <f t="shared" si="25"/>
        <v>617040</v>
      </c>
      <c r="H33" s="49">
        <f t="shared" si="25"/>
        <v>1142040</v>
      </c>
      <c r="I33" s="49">
        <f t="shared" si="25"/>
        <v>-60000</v>
      </c>
      <c r="J33" s="49">
        <f t="shared" si="25"/>
        <v>-60000</v>
      </c>
      <c r="K33" s="49">
        <f t="shared" si="25"/>
        <v>-60000</v>
      </c>
      <c r="L33" s="50">
        <f t="shared" si="25"/>
        <v>-60000</v>
      </c>
      <c r="M33" s="50">
        <f t="shared" si="25"/>
        <v>-60000</v>
      </c>
      <c r="O33" s="50">
        <f>O7-O18</f>
        <v>2024190</v>
      </c>
      <c r="P33" s="9"/>
      <c r="Q33" s="9"/>
      <c r="R33" s="9"/>
      <c r="S33" s="9"/>
      <c r="T33" s="9"/>
      <c r="U33" s="51"/>
      <c r="V33" s="51"/>
      <c r="W33" s="51"/>
      <c r="X33" s="51"/>
      <c r="Y33" s="51"/>
      <c r="Z33" s="51"/>
    </row>
    <row r="34" ht="17.25" customHeight="1">
      <c r="A34" s="43" t="s">
        <v>30</v>
      </c>
      <c r="B34" s="52"/>
      <c r="C34" s="52">
        <f t="shared" ref="C34:M34" si="26">C33/C7*100%</f>
        <v>0.2848541667</v>
      </c>
      <c r="D34" s="52">
        <f t="shared" si="26"/>
        <v>0.2848541667</v>
      </c>
      <c r="E34" s="52">
        <f t="shared" si="26"/>
        <v>0.2537777778</v>
      </c>
      <c r="F34" s="52">
        <f t="shared" si="26"/>
        <v>0.2182619048</v>
      </c>
      <c r="G34" s="52">
        <f t="shared" si="26"/>
        <v>0.3024705882</v>
      </c>
      <c r="H34" s="52">
        <f t="shared" si="26"/>
        <v>0.5598235294</v>
      </c>
      <c r="I34" s="52" t="str">
        <f t="shared" si="26"/>
        <v>#DIV/0!</v>
      </c>
      <c r="J34" s="52" t="str">
        <f t="shared" si="26"/>
        <v>#DIV/0!</v>
      </c>
      <c r="K34" s="52" t="str">
        <f t="shared" si="26"/>
        <v>#DIV/0!</v>
      </c>
      <c r="L34" s="52" t="str">
        <f t="shared" si="26"/>
        <v>#DIV/0!</v>
      </c>
      <c r="M34" s="52" t="str">
        <f t="shared" si="26"/>
        <v>#DIV/0!</v>
      </c>
      <c r="O34" s="52">
        <f>O33/O7*100%</f>
        <v>0.1775605263</v>
      </c>
      <c r="P34" s="9"/>
      <c r="Q34" s="9"/>
      <c r="R34" s="9"/>
      <c r="S34" s="9"/>
      <c r="T34" s="9"/>
      <c r="U34" s="15"/>
      <c r="V34" s="15"/>
      <c r="W34" s="15"/>
      <c r="X34" s="15"/>
      <c r="Y34" s="15"/>
      <c r="Z34" s="15"/>
    </row>
    <row r="35" ht="17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O35" s="17"/>
      <c r="P35" s="9"/>
      <c r="Q35" s="9"/>
      <c r="R35" s="9"/>
      <c r="S35" s="9"/>
      <c r="T35" s="9"/>
      <c r="U35" s="15"/>
      <c r="V35" s="15"/>
      <c r="W35" s="15"/>
      <c r="X35" s="15"/>
      <c r="Y35" s="15"/>
      <c r="Z35" s="15"/>
    </row>
    <row r="36" ht="17.2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O36" s="53"/>
      <c r="P36" s="9"/>
      <c r="Q36" s="9"/>
      <c r="R36" s="9"/>
      <c r="S36" s="9"/>
      <c r="T36" s="9"/>
      <c r="U36" s="3"/>
      <c r="V36" s="3"/>
      <c r="W36" s="3"/>
      <c r="X36" s="3"/>
      <c r="Y36" s="3"/>
      <c r="Z36" s="3"/>
    </row>
    <row r="37" ht="17.25" customHeight="1">
      <c r="A37" s="54" t="s">
        <v>31</v>
      </c>
      <c r="B37" s="11">
        <f t="shared" ref="B37:M37" si="27">IFERROR(B30/(B13-B31)*B13,B30)</f>
        <v>845000</v>
      </c>
      <c r="C37" s="11">
        <f t="shared" si="27"/>
        <v>1160125.043</v>
      </c>
      <c r="D37" s="11">
        <f t="shared" si="27"/>
        <v>1160125.043</v>
      </c>
      <c r="E37" s="11">
        <f t="shared" si="27"/>
        <v>1163492.801</v>
      </c>
      <c r="F37" s="11">
        <f t="shared" si="27"/>
        <v>1167365.688</v>
      </c>
      <c r="G37" s="11">
        <f t="shared" si="27"/>
        <v>1184886.28</v>
      </c>
      <c r="H37" s="11">
        <f t="shared" si="27"/>
        <v>457324.5292</v>
      </c>
      <c r="I37" s="11">
        <f t="shared" si="27"/>
        <v>60000</v>
      </c>
      <c r="J37" s="11">
        <f t="shared" si="27"/>
        <v>60000</v>
      </c>
      <c r="K37" s="11">
        <f t="shared" si="27"/>
        <v>60000</v>
      </c>
      <c r="L37" s="11">
        <f t="shared" si="27"/>
        <v>60000</v>
      </c>
      <c r="M37" s="11">
        <f t="shared" si="27"/>
        <v>60000</v>
      </c>
      <c r="O37" s="11">
        <f>SUM(B37:M37)</f>
        <v>7438319.385</v>
      </c>
      <c r="P37" s="9"/>
      <c r="Q37" s="9"/>
      <c r="R37" s="9"/>
      <c r="S37" s="9"/>
      <c r="T37" s="9"/>
      <c r="U37" s="3"/>
      <c r="V37" s="3"/>
      <c r="W37" s="3"/>
      <c r="X37" s="3"/>
      <c r="Y37" s="3"/>
      <c r="Z37" s="3"/>
    </row>
    <row r="38" ht="17.25" customHeight="1">
      <c r="A38" s="43" t="s">
        <v>32</v>
      </c>
      <c r="B38" s="55" t="str">
        <f t="shared" ref="B38:M38" si="28">B37/B13</f>
        <v>#DIV/0!</v>
      </c>
      <c r="C38" s="55">
        <f t="shared" si="28"/>
        <v>5800.625217</v>
      </c>
      <c r="D38" s="55">
        <f t="shared" si="28"/>
        <v>5800.625217</v>
      </c>
      <c r="E38" s="55">
        <f t="shared" si="28"/>
        <v>5817.464004</v>
      </c>
      <c r="F38" s="55">
        <f t="shared" si="28"/>
        <v>5836.82844</v>
      </c>
      <c r="G38" s="55">
        <f t="shared" si="28"/>
        <v>5924.431401</v>
      </c>
      <c r="H38" s="55">
        <f t="shared" si="28"/>
        <v>2286.622646</v>
      </c>
      <c r="I38" s="55" t="str">
        <f t="shared" si="28"/>
        <v>#DIV/0!</v>
      </c>
      <c r="J38" s="55" t="str">
        <f t="shared" si="28"/>
        <v>#DIV/0!</v>
      </c>
      <c r="K38" s="55" t="str">
        <f t="shared" si="28"/>
        <v>#DIV/0!</v>
      </c>
      <c r="L38" s="55" t="str">
        <f t="shared" si="28"/>
        <v>#DIV/0!</v>
      </c>
      <c r="M38" s="55" t="str">
        <f t="shared" si="28"/>
        <v>#DIV/0!</v>
      </c>
      <c r="O38" s="55" t="s">
        <v>33</v>
      </c>
      <c r="P38" s="55">
        <f>O37/AVERAGE(B13:M13)</f>
        <v>37191.59693</v>
      </c>
      <c r="Q38" s="9"/>
      <c r="R38" s="9"/>
      <c r="S38" s="9"/>
      <c r="T38" s="9"/>
      <c r="U38" s="3"/>
      <c r="V38" s="3"/>
      <c r="W38" s="3"/>
      <c r="X38" s="3"/>
      <c r="Y38" s="3"/>
      <c r="Z38" s="3"/>
    </row>
    <row r="39" ht="17.25" customHeight="1">
      <c r="A39" s="43" t="s">
        <v>34</v>
      </c>
      <c r="B39" s="55" t="str">
        <f t="shared" ref="B39:M39" si="29">B38/30</f>
        <v>#DIV/0!</v>
      </c>
      <c r="C39" s="55">
        <f t="shared" si="29"/>
        <v>193.3541739</v>
      </c>
      <c r="D39" s="55">
        <f t="shared" si="29"/>
        <v>193.3541739</v>
      </c>
      <c r="E39" s="55">
        <f t="shared" si="29"/>
        <v>193.9154668</v>
      </c>
      <c r="F39" s="55">
        <f t="shared" si="29"/>
        <v>194.560948</v>
      </c>
      <c r="G39" s="55">
        <f t="shared" si="29"/>
        <v>197.4810467</v>
      </c>
      <c r="H39" s="55">
        <f t="shared" si="29"/>
        <v>76.22075487</v>
      </c>
      <c r="I39" s="55" t="str">
        <f t="shared" si="29"/>
        <v>#DIV/0!</v>
      </c>
      <c r="J39" s="55" t="str">
        <f t="shared" si="29"/>
        <v>#DIV/0!</v>
      </c>
      <c r="K39" s="55" t="str">
        <f t="shared" si="29"/>
        <v>#DIV/0!</v>
      </c>
      <c r="L39" s="55" t="str">
        <f t="shared" si="29"/>
        <v>#DIV/0!</v>
      </c>
      <c r="M39" s="55" t="str">
        <f t="shared" si="29"/>
        <v>#DIV/0!</v>
      </c>
      <c r="O39" s="55" t="s">
        <v>35</v>
      </c>
      <c r="P39" s="55">
        <f>P38/(DAYS(I2,C2))</f>
        <v>202.1282442</v>
      </c>
      <c r="Q39" s="9"/>
      <c r="R39" s="9"/>
      <c r="S39" s="9"/>
      <c r="T39" s="9"/>
      <c r="U39" s="3"/>
      <c r="V39" s="3"/>
      <c r="W39" s="3"/>
      <c r="X39" s="3"/>
      <c r="Y39" s="3"/>
      <c r="Z39" s="3"/>
    </row>
    <row r="40" ht="17.25" customHeight="1">
      <c r="A40" s="43" t="s">
        <v>36</v>
      </c>
      <c r="B40" s="55" t="str">
        <f t="shared" ref="B40:M40" si="30">B39/B5</f>
        <v>#DIV/0!</v>
      </c>
      <c r="C40" s="55">
        <f t="shared" si="30"/>
        <v>12.89027826</v>
      </c>
      <c r="D40" s="55">
        <f t="shared" si="30"/>
        <v>12.89027826</v>
      </c>
      <c r="E40" s="55">
        <f t="shared" si="30"/>
        <v>12.92769779</v>
      </c>
      <c r="F40" s="55">
        <f t="shared" si="30"/>
        <v>12.97072987</v>
      </c>
      <c r="G40" s="55">
        <f t="shared" si="30"/>
        <v>13.16540311</v>
      </c>
      <c r="H40" s="55">
        <f t="shared" si="30"/>
        <v>5.081383658</v>
      </c>
      <c r="I40" s="55" t="str">
        <f t="shared" si="30"/>
        <v>#DIV/0!</v>
      </c>
      <c r="J40" s="55" t="str">
        <f t="shared" si="30"/>
        <v>#DIV/0!</v>
      </c>
      <c r="K40" s="55" t="str">
        <f t="shared" si="30"/>
        <v>#DIV/0!</v>
      </c>
      <c r="L40" s="55" t="str">
        <f t="shared" si="30"/>
        <v>#DIV/0!</v>
      </c>
      <c r="M40" s="55" t="str">
        <f t="shared" si="30"/>
        <v>#DIV/0!</v>
      </c>
      <c r="O40" s="55" t="s">
        <v>37</v>
      </c>
      <c r="P40" s="55">
        <f>P39/AVERAGE(C5:H5)</f>
        <v>13.47521628</v>
      </c>
      <c r="Q40" s="9"/>
      <c r="R40" s="9"/>
      <c r="S40" s="9"/>
      <c r="T40" s="9"/>
      <c r="U40" s="3"/>
      <c r="V40" s="3"/>
      <c r="W40" s="3"/>
      <c r="X40" s="3"/>
      <c r="Y40" s="3"/>
      <c r="Z40" s="3"/>
    </row>
    <row r="41" ht="17.2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O41" s="55"/>
      <c r="P41" s="9"/>
      <c r="Q41" s="9"/>
      <c r="R41" s="9"/>
      <c r="S41" s="9"/>
      <c r="T41" s="9"/>
      <c r="U41" s="3"/>
      <c r="V41" s="3"/>
      <c r="W41" s="3"/>
      <c r="X41" s="3"/>
      <c r="Y41" s="3"/>
      <c r="Z41" s="3"/>
    </row>
    <row r="42" ht="17.25" customHeight="1">
      <c r="A42" s="10" t="s">
        <v>38</v>
      </c>
      <c r="B42" s="56"/>
      <c r="C42" s="56"/>
      <c r="D42" s="56"/>
      <c r="E42" s="57"/>
      <c r="F42" s="56"/>
      <c r="G42" s="56"/>
      <c r="H42" s="56"/>
      <c r="I42" s="56"/>
      <c r="J42" s="56"/>
      <c r="K42" s="56"/>
      <c r="L42" s="56"/>
      <c r="M42" s="56"/>
      <c r="O42" s="58"/>
      <c r="P42" s="9"/>
      <c r="Q42" s="9"/>
      <c r="R42" s="9"/>
      <c r="S42" s="9"/>
      <c r="T42" s="9"/>
      <c r="U42" s="15"/>
      <c r="V42" s="15"/>
      <c r="W42" s="15"/>
      <c r="X42" s="15"/>
      <c r="Y42" s="15"/>
      <c r="Z42" s="15"/>
    </row>
    <row r="43" ht="17.25" customHeight="1">
      <c r="A43" s="43" t="s">
        <v>39</v>
      </c>
      <c r="B43" s="39">
        <f>B4</f>
        <v>1000000</v>
      </c>
      <c r="C43" s="39">
        <f t="shared" ref="C43:M43" si="31">B44</f>
        <v>5000</v>
      </c>
      <c r="D43" s="39">
        <f t="shared" si="31"/>
        <v>551920</v>
      </c>
      <c r="E43" s="39">
        <f t="shared" si="31"/>
        <v>1098840</v>
      </c>
      <c r="F43" s="39">
        <f t="shared" si="31"/>
        <v>1555640</v>
      </c>
      <c r="G43" s="39">
        <f t="shared" si="31"/>
        <v>1922320</v>
      </c>
      <c r="H43" s="59">
        <f t="shared" si="31"/>
        <v>2539360</v>
      </c>
      <c r="I43" s="39">
        <f t="shared" si="31"/>
        <v>3681400</v>
      </c>
      <c r="J43" s="39">
        <f t="shared" si="31"/>
        <v>3621400</v>
      </c>
      <c r="K43" s="39">
        <f t="shared" si="31"/>
        <v>3561400</v>
      </c>
      <c r="L43" s="39">
        <f t="shared" si="31"/>
        <v>3501400</v>
      </c>
      <c r="M43" s="39">
        <f t="shared" si="31"/>
        <v>3441400</v>
      </c>
      <c r="O43" s="45">
        <f>B43</f>
        <v>1000000</v>
      </c>
      <c r="P43" s="9"/>
      <c r="Q43" s="9"/>
      <c r="R43" s="9"/>
      <c r="S43" s="9"/>
      <c r="T43" s="9"/>
      <c r="U43" s="15"/>
      <c r="V43" s="15"/>
      <c r="W43" s="15"/>
      <c r="X43" s="15"/>
      <c r="Y43" s="15"/>
      <c r="Z43" s="15"/>
    </row>
    <row r="44" ht="17.25" customHeight="1">
      <c r="A44" s="43" t="s">
        <v>40</v>
      </c>
      <c r="B44" s="38">
        <f>B4+B33</f>
        <v>5000</v>
      </c>
      <c r="C44" s="39">
        <f t="shared" ref="C44:M44" si="32">C43+C4+C33</f>
        <v>551920</v>
      </c>
      <c r="D44" s="39">
        <f t="shared" si="32"/>
        <v>1098840</v>
      </c>
      <c r="E44" s="39">
        <f t="shared" si="32"/>
        <v>1555640</v>
      </c>
      <c r="F44" s="39">
        <f t="shared" si="32"/>
        <v>1922320</v>
      </c>
      <c r="G44" s="39">
        <f t="shared" si="32"/>
        <v>2539360</v>
      </c>
      <c r="H44" s="39">
        <f t="shared" si="32"/>
        <v>3681400</v>
      </c>
      <c r="I44" s="39">
        <f t="shared" si="32"/>
        <v>3621400</v>
      </c>
      <c r="J44" s="39">
        <f t="shared" si="32"/>
        <v>3561400</v>
      </c>
      <c r="K44" s="39">
        <f t="shared" si="32"/>
        <v>3501400</v>
      </c>
      <c r="L44" s="39">
        <f t="shared" si="32"/>
        <v>3441400</v>
      </c>
      <c r="M44" s="39">
        <f t="shared" si="32"/>
        <v>3381400</v>
      </c>
      <c r="O44" s="45">
        <f>M44-O28</f>
        <v>3024190</v>
      </c>
      <c r="P44" s="9"/>
      <c r="Q44" s="9"/>
      <c r="R44" s="9"/>
      <c r="S44" s="9"/>
      <c r="T44" s="9"/>
      <c r="U44" s="15"/>
      <c r="V44" s="15"/>
      <c r="W44" s="15"/>
      <c r="X44" s="15"/>
      <c r="Y44" s="15"/>
      <c r="Z44" s="15"/>
    </row>
    <row r="45" ht="17.25" customHeight="1">
      <c r="A45" s="43" t="s">
        <v>41</v>
      </c>
      <c r="B45" s="60">
        <f t="shared" ref="B45:M45" si="33">(B44-B43)/B43</f>
        <v>-0.995</v>
      </c>
      <c r="C45" s="60">
        <f t="shared" si="33"/>
        <v>109.384</v>
      </c>
      <c r="D45" s="60">
        <f t="shared" si="33"/>
        <v>0.990940716</v>
      </c>
      <c r="E45" s="60">
        <f t="shared" si="33"/>
        <v>0.4157111135</v>
      </c>
      <c r="F45" s="60">
        <f t="shared" si="33"/>
        <v>0.2357100615</v>
      </c>
      <c r="G45" s="60">
        <f t="shared" si="33"/>
        <v>0.3209871405</v>
      </c>
      <c r="H45" s="60">
        <f t="shared" si="33"/>
        <v>0.4497353664</v>
      </c>
      <c r="I45" s="60">
        <f t="shared" si="33"/>
        <v>-0.01629814744</v>
      </c>
      <c r="J45" s="60">
        <f t="shared" si="33"/>
        <v>-0.01656817805</v>
      </c>
      <c r="K45" s="60">
        <f t="shared" si="33"/>
        <v>-0.01684730724</v>
      </c>
      <c r="L45" s="60">
        <f t="shared" si="33"/>
        <v>-0.01713600274</v>
      </c>
      <c r="M45" s="60">
        <f t="shared" si="33"/>
        <v>-0.01743476492</v>
      </c>
      <c r="O45" s="61">
        <f>(O44-O43)/O43</f>
        <v>2.02419</v>
      </c>
      <c r="P45" s="9"/>
      <c r="Q45" s="9"/>
      <c r="R45" s="9"/>
      <c r="S45" s="9"/>
      <c r="T45" s="9"/>
      <c r="U45" s="15"/>
      <c r="V45" s="15"/>
      <c r="W45" s="15"/>
      <c r="X45" s="15"/>
      <c r="Y45" s="15"/>
      <c r="Z45" s="15"/>
    </row>
    <row r="46" ht="17.2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9"/>
      <c r="Q46" s="9"/>
      <c r="R46" s="9"/>
      <c r="S46" s="9"/>
      <c r="T46" s="9"/>
      <c r="U46" s="3"/>
      <c r="V46" s="3"/>
      <c r="W46" s="3"/>
      <c r="X46" s="3"/>
      <c r="Y46" s="3"/>
      <c r="Z46" s="3"/>
    </row>
    <row r="47" ht="17.2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9"/>
      <c r="Q47" s="9"/>
      <c r="R47" s="9"/>
      <c r="S47" s="9"/>
      <c r="T47" s="9"/>
      <c r="U47" s="3"/>
      <c r="V47" s="3"/>
      <c r="W47" s="3"/>
      <c r="X47" s="3"/>
      <c r="Y47" s="3"/>
      <c r="Z47" s="3"/>
    </row>
    <row r="48" ht="17.2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9"/>
      <c r="Q48" s="9"/>
      <c r="R48" s="9"/>
      <c r="S48" s="9"/>
      <c r="T48" s="9"/>
      <c r="U48" s="3"/>
      <c r="V48" s="3"/>
      <c r="W48" s="3"/>
      <c r="X48" s="3"/>
      <c r="Y48" s="3"/>
      <c r="Z48" s="3"/>
    </row>
    <row r="49" ht="15.7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9"/>
      <c r="Q49" s="9"/>
      <c r="R49" s="9"/>
      <c r="S49" s="9"/>
      <c r="T49" s="9"/>
      <c r="U49" s="3"/>
      <c r="V49" s="3"/>
      <c r="W49" s="3"/>
      <c r="X49" s="3"/>
      <c r="Y49" s="3"/>
      <c r="Z49" s="3"/>
    </row>
    <row r="50" ht="15.7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9"/>
      <c r="Q50" s="9"/>
      <c r="R50" s="9"/>
      <c r="S50" s="9"/>
      <c r="T50" s="9"/>
      <c r="U50" s="3"/>
      <c r="V50" s="3"/>
      <c r="W50" s="3"/>
      <c r="X50" s="3"/>
      <c r="Y50" s="3"/>
      <c r="Z50" s="3"/>
    </row>
    <row r="51" ht="15.7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9"/>
      <c r="Q51" s="9"/>
      <c r="R51" s="9"/>
      <c r="S51" s="9"/>
      <c r="T51" s="9"/>
      <c r="U51" s="3"/>
      <c r="V51" s="3"/>
      <c r="W51" s="3"/>
      <c r="X51" s="3"/>
      <c r="Y51" s="3"/>
      <c r="Z51" s="3"/>
    </row>
    <row r="52" ht="15.7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9"/>
      <c r="Q53" s="9"/>
      <c r="R53" s="9"/>
      <c r="S53" s="9"/>
      <c r="T53" s="9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62"/>
      <c r="M57" s="6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64"/>
      <c r="M58" s="6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66"/>
      <c r="M59" s="6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67"/>
      <c r="M60" s="6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3">
    <mergeCell ref="D1:O1"/>
    <mergeCell ref="D3:M3"/>
    <mergeCell ref="N4:N45"/>
  </mergeCells>
  <conditionalFormatting sqref="E43:G43 I43:M43">
    <cfRule type="cellIs" dxfId="0" priority="1" operator="lessThan">
      <formula>0</formula>
    </cfRule>
  </conditionalFormatting>
  <conditionalFormatting sqref="B33:M33">
    <cfRule type="cellIs" dxfId="1" priority="2" operator="lessThan">
      <formula>0</formula>
    </cfRule>
  </conditionalFormatting>
  <conditionalFormatting sqref="B33:M33">
    <cfRule type="cellIs" dxfId="2" priority="3" operator="between">
      <formula>0</formula>
      <formula>20000</formula>
    </cfRule>
  </conditionalFormatting>
  <conditionalFormatting sqref="B33:M33">
    <cfRule type="cellIs" dxfId="3" priority="4" operator="greaterThan">
      <formula>20000</formula>
    </cfRule>
  </conditionalFormatting>
  <conditionalFormatting sqref="O19:O28">
    <cfRule type="colorScale" priority="5">
      <colorScale>
        <cfvo type="min"/>
        <cfvo type="max"/>
        <color rgb="FFFFFFFF"/>
        <color rgb="FFE67C73"/>
      </colorScale>
    </cfRule>
  </conditionalFormatting>
  <conditionalFormatting sqref="O45">
    <cfRule type="colorScale" priority="6">
      <colorScale>
        <cfvo type="formula" val="0%"/>
        <cfvo type="formula" val="20%"/>
        <cfvo type="formula" val="50%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6.71"/>
    <col customWidth="1" min="2" max="4" width="15.29"/>
    <col customWidth="1" min="5" max="13" width="13.71"/>
    <col customWidth="1" min="14" max="14" width="3.71"/>
    <col customWidth="1" min="15" max="15" width="27.0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45777.0</v>
      </c>
      <c r="C2" s="5">
        <f t="shared" ref="C2:M2" si="1">EDATE(B2,1)</f>
        <v>45807</v>
      </c>
      <c r="D2" s="5">
        <f t="shared" si="1"/>
        <v>45838</v>
      </c>
      <c r="E2" s="5">
        <f t="shared" si="1"/>
        <v>45868</v>
      </c>
      <c r="F2" s="5">
        <f t="shared" si="1"/>
        <v>45899</v>
      </c>
      <c r="G2" s="5">
        <f t="shared" si="1"/>
        <v>45930</v>
      </c>
      <c r="H2" s="5">
        <f t="shared" si="1"/>
        <v>45960</v>
      </c>
      <c r="I2" s="5">
        <f t="shared" si="1"/>
        <v>45991</v>
      </c>
      <c r="J2" s="5">
        <f t="shared" si="1"/>
        <v>46021</v>
      </c>
      <c r="K2" s="5">
        <f t="shared" si="1"/>
        <v>46052</v>
      </c>
      <c r="L2" s="5">
        <f t="shared" si="1"/>
        <v>46081</v>
      </c>
      <c r="M2" s="5">
        <f t="shared" si="1"/>
        <v>46109</v>
      </c>
      <c r="N2" s="6"/>
      <c r="O2" s="7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Q3" s="9"/>
      <c r="R3" s="9"/>
      <c r="S3" s="9"/>
      <c r="T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/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14"/>
      <c r="P4" s="9"/>
      <c r="Q4" s="9"/>
      <c r="R4" s="9"/>
      <c r="S4" s="9"/>
      <c r="T4" s="9"/>
      <c r="U4" s="15"/>
      <c r="V4" s="15"/>
      <c r="W4" s="15"/>
      <c r="X4" s="15"/>
      <c r="Y4" s="15"/>
      <c r="Z4" s="15"/>
    </row>
    <row r="5" ht="17.25" customHeight="1">
      <c r="A5" s="16" t="s">
        <v>4</v>
      </c>
      <c r="B5" s="16">
        <v>0.0</v>
      </c>
      <c r="C5" s="16">
        <v>20.0</v>
      </c>
      <c r="D5" s="16">
        <v>20.0</v>
      </c>
      <c r="E5" s="16">
        <v>20.0</v>
      </c>
      <c r="F5" s="16">
        <v>20.0</v>
      </c>
      <c r="G5" s="16">
        <v>20.0</v>
      </c>
      <c r="H5" s="16">
        <v>10.0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O5" s="17"/>
      <c r="P5" s="9"/>
      <c r="Q5" s="9"/>
      <c r="R5" s="9"/>
      <c r="S5" s="9"/>
      <c r="T5" s="9"/>
      <c r="U5" s="15"/>
      <c r="V5" s="15"/>
      <c r="W5" s="15"/>
      <c r="X5" s="15"/>
      <c r="Y5" s="15"/>
      <c r="Z5" s="15"/>
    </row>
    <row r="6" ht="17.25" customHeight="1">
      <c r="A6" s="17"/>
      <c r="B6" s="17"/>
      <c r="C6" s="17"/>
      <c r="D6" s="17" t="s">
        <v>5</v>
      </c>
      <c r="E6" s="17"/>
      <c r="F6" s="17"/>
      <c r="G6" s="17"/>
      <c r="H6" s="17"/>
      <c r="I6" s="17"/>
      <c r="J6" s="17"/>
      <c r="K6" s="17"/>
      <c r="L6" s="17"/>
      <c r="M6" s="17"/>
      <c r="O6" s="17"/>
      <c r="P6" s="9"/>
      <c r="Q6" s="9"/>
      <c r="R6" s="9"/>
      <c r="S6" s="9"/>
      <c r="T6" s="9"/>
      <c r="U6" s="15"/>
      <c r="V6" s="15"/>
      <c r="W6" s="15"/>
      <c r="X6" s="15"/>
      <c r="Y6" s="15"/>
      <c r="Z6" s="15"/>
    </row>
    <row r="7" ht="17.25" customHeight="1">
      <c r="A7" s="18" t="s">
        <v>6</v>
      </c>
      <c r="B7" s="19">
        <v>0.0</v>
      </c>
      <c r="C7" s="20">
        <f t="shared" ref="C7:M7" si="2">C14*C13</f>
        <v>2496000</v>
      </c>
      <c r="D7" s="20">
        <f t="shared" si="2"/>
        <v>2496000</v>
      </c>
      <c r="E7" s="20">
        <f t="shared" si="2"/>
        <v>2340000</v>
      </c>
      <c r="F7" s="20">
        <f t="shared" si="2"/>
        <v>2184000</v>
      </c>
      <c r="G7" s="20">
        <f t="shared" si="2"/>
        <v>2652000</v>
      </c>
      <c r="H7" s="20">
        <f t="shared" si="2"/>
        <v>1428000</v>
      </c>
      <c r="I7" s="20">
        <f t="shared" si="2"/>
        <v>0</v>
      </c>
      <c r="J7" s="20">
        <f t="shared" si="2"/>
        <v>0</v>
      </c>
      <c r="K7" s="20">
        <f t="shared" si="2"/>
        <v>0</v>
      </c>
      <c r="L7" s="20">
        <f t="shared" si="2"/>
        <v>0</v>
      </c>
      <c r="M7" s="20">
        <f t="shared" si="2"/>
        <v>0</v>
      </c>
      <c r="O7" s="20">
        <f t="shared" ref="O7:O8" si="4">SUM(B7:M7)</f>
        <v>13596000</v>
      </c>
      <c r="P7" s="9"/>
      <c r="Q7" s="9"/>
      <c r="R7" s="9"/>
      <c r="S7" s="9"/>
      <c r="T7" s="9"/>
      <c r="U7" s="21"/>
      <c r="V7" s="21"/>
      <c r="W7" s="21"/>
      <c r="X7" s="21"/>
      <c r="Y7" s="21"/>
      <c r="Z7" s="21"/>
    </row>
    <row r="8" ht="17.25" customHeight="1">
      <c r="A8" s="22" t="s">
        <v>42</v>
      </c>
      <c r="B8" s="23"/>
      <c r="C8" s="23">
        <f t="shared" ref="C8:H8" si="3">200000*30</f>
        <v>6000000</v>
      </c>
      <c r="D8" s="23">
        <f t="shared" si="3"/>
        <v>6000000</v>
      </c>
      <c r="E8" s="23">
        <f t="shared" si="3"/>
        <v>6000000</v>
      </c>
      <c r="F8" s="23">
        <f t="shared" si="3"/>
        <v>6000000</v>
      </c>
      <c r="G8" s="23">
        <f t="shared" si="3"/>
        <v>6000000</v>
      </c>
      <c r="H8" s="23">
        <f t="shared" si="3"/>
        <v>6000000</v>
      </c>
      <c r="I8" s="23"/>
      <c r="J8" s="23"/>
      <c r="K8" s="23"/>
      <c r="L8" s="23"/>
      <c r="M8" s="23"/>
      <c r="O8" s="24">
        <f t="shared" si="4"/>
        <v>36000000</v>
      </c>
      <c r="P8" s="9"/>
      <c r="Q8" s="9"/>
      <c r="R8" s="9"/>
      <c r="S8" s="9"/>
      <c r="T8" s="9"/>
      <c r="U8" s="15"/>
      <c r="V8" s="15"/>
      <c r="W8" s="15"/>
      <c r="X8" s="15"/>
      <c r="Y8" s="15"/>
      <c r="Z8" s="15"/>
    </row>
    <row r="9" ht="17.25" customHeight="1">
      <c r="A9" s="22" t="s">
        <v>43</v>
      </c>
      <c r="B9" s="25"/>
      <c r="C9" s="26">
        <v>0.13</v>
      </c>
      <c r="D9" s="26">
        <v>0.13</v>
      </c>
      <c r="E9" s="26">
        <v>0.13</v>
      </c>
      <c r="F9" s="26">
        <v>0.13</v>
      </c>
      <c r="G9" s="26">
        <v>0.13</v>
      </c>
      <c r="H9" s="26">
        <v>0.07</v>
      </c>
      <c r="I9" s="27"/>
      <c r="J9" s="27"/>
      <c r="K9" s="27"/>
      <c r="L9" s="27"/>
      <c r="M9" s="27"/>
      <c r="O9" s="17"/>
      <c r="P9" s="9"/>
      <c r="Q9" s="9"/>
      <c r="R9" s="9"/>
      <c r="S9" s="9"/>
      <c r="T9" s="9"/>
      <c r="U9" s="15"/>
      <c r="V9" s="15"/>
      <c r="W9" s="15"/>
      <c r="X9" s="15"/>
      <c r="Y9" s="15"/>
      <c r="Z9" s="15"/>
    </row>
    <row r="10" ht="17.25" customHeight="1">
      <c r="A10" s="22" t="s">
        <v>44</v>
      </c>
      <c r="B10" s="28"/>
      <c r="C10" s="29">
        <f t="shared" ref="C10:H10" si="5">C9/C5*C8</f>
        <v>39000</v>
      </c>
      <c r="D10" s="29">
        <f t="shared" si="5"/>
        <v>39000</v>
      </c>
      <c r="E10" s="29">
        <f t="shared" si="5"/>
        <v>39000</v>
      </c>
      <c r="F10" s="29">
        <f t="shared" si="5"/>
        <v>39000</v>
      </c>
      <c r="G10" s="29">
        <f t="shared" si="5"/>
        <v>39000</v>
      </c>
      <c r="H10" s="29">
        <f t="shared" si="5"/>
        <v>42000</v>
      </c>
      <c r="I10" s="27"/>
      <c r="J10" s="27"/>
      <c r="K10" s="27"/>
      <c r="L10" s="27"/>
      <c r="M10" s="27"/>
      <c r="O10" s="17"/>
      <c r="P10" s="9"/>
      <c r="Q10" s="9"/>
      <c r="R10" s="9"/>
      <c r="S10" s="9"/>
      <c r="T10" s="9"/>
      <c r="U10" s="15"/>
      <c r="V10" s="15"/>
      <c r="W10" s="15"/>
      <c r="X10" s="15"/>
      <c r="Y10" s="15"/>
      <c r="Z10" s="15"/>
    </row>
    <row r="11" ht="17.25" customHeight="1">
      <c r="A11" s="22" t="s">
        <v>10</v>
      </c>
      <c r="B11" s="30"/>
      <c r="C11" s="30">
        <f t="shared" ref="C11:H11" si="6">C8*C9</f>
        <v>780000</v>
      </c>
      <c r="D11" s="30">
        <f t="shared" si="6"/>
        <v>780000</v>
      </c>
      <c r="E11" s="30">
        <f t="shared" si="6"/>
        <v>780000</v>
      </c>
      <c r="F11" s="30">
        <f t="shared" si="6"/>
        <v>780000</v>
      </c>
      <c r="G11" s="30">
        <f t="shared" si="6"/>
        <v>780000</v>
      </c>
      <c r="H11" s="30">
        <f t="shared" si="6"/>
        <v>420000</v>
      </c>
      <c r="I11" s="30"/>
      <c r="J11" s="30"/>
      <c r="K11" s="30"/>
      <c r="L11" s="30"/>
      <c r="M11" s="30"/>
      <c r="O11" s="24">
        <f>SUM(B11:M11)</f>
        <v>4320000</v>
      </c>
      <c r="P11" s="9"/>
      <c r="Q11" s="9"/>
      <c r="R11" s="9"/>
      <c r="S11" s="9"/>
      <c r="T11" s="9"/>
      <c r="U11" s="15"/>
      <c r="V11" s="15"/>
      <c r="W11" s="15"/>
      <c r="X11" s="15"/>
      <c r="Y11" s="15"/>
      <c r="Z11" s="15"/>
    </row>
    <row r="12" ht="17.25" customHeight="1">
      <c r="A12" s="22" t="s">
        <v>11</v>
      </c>
      <c r="B12" s="28"/>
      <c r="C12" s="31">
        <v>0.016</v>
      </c>
      <c r="D12" s="31">
        <v>0.016</v>
      </c>
      <c r="E12" s="31">
        <v>0.015</v>
      </c>
      <c r="F12" s="31">
        <v>0.014</v>
      </c>
      <c r="G12" s="31">
        <v>0.017</v>
      </c>
      <c r="H12" s="31">
        <v>0.017</v>
      </c>
      <c r="I12" s="28"/>
      <c r="J12" s="28"/>
      <c r="K12" s="28"/>
      <c r="L12" s="28"/>
      <c r="M12" s="28"/>
      <c r="O12" s="17"/>
      <c r="P12" s="9"/>
      <c r="Q12" s="9"/>
      <c r="R12" s="9"/>
      <c r="S12" s="9"/>
      <c r="T12" s="9"/>
      <c r="U12" s="15"/>
      <c r="V12" s="15"/>
      <c r="W12" s="15"/>
      <c r="X12" s="15"/>
      <c r="Y12" s="15"/>
      <c r="Z12" s="15"/>
    </row>
    <row r="13" ht="17.25" customHeight="1">
      <c r="A13" s="22" t="s">
        <v>45</v>
      </c>
      <c r="B13" s="23"/>
      <c r="C13" s="32">
        <v>200.0</v>
      </c>
      <c r="D13" s="32">
        <v>200.0</v>
      </c>
      <c r="E13" s="32">
        <v>200.0</v>
      </c>
      <c r="F13" s="32">
        <v>200.0</v>
      </c>
      <c r="G13" s="32">
        <v>200.0</v>
      </c>
      <c r="H13" s="32">
        <v>200.0</v>
      </c>
      <c r="I13" s="23"/>
      <c r="J13" s="23"/>
      <c r="K13" s="23"/>
      <c r="L13" s="23"/>
      <c r="M13" s="23"/>
      <c r="O13" s="17"/>
      <c r="P13" s="9"/>
      <c r="Q13" s="9"/>
      <c r="R13" s="9"/>
      <c r="S13" s="9"/>
      <c r="T13" s="9"/>
      <c r="U13" s="15"/>
      <c r="V13" s="15"/>
      <c r="W13" s="15"/>
      <c r="X13" s="15"/>
      <c r="Y13" s="15"/>
      <c r="Z13" s="15"/>
    </row>
    <row r="14" ht="17.25" customHeight="1">
      <c r="A14" s="22" t="s">
        <v>46</v>
      </c>
      <c r="B14" s="23"/>
      <c r="C14" s="30">
        <f t="shared" ref="C14:H14" si="7">C11*C12</f>
        <v>12480</v>
      </c>
      <c r="D14" s="30">
        <f t="shared" si="7"/>
        <v>12480</v>
      </c>
      <c r="E14" s="30">
        <f t="shared" si="7"/>
        <v>11700</v>
      </c>
      <c r="F14" s="30">
        <f t="shared" si="7"/>
        <v>10920</v>
      </c>
      <c r="G14" s="30">
        <f t="shared" si="7"/>
        <v>13260</v>
      </c>
      <c r="H14" s="30">
        <f t="shared" si="7"/>
        <v>7140</v>
      </c>
      <c r="I14" s="30"/>
      <c r="J14" s="30"/>
      <c r="K14" s="30"/>
      <c r="L14" s="30"/>
      <c r="M14" s="30"/>
      <c r="O14" s="24">
        <f>SUM(B14:M14)</f>
        <v>67980</v>
      </c>
      <c r="P14" s="9"/>
      <c r="Q14" s="9"/>
      <c r="R14" s="9"/>
      <c r="S14" s="9"/>
      <c r="T14" s="9"/>
      <c r="U14" s="15"/>
      <c r="V14" s="15"/>
      <c r="W14" s="15"/>
      <c r="X14" s="15"/>
      <c r="Y14" s="15"/>
      <c r="Z14" s="15"/>
    </row>
    <row r="15" ht="17.25" customHeight="1">
      <c r="A15" s="22" t="s">
        <v>14</v>
      </c>
      <c r="B15" s="23"/>
      <c r="C15" s="33">
        <f t="shared" ref="C15:H15" si="8">C14/30</f>
        <v>416</v>
      </c>
      <c r="D15" s="33">
        <f t="shared" si="8"/>
        <v>416</v>
      </c>
      <c r="E15" s="33">
        <f t="shared" si="8"/>
        <v>390</v>
      </c>
      <c r="F15" s="33">
        <f t="shared" si="8"/>
        <v>364</v>
      </c>
      <c r="G15" s="33">
        <f t="shared" si="8"/>
        <v>442</v>
      </c>
      <c r="H15" s="33">
        <f t="shared" si="8"/>
        <v>238</v>
      </c>
      <c r="I15" s="23"/>
      <c r="J15" s="23"/>
      <c r="K15" s="23"/>
      <c r="L15" s="23"/>
      <c r="M15" s="23"/>
      <c r="O15" s="17"/>
      <c r="P15" s="9"/>
      <c r="Q15" s="9"/>
      <c r="R15" s="9"/>
      <c r="S15" s="9"/>
      <c r="T15" s="9"/>
      <c r="U15" s="15"/>
      <c r="V15" s="15"/>
      <c r="W15" s="15"/>
      <c r="X15" s="15"/>
      <c r="Y15" s="15"/>
      <c r="Z15" s="15"/>
    </row>
    <row r="16" ht="17.25" customHeight="1">
      <c r="A16" s="22" t="s">
        <v>15</v>
      </c>
      <c r="B16" s="34"/>
      <c r="C16" s="34">
        <f t="shared" ref="C16:H16" si="9">C15/C5</f>
        <v>20.8</v>
      </c>
      <c r="D16" s="34">
        <f t="shared" si="9"/>
        <v>20.8</v>
      </c>
      <c r="E16" s="34">
        <f t="shared" si="9"/>
        <v>19.5</v>
      </c>
      <c r="F16" s="34">
        <f t="shared" si="9"/>
        <v>18.2</v>
      </c>
      <c r="G16" s="34">
        <f t="shared" si="9"/>
        <v>22.1</v>
      </c>
      <c r="H16" s="34">
        <f t="shared" si="9"/>
        <v>23.8</v>
      </c>
      <c r="I16" s="34"/>
      <c r="J16" s="34"/>
      <c r="K16" s="34"/>
      <c r="L16" s="34"/>
      <c r="M16" s="34"/>
      <c r="O16" s="17"/>
      <c r="P16" s="9"/>
      <c r="Q16" s="9"/>
      <c r="R16" s="9"/>
      <c r="S16" s="9"/>
      <c r="T16" s="9"/>
      <c r="U16" s="15"/>
      <c r="V16" s="15"/>
      <c r="W16" s="15"/>
      <c r="X16" s="15"/>
      <c r="Y16" s="15"/>
      <c r="Z16" s="15"/>
    </row>
    <row r="17" ht="17.25" customHeight="1">
      <c r="A17" s="3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O17" s="24"/>
      <c r="P17" s="9"/>
      <c r="Q17" s="9"/>
      <c r="R17" s="9"/>
      <c r="S17" s="9"/>
      <c r="T17" s="9"/>
      <c r="U17" s="15"/>
      <c r="V17" s="15"/>
      <c r="W17" s="15"/>
      <c r="X17" s="15"/>
      <c r="Y17" s="15"/>
      <c r="Z17" s="15"/>
    </row>
    <row r="18" ht="17.25" customHeight="1">
      <c r="A18" s="36" t="s">
        <v>16</v>
      </c>
      <c r="B18" s="37">
        <f t="shared" ref="B18:M18" si="10">SUM(B19:B28)</f>
        <v>1390000</v>
      </c>
      <c r="C18" s="37">
        <f t="shared" si="10"/>
        <v>1731504</v>
      </c>
      <c r="D18" s="37">
        <f t="shared" si="10"/>
        <v>1731504</v>
      </c>
      <c r="E18" s="37">
        <f t="shared" si="10"/>
        <v>1692660</v>
      </c>
      <c r="F18" s="37">
        <f t="shared" si="10"/>
        <v>1653816</v>
      </c>
      <c r="G18" s="37">
        <f t="shared" si="10"/>
        <v>1440348</v>
      </c>
      <c r="H18" s="37">
        <f t="shared" si="10"/>
        <v>785572</v>
      </c>
      <c r="I18" s="37">
        <f t="shared" si="10"/>
        <v>60000</v>
      </c>
      <c r="J18" s="37">
        <f t="shared" si="10"/>
        <v>60000</v>
      </c>
      <c r="K18" s="37">
        <f t="shared" si="10"/>
        <v>60000</v>
      </c>
      <c r="L18" s="37">
        <f t="shared" si="10"/>
        <v>60000</v>
      </c>
      <c r="M18" s="37">
        <f t="shared" si="10"/>
        <v>60000</v>
      </c>
      <c r="O18" s="37">
        <f>SUM(O19:O29)</f>
        <v>11155993.4</v>
      </c>
      <c r="P18" s="9"/>
      <c r="Q18" s="9"/>
      <c r="R18" s="9"/>
      <c r="S18" s="9"/>
      <c r="T18" s="9"/>
      <c r="U18" s="21"/>
      <c r="V18" s="21"/>
      <c r="W18" s="21"/>
      <c r="X18" s="21"/>
      <c r="Y18" s="21"/>
      <c r="Z18" s="21"/>
    </row>
    <row r="19" ht="17.25" customHeight="1">
      <c r="A19" s="22" t="s">
        <v>47</v>
      </c>
      <c r="B19" s="38">
        <f>C5*40*250</f>
        <v>200000</v>
      </c>
      <c r="C19" s="39">
        <f t="shared" ref="C19:H19" si="11">C14/10*250</f>
        <v>312000</v>
      </c>
      <c r="D19" s="39">
        <f t="shared" si="11"/>
        <v>312000</v>
      </c>
      <c r="E19" s="39">
        <f t="shared" si="11"/>
        <v>292500</v>
      </c>
      <c r="F19" s="39">
        <f t="shared" si="11"/>
        <v>273000</v>
      </c>
      <c r="G19" s="39">
        <f t="shared" si="11"/>
        <v>331500</v>
      </c>
      <c r="H19" s="39">
        <f t="shared" si="11"/>
        <v>178500</v>
      </c>
      <c r="I19" s="39">
        <f t="shared" ref="I19:M19" si="12">I14/10*240</f>
        <v>0</v>
      </c>
      <c r="J19" s="39">
        <f t="shared" si="12"/>
        <v>0</v>
      </c>
      <c r="K19" s="39">
        <f t="shared" si="12"/>
        <v>0</v>
      </c>
      <c r="L19" s="39">
        <f t="shared" si="12"/>
        <v>0</v>
      </c>
      <c r="M19" s="39">
        <f t="shared" si="12"/>
        <v>0</v>
      </c>
      <c r="O19" s="38">
        <f t="shared" ref="O19:O27" si="14">SUM(B19:M19)</f>
        <v>1899500</v>
      </c>
      <c r="P19" s="9"/>
      <c r="Q19" s="9"/>
      <c r="R19" s="9"/>
      <c r="S19" s="9"/>
      <c r="T19" s="9"/>
      <c r="U19" s="15"/>
      <c r="V19" s="15"/>
      <c r="W19" s="15"/>
      <c r="X19" s="15"/>
      <c r="Y19" s="15"/>
      <c r="Z19" s="15"/>
    </row>
    <row r="20" ht="17.25" customHeight="1">
      <c r="A20" s="22" t="s">
        <v>18</v>
      </c>
      <c r="B20" s="38">
        <f t="shared" ref="B20:M20" si="13">C5*20000</f>
        <v>400000</v>
      </c>
      <c r="C20" s="38">
        <f t="shared" si="13"/>
        <v>400000</v>
      </c>
      <c r="D20" s="38">
        <f t="shared" si="13"/>
        <v>400000</v>
      </c>
      <c r="E20" s="38">
        <f t="shared" si="13"/>
        <v>400000</v>
      </c>
      <c r="F20" s="38">
        <f t="shared" si="13"/>
        <v>400000</v>
      </c>
      <c r="G20" s="38">
        <f t="shared" si="13"/>
        <v>200000</v>
      </c>
      <c r="H20" s="38">
        <f t="shared" si="13"/>
        <v>0</v>
      </c>
      <c r="I20" s="38">
        <f t="shared" si="13"/>
        <v>0</v>
      </c>
      <c r="J20" s="38">
        <f t="shared" si="13"/>
        <v>0</v>
      </c>
      <c r="K20" s="38">
        <f t="shared" si="13"/>
        <v>0</v>
      </c>
      <c r="L20" s="38">
        <f t="shared" si="13"/>
        <v>0</v>
      </c>
      <c r="M20" s="38">
        <f t="shared" si="13"/>
        <v>0</v>
      </c>
      <c r="O20" s="38">
        <f t="shared" si="14"/>
        <v>2200000</v>
      </c>
      <c r="P20" s="9"/>
      <c r="Q20" s="9"/>
      <c r="R20" s="9"/>
      <c r="S20" s="9"/>
      <c r="T20" s="9"/>
      <c r="U20" s="15"/>
      <c r="V20" s="15"/>
      <c r="W20" s="15"/>
      <c r="X20" s="15"/>
      <c r="Y20" s="15"/>
      <c r="Z20" s="15"/>
    </row>
    <row r="21" ht="17.25" customHeight="1">
      <c r="A21" s="22" t="s">
        <v>48</v>
      </c>
      <c r="B21" s="41">
        <f t="shared" ref="B21:H21" si="15">90000*3</f>
        <v>270000</v>
      </c>
      <c r="C21" s="41">
        <f t="shared" si="15"/>
        <v>270000</v>
      </c>
      <c r="D21" s="41">
        <f t="shared" si="15"/>
        <v>270000</v>
      </c>
      <c r="E21" s="41">
        <f t="shared" si="15"/>
        <v>270000</v>
      </c>
      <c r="F21" s="41">
        <f t="shared" si="15"/>
        <v>270000</v>
      </c>
      <c r="G21" s="41">
        <f t="shared" si="15"/>
        <v>270000</v>
      </c>
      <c r="H21" s="41">
        <f t="shared" si="15"/>
        <v>270000</v>
      </c>
      <c r="I21" s="41">
        <f t="shared" ref="I21:M21" si="16">3*20000</f>
        <v>60000</v>
      </c>
      <c r="J21" s="41">
        <f t="shared" si="16"/>
        <v>60000</v>
      </c>
      <c r="K21" s="41">
        <f t="shared" si="16"/>
        <v>60000</v>
      </c>
      <c r="L21" s="41">
        <f t="shared" si="16"/>
        <v>60000</v>
      </c>
      <c r="M21" s="41">
        <f t="shared" si="16"/>
        <v>60000</v>
      </c>
      <c r="O21" s="38">
        <f t="shared" si="14"/>
        <v>2190000</v>
      </c>
      <c r="P21" s="9"/>
      <c r="Q21" s="9"/>
      <c r="R21" s="9"/>
      <c r="S21" s="9"/>
      <c r="T21" s="9"/>
      <c r="U21" s="15"/>
      <c r="V21" s="15"/>
      <c r="W21" s="15"/>
      <c r="X21" s="15"/>
      <c r="Y21" s="15"/>
      <c r="Z21" s="15"/>
    </row>
    <row r="22" ht="17.25" customHeight="1">
      <c r="A22" s="42" t="s">
        <v>20</v>
      </c>
      <c r="B22" s="41">
        <f t="shared" ref="B22:M22" si="17">C5*15000</f>
        <v>300000</v>
      </c>
      <c r="C22" s="41">
        <f t="shared" si="17"/>
        <v>300000</v>
      </c>
      <c r="D22" s="41">
        <f t="shared" si="17"/>
        <v>300000</v>
      </c>
      <c r="E22" s="41">
        <f t="shared" si="17"/>
        <v>300000</v>
      </c>
      <c r="F22" s="41">
        <f t="shared" si="17"/>
        <v>300000</v>
      </c>
      <c r="G22" s="41">
        <f t="shared" si="17"/>
        <v>150000</v>
      </c>
      <c r="H22" s="41">
        <f t="shared" si="17"/>
        <v>0</v>
      </c>
      <c r="I22" s="41">
        <f t="shared" si="17"/>
        <v>0</v>
      </c>
      <c r="J22" s="41">
        <f t="shared" si="17"/>
        <v>0</v>
      </c>
      <c r="K22" s="41">
        <f t="shared" si="17"/>
        <v>0</v>
      </c>
      <c r="L22" s="41">
        <f t="shared" si="17"/>
        <v>0</v>
      </c>
      <c r="M22" s="41">
        <f t="shared" si="17"/>
        <v>0</v>
      </c>
      <c r="O22" s="38">
        <f t="shared" si="14"/>
        <v>1650000</v>
      </c>
      <c r="P22" s="9"/>
      <c r="Q22" s="9"/>
      <c r="R22" s="9"/>
      <c r="S22" s="9"/>
      <c r="T22" s="9"/>
      <c r="U22" s="15"/>
      <c r="V22" s="15"/>
      <c r="W22" s="15"/>
      <c r="X22" s="15"/>
      <c r="Y22" s="15"/>
      <c r="Z22" s="15"/>
    </row>
    <row r="23" ht="17.25" customHeight="1">
      <c r="A23" s="43" t="s">
        <v>49</v>
      </c>
      <c r="B23" s="41">
        <v>200000.0</v>
      </c>
      <c r="C23" s="41">
        <v>80000.0</v>
      </c>
      <c r="D23" s="41">
        <v>80000.0</v>
      </c>
      <c r="E23" s="41">
        <v>80000.0</v>
      </c>
      <c r="F23" s="41">
        <v>80000.0</v>
      </c>
      <c r="G23" s="41">
        <v>80000.0</v>
      </c>
      <c r="H23" s="41">
        <v>80000.0</v>
      </c>
      <c r="I23" s="41">
        <v>0.0</v>
      </c>
      <c r="J23" s="41">
        <v>0.0</v>
      </c>
      <c r="K23" s="41">
        <v>0.0</v>
      </c>
      <c r="L23" s="41">
        <v>0.0</v>
      </c>
      <c r="M23" s="41">
        <v>0.0</v>
      </c>
      <c r="O23" s="38">
        <f t="shared" si="14"/>
        <v>680000</v>
      </c>
      <c r="P23" s="9"/>
      <c r="Q23" s="9"/>
      <c r="R23" s="9"/>
      <c r="S23" s="9"/>
      <c r="T23" s="9"/>
      <c r="U23" s="15"/>
      <c r="V23" s="15"/>
      <c r="W23" s="15"/>
      <c r="X23" s="15"/>
      <c r="Y23" s="15"/>
      <c r="Z23" s="15"/>
    </row>
    <row r="24" ht="17.25" customHeight="1">
      <c r="A24" s="43" t="s">
        <v>22</v>
      </c>
      <c r="B24" s="41">
        <f>B14/12*500</f>
        <v>0</v>
      </c>
      <c r="C24" s="41">
        <f t="shared" ref="C24:H24" si="18">C14/2*40</f>
        <v>249600</v>
      </c>
      <c r="D24" s="41">
        <f t="shared" si="18"/>
        <v>249600</v>
      </c>
      <c r="E24" s="41">
        <f t="shared" si="18"/>
        <v>234000</v>
      </c>
      <c r="F24" s="41">
        <f t="shared" si="18"/>
        <v>218400</v>
      </c>
      <c r="G24" s="41">
        <f t="shared" si="18"/>
        <v>265200</v>
      </c>
      <c r="H24" s="41">
        <f t="shared" si="18"/>
        <v>142800</v>
      </c>
      <c r="I24" s="41">
        <f t="shared" ref="I24:M24" si="19">I14/12*500</f>
        <v>0</v>
      </c>
      <c r="J24" s="41">
        <f t="shared" si="19"/>
        <v>0</v>
      </c>
      <c r="K24" s="41">
        <f t="shared" si="19"/>
        <v>0</v>
      </c>
      <c r="L24" s="41">
        <f t="shared" si="19"/>
        <v>0</v>
      </c>
      <c r="M24" s="41">
        <f t="shared" si="19"/>
        <v>0</v>
      </c>
      <c r="O24" s="38">
        <f t="shared" si="14"/>
        <v>1359600</v>
      </c>
      <c r="P24" s="9"/>
      <c r="Q24" s="9"/>
      <c r="R24" s="9"/>
      <c r="S24" s="9"/>
      <c r="T24" s="9"/>
      <c r="U24" s="15"/>
      <c r="V24" s="15"/>
      <c r="W24" s="15"/>
      <c r="X24" s="15"/>
      <c r="Y24" s="15"/>
      <c r="Z24" s="15"/>
    </row>
    <row r="25" ht="17.25" customHeight="1">
      <c r="A25" s="44" t="s">
        <v>50</v>
      </c>
      <c r="B25" s="45">
        <f t="shared" ref="B25:M25" si="20">B14*B13*2.4%</f>
        <v>0</v>
      </c>
      <c r="C25" s="45">
        <f t="shared" si="20"/>
        <v>59904</v>
      </c>
      <c r="D25" s="45">
        <f t="shared" si="20"/>
        <v>59904</v>
      </c>
      <c r="E25" s="45">
        <f t="shared" si="20"/>
        <v>56160</v>
      </c>
      <c r="F25" s="45">
        <f t="shared" si="20"/>
        <v>52416</v>
      </c>
      <c r="G25" s="45">
        <f t="shared" si="20"/>
        <v>63648</v>
      </c>
      <c r="H25" s="45">
        <f t="shared" si="20"/>
        <v>34272</v>
      </c>
      <c r="I25" s="45">
        <f t="shared" si="20"/>
        <v>0</v>
      </c>
      <c r="J25" s="45">
        <f t="shared" si="20"/>
        <v>0</v>
      </c>
      <c r="K25" s="45">
        <f t="shared" si="20"/>
        <v>0</v>
      </c>
      <c r="L25" s="45">
        <f t="shared" si="20"/>
        <v>0</v>
      </c>
      <c r="M25" s="45">
        <f t="shared" si="20"/>
        <v>0</v>
      </c>
      <c r="O25" s="38">
        <f t="shared" si="14"/>
        <v>326304</v>
      </c>
      <c r="P25" s="9"/>
      <c r="Q25" s="9"/>
      <c r="R25" s="9"/>
      <c r="S25" s="9"/>
      <c r="T25" s="9"/>
      <c r="U25" s="15"/>
      <c r="V25" s="15"/>
      <c r="W25" s="15"/>
      <c r="X25" s="15"/>
      <c r="Y25" s="15"/>
      <c r="Z25" s="15"/>
    </row>
    <row r="26" ht="17.25" customHeight="1">
      <c r="A26" s="44" t="s">
        <v>51</v>
      </c>
      <c r="B26" s="41">
        <v>20000.0</v>
      </c>
      <c r="C26" s="41"/>
      <c r="D26" s="45"/>
      <c r="E26" s="45"/>
      <c r="F26" s="45"/>
      <c r="G26" s="41">
        <v>20000.0</v>
      </c>
      <c r="H26" s="41">
        <v>20000.0</v>
      </c>
      <c r="I26" s="45"/>
      <c r="J26" s="45"/>
      <c r="K26" s="45"/>
      <c r="L26" s="45"/>
      <c r="M26" s="41"/>
      <c r="O26" s="38">
        <f t="shared" si="14"/>
        <v>60000</v>
      </c>
      <c r="P26" s="9"/>
      <c r="Q26" s="9"/>
      <c r="R26" s="9"/>
      <c r="S26" s="9"/>
      <c r="T26" s="9"/>
      <c r="U26" s="15"/>
      <c r="V26" s="15"/>
      <c r="W26" s="15"/>
      <c r="X26" s="15"/>
      <c r="Y26" s="15"/>
      <c r="Z26" s="15"/>
    </row>
    <row r="27" ht="17.25" customHeight="1">
      <c r="A27" s="43" t="s">
        <v>25</v>
      </c>
      <c r="B27" s="41"/>
      <c r="C27" s="41">
        <f t="shared" ref="C27:H27" si="21">1000*2*30</f>
        <v>60000</v>
      </c>
      <c r="D27" s="41">
        <f t="shared" si="21"/>
        <v>60000</v>
      </c>
      <c r="E27" s="41">
        <f t="shared" si="21"/>
        <v>60000</v>
      </c>
      <c r="F27" s="41">
        <f t="shared" si="21"/>
        <v>60000</v>
      </c>
      <c r="G27" s="41">
        <f t="shared" si="21"/>
        <v>60000</v>
      </c>
      <c r="H27" s="41">
        <f t="shared" si="21"/>
        <v>60000</v>
      </c>
      <c r="I27" s="41"/>
      <c r="J27" s="45"/>
      <c r="K27" s="45"/>
      <c r="L27" s="45"/>
      <c r="M27" s="41"/>
      <c r="O27" s="38">
        <f t="shared" si="14"/>
        <v>360000</v>
      </c>
      <c r="P27" s="9"/>
      <c r="Q27" s="9"/>
      <c r="R27" s="9"/>
      <c r="S27" s="9"/>
      <c r="T27" s="9"/>
      <c r="U27" s="15"/>
      <c r="V27" s="15"/>
      <c r="W27" s="15"/>
      <c r="X27" s="15"/>
      <c r="Y27" s="15"/>
      <c r="Z27" s="15"/>
    </row>
    <row r="28" ht="17.25" customHeight="1">
      <c r="A28" s="43" t="s">
        <v>52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O28" s="38">
        <f>(O7-SUM(O19:O27))*15%</f>
        <v>430589.4</v>
      </c>
      <c r="P28" s="9"/>
      <c r="Q28" s="9"/>
      <c r="R28" s="9"/>
      <c r="S28" s="9"/>
      <c r="T28" s="9"/>
      <c r="U28" s="15"/>
      <c r="V28" s="15"/>
      <c r="W28" s="15"/>
      <c r="X28" s="15"/>
      <c r="Y28" s="15"/>
      <c r="Z28" s="15"/>
    </row>
    <row r="29" ht="17.25" customHeight="1">
      <c r="A29" s="43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O29" s="38"/>
      <c r="P29" s="9"/>
      <c r="Q29" s="9"/>
      <c r="R29" s="9"/>
      <c r="S29" s="9"/>
      <c r="T29" s="9"/>
      <c r="U29" s="15"/>
      <c r="V29" s="15"/>
      <c r="W29" s="15"/>
      <c r="X29" s="15"/>
      <c r="Y29" s="15"/>
      <c r="Z29" s="15"/>
    </row>
    <row r="30" ht="17.25" customHeight="1">
      <c r="A30" s="36" t="s">
        <v>27</v>
      </c>
      <c r="B30" s="37">
        <f t="shared" ref="B30:M30" si="22">B20+B21+B22+B23+B26</f>
        <v>1190000</v>
      </c>
      <c r="C30" s="37">
        <f t="shared" si="22"/>
        <v>1050000</v>
      </c>
      <c r="D30" s="37">
        <f t="shared" si="22"/>
        <v>1050000</v>
      </c>
      <c r="E30" s="37">
        <f t="shared" si="22"/>
        <v>1050000</v>
      </c>
      <c r="F30" s="37">
        <f t="shared" si="22"/>
        <v>1050000</v>
      </c>
      <c r="G30" s="37">
        <f t="shared" si="22"/>
        <v>720000</v>
      </c>
      <c r="H30" s="37">
        <f t="shared" si="22"/>
        <v>370000</v>
      </c>
      <c r="I30" s="37">
        <f t="shared" si="22"/>
        <v>60000</v>
      </c>
      <c r="J30" s="37">
        <f t="shared" si="22"/>
        <v>60000</v>
      </c>
      <c r="K30" s="37">
        <f t="shared" si="22"/>
        <v>60000</v>
      </c>
      <c r="L30" s="37">
        <f t="shared" si="22"/>
        <v>60000</v>
      </c>
      <c r="M30" s="37">
        <f t="shared" si="22"/>
        <v>60000</v>
      </c>
      <c r="O30" s="37">
        <f>SUM(B30:M30)</f>
        <v>6780000</v>
      </c>
      <c r="P30" s="9"/>
      <c r="Q30" s="9"/>
      <c r="R30" s="9"/>
      <c r="S30" s="9"/>
      <c r="T30" s="9"/>
      <c r="U30" s="15"/>
      <c r="V30" s="15"/>
      <c r="W30" s="15"/>
      <c r="X30" s="15"/>
      <c r="Y30" s="15"/>
      <c r="Z30" s="15"/>
    </row>
    <row r="31" ht="17.25" customHeight="1">
      <c r="A31" s="36" t="s">
        <v>28</v>
      </c>
      <c r="B31" s="37">
        <f t="shared" ref="B31:M31" si="23">IFERROR((B19+B24+B25+B27)/B14,0)</f>
        <v>0</v>
      </c>
      <c r="C31" s="37">
        <f t="shared" si="23"/>
        <v>54.60769231</v>
      </c>
      <c r="D31" s="37">
        <f t="shared" si="23"/>
        <v>54.60769231</v>
      </c>
      <c r="E31" s="37">
        <f t="shared" si="23"/>
        <v>54.92820513</v>
      </c>
      <c r="F31" s="37">
        <f t="shared" si="23"/>
        <v>55.29450549</v>
      </c>
      <c r="G31" s="37">
        <f t="shared" si="23"/>
        <v>54.32488688</v>
      </c>
      <c r="H31" s="37">
        <f t="shared" si="23"/>
        <v>58.20336134</v>
      </c>
      <c r="I31" s="37">
        <f t="shared" si="23"/>
        <v>0</v>
      </c>
      <c r="J31" s="37">
        <f t="shared" si="23"/>
        <v>0</v>
      </c>
      <c r="K31" s="37">
        <f t="shared" si="23"/>
        <v>0</v>
      </c>
      <c r="L31" s="37">
        <f t="shared" si="23"/>
        <v>0</v>
      </c>
      <c r="M31" s="37">
        <f t="shared" si="23"/>
        <v>0</v>
      </c>
      <c r="O31" s="37">
        <f>O18-O30</f>
        <v>4375993.4</v>
      </c>
      <c r="P31" s="9"/>
      <c r="Q31" s="9"/>
      <c r="R31" s="9"/>
      <c r="S31" s="9"/>
      <c r="T31" s="9"/>
      <c r="U31" s="15"/>
      <c r="V31" s="15"/>
      <c r="W31" s="15"/>
      <c r="X31" s="15"/>
      <c r="Y31" s="15"/>
      <c r="Z31" s="15"/>
    </row>
    <row r="32" ht="17.25" customHeight="1">
      <c r="A32" s="47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O32" s="24"/>
      <c r="P32" s="9"/>
      <c r="Q32" s="9"/>
      <c r="R32" s="9"/>
      <c r="S32" s="9"/>
      <c r="T32" s="9"/>
      <c r="U32" s="15"/>
      <c r="V32" s="15"/>
      <c r="W32" s="15"/>
      <c r="X32" s="15"/>
      <c r="Y32" s="15"/>
      <c r="Z32" s="15"/>
    </row>
    <row r="33" ht="17.25" customHeight="1">
      <c r="A33" s="48" t="s">
        <v>29</v>
      </c>
      <c r="B33" s="49">
        <f t="shared" ref="B33:M33" si="24">B7-B18</f>
        <v>-1390000</v>
      </c>
      <c r="C33" s="49">
        <f t="shared" si="24"/>
        <v>764496</v>
      </c>
      <c r="D33" s="49">
        <f t="shared" si="24"/>
        <v>764496</v>
      </c>
      <c r="E33" s="49">
        <f t="shared" si="24"/>
        <v>647340</v>
      </c>
      <c r="F33" s="49">
        <f t="shared" si="24"/>
        <v>530184</v>
      </c>
      <c r="G33" s="49">
        <f t="shared" si="24"/>
        <v>1211652</v>
      </c>
      <c r="H33" s="49">
        <f t="shared" si="24"/>
        <v>642428</v>
      </c>
      <c r="I33" s="49">
        <f t="shared" si="24"/>
        <v>-60000</v>
      </c>
      <c r="J33" s="49">
        <f t="shared" si="24"/>
        <v>-60000</v>
      </c>
      <c r="K33" s="49">
        <f t="shared" si="24"/>
        <v>-60000</v>
      </c>
      <c r="L33" s="50">
        <f t="shared" si="24"/>
        <v>-60000</v>
      </c>
      <c r="M33" s="50">
        <f t="shared" si="24"/>
        <v>-60000</v>
      </c>
      <c r="O33" s="50">
        <f>O7-O18</f>
        <v>2440006.6</v>
      </c>
      <c r="P33" s="9"/>
      <c r="Q33" s="9"/>
      <c r="R33" s="9"/>
      <c r="S33" s="9"/>
      <c r="T33" s="9"/>
      <c r="U33" s="51"/>
      <c r="V33" s="51"/>
      <c r="W33" s="51"/>
      <c r="X33" s="51"/>
      <c r="Y33" s="51"/>
      <c r="Z33" s="51"/>
    </row>
    <row r="34" ht="17.25" customHeight="1">
      <c r="A34" s="43" t="s">
        <v>53</v>
      </c>
      <c r="B34" s="52"/>
      <c r="C34" s="52">
        <f t="shared" ref="C34:M34" si="25">C33/C7*100%</f>
        <v>0.3062884615</v>
      </c>
      <c r="D34" s="52">
        <f t="shared" si="25"/>
        <v>0.3062884615</v>
      </c>
      <c r="E34" s="52">
        <f t="shared" si="25"/>
        <v>0.2766410256</v>
      </c>
      <c r="F34" s="52">
        <f t="shared" si="25"/>
        <v>0.2427582418</v>
      </c>
      <c r="G34" s="52">
        <f t="shared" si="25"/>
        <v>0.4568823529</v>
      </c>
      <c r="H34" s="52">
        <f t="shared" si="25"/>
        <v>0.4498795518</v>
      </c>
      <c r="I34" s="52" t="str">
        <f t="shared" si="25"/>
        <v>#DIV/0!</v>
      </c>
      <c r="J34" s="52" t="str">
        <f t="shared" si="25"/>
        <v>#DIV/0!</v>
      </c>
      <c r="K34" s="52" t="str">
        <f t="shared" si="25"/>
        <v>#DIV/0!</v>
      </c>
      <c r="L34" s="52" t="str">
        <f t="shared" si="25"/>
        <v>#DIV/0!</v>
      </c>
      <c r="M34" s="52" t="str">
        <f t="shared" si="25"/>
        <v>#DIV/0!</v>
      </c>
      <c r="O34" s="52">
        <f>O33/O7*100%</f>
        <v>0.1794650338</v>
      </c>
      <c r="P34" s="9"/>
      <c r="Q34" s="9"/>
      <c r="R34" s="9"/>
      <c r="S34" s="9"/>
      <c r="T34" s="9"/>
      <c r="U34" s="15"/>
      <c r="V34" s="15"/>
      <c r="W34" s="15"/>
      <c r="X34" s="15"/>
      <c r="Y34" s="15"/>
      <c r="Z34" s="15"/>
    </row>
    <row r="35" ht="17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O35" s="17"/>
      <c r="P35" s="9"/>
      <c r="Q35" s="9"/>
      <c r="R35" s="9"/>
      <c r="S35" s="9"/>
      <c r="T35" s="9"/>
      <c r="U35" s="15"/>
      <c r="V35" s="15"/>
      <c r="W35" s="15"/>
      <c r="X35" s="15"/>
      <c r="Y35" s="15"/>
      <c r="Z35" s="15"/>
    </row>
    <row r="36" ht="17.2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O36" s="53"/>
      <c r="P36" s="9"/>
      <c r="Q36" s="9"/>
      <c r="R36" s="9"/>
      <c r="S36" s="9"/>
      <c r="T36" s="9"/>
      <c r="U36" s="3"/>
      <c r="V36" s="3"/>
      <c r="W36" s="3"/>
      <c r="X36" s="3"/>
      <c r="Y36" s="3"/>
      <c r="Z36" s="3"/>
    </row>
    <row r="37" ht="17.25" customHeight="1">
      <c r="A37" s="54" t="s">
        <v>31</v>
      </c>
      <c r="B37" s="11">
        <f t="shared" ref="B37:M37" si="26">IFERROR(B30/(B13-B31)*B13,B30)</f>
        <v>1190000</v>
      </c>
      <c r="C37" s="11">
        <f t="shared" si="26"/>
        <v>1444368.023</v>
      </c>
      <c r="D37" s="11">
        <f t="shared" si="26"/>
        <v>1444368.023</v>
      </c>
      <c r="E37" s="11">
        <f t="shared" si="26"/>
        <v>1447559.122</v>
      </c>
      <c r="F37" s="11">
        <f t="shared" si="26"/>
        <v>1451223.402</v>
      </c>
      <c r="G37" s="11">
        <f t="shared" si="26"/>
        <v>988501.0343</v>
      </c>
      <c r="H37" s="11">
        <f t="shared" si="26"/>
        <v>521874.1481</v>
      </c>
      <c r="I37" s="11">
        <f t="shared" si="26"/>
        <v>60000</v>
      </c>
      <c r="J37" s="11">
        <f t="shared" si="26"/>
        <v>60000</v>
      </c>
      <c r="K37" s="11">
        <f t="shared" si="26"/>
        <v>60000</v>
      </c>
      <c r="L37" s="11">
        <f t="shared" si="26"/>
        <v>60000</v>
      </c>
      <c r="M37" s="11">
        <f t="shared" si="26"/>
        <v>60000</v>
      </c>
      <c r="O37" s="11">
        <f>SUM(B37:M37)</f>
        <v>8787893.752</v>
      </c>
      <c r="P37" s="9"/>
      <c r="Q37" s="9"/>
      <c r="R37" s="9"/>
      <c r="S37" s="9"/>
      <c r="T37" s="9"/>
      <c r="U37" s="3"/>
      <c r="V37" s="3"/>
      <c r="W37" s="3"/>
      <c r="X37" s="3"/>
      <c r="Y37" s="3"/>
      <c r="Z37" s="3"/>
    </row>
    <row r="38" ht="17.25" customHeight="1">
      <c r="A38" s="43" t="s">
        <v>32</v>
      </c>
      <c r="B38" s="55" t="str">
        <f t="shared" ref="B38:M38" si="27">B37/B13</f>
        <v>#DIV/0!</v>
      </c>
      <c r="C38" s="55">
        <f t="shared" si="27"/>
        <v>7221.840114</v>
      </c>
      <c r="D38" s="55">
        <f t="shared" si="27"/>
        <v>7221.840114</v>
      </c>
      <c r="E38" s="55">
        <f t="shared" si="27"/>
        <v>7237.79561</v>
      </c>
      <c r="F38" s="55">
        <f t="shared" si="27"/>
        <v>7256.117009</v>
      </c>
      <c r="G38" s="55">
        <f t="shared" si="27"/>
        <v>4942.505172</v>
      </c>
      <c r="H38" s="55">
        <f t="shared" si="27"/>
        <v>2609.37074</v>
      </c>
      <c r="I38" s="55" t="str">
        <f t="shared" si="27"/>
        <v>#DIV/0!</v>
      </c>
      <c r="J38" s="55" t="str">
        <f t="shared" si="27"/>
        <v>#DIV/0!</v>
      </c>
      <c r="K38" s="55" t="str">
        <f t="shared" si="27"/>
        <v>#DIV/0!</v>
      </c>
      <c r="L38" s="55" t="str">
        <f t="shared" si="27"/>
        <v>#DIV/0!</v>
      </c>
      <c r="M38" s="55" t="str">
        <f t="shared" si="27"/>
        <v>#DIV/0!</v>
      </c>
      <c r="O38" s="55" t="s">
        <v>33</v>
      </c>
      <c r="P38" s="55">
        <f>O37/AVERAGE(B13:M13)</f>
        <v>43939.46876</v>
      </c>
      <c r="Q38" s="9"/>
      <c r="R38" s="9"/>
      <c r="S38" s="9"/>
      <c r="T38" s="9"/>
      <c r="U38" s="3"/>
      <c r="V38" s="3"/>
      <c r="W38" s="3"/>
      <c r="X38" s="3"/>
      <c r="Y38" s="3"/>
      <c r="Z38" s="3"/>
    </row>
    <row r="39" ht="17.25" customHeight="1">
      <c r="A39" s="43" t="s">
        <v>34</v>
      </c>
      <c r="B39" s="55" t="str">
        <f t="shared" ref="B39:M39" si="28">B38/30</f>
        <v>#DIV/0!</v>
      </c>
      <c r="C39" s="55">
        <f t="shared" si="28"/>
        <v>240.7280038</v>
      </c>
      <c r="D39" s="55">
        <f t="shared" si="28"/>
        <v>240.7280038</v>
      </c>
      <c r="E39" s="55">
        <f t="shared" si="28"/>
        <v>241.2598537</v>
      </c>
      <c r="F39" s="55">
        <f t="shared" si="28"/>
        <v>241.870567</v>
      </c>
      <c r="G39" s="55">
        <f t="shared" si="28"/>
        <v>164.7501724</v>
      </c>
      <c r="H39" s="55">
        <f t="shared" si="28"/>
        <v>86.97902468</v>
      </c>
      <c r="I39" s="55" t="str">
        <f t="shared" si="28"/>
        <v>#DIV/0!</v>
      </c>
      <c r="J39" s="55" t="str">
        <f t="shared" si="28"/>
        <v>#DIV/0!</v>
      </c>
      <c r="K39" s="55" t="str">
        <f t="shared" si="28"/>
        <v>#DIV/0!</v>
      </c>
      <c r="L39" s="55" t="str">
        <f t="shared" si="28"/>
        <v>#DIV/0!</v>
      </c>
      <c r="M39" s="55" t="str">
        <f t="shared" si="28"/>
        <v>#DIV/0!</v>
      </c>
      <c r="O39" s="55" t="s">
        <v>35</v>
      </c>
      <c r="P39" s="55">
        <f>P38/(DAYS(I2,C2))</f>
        <v>238.8014606</v>
      </c>
      <c r="Q39" s="9"/>
      <c r="R39" s="9"/>
      <c r="S39" s="9"/>
      <c r="T39" s="9"/>
      <c r="U39" s="3"/>
      <c r="V39" s="3"/>
      <c r="W39" s="3"/>
      <c r="X39" s="3"/>
      <c r="Y39" s="3"/>
      <c r="Z39" s="3"/>
    </row>
    <row r="40" ht="17.25" customHeight="1">
      <c r="A40" s="43" t="s">
        <v>36</v>
      </c>
      <c r="B40" s="55" t="str">
        <f t="shared" ref="B40:M40" si="29">B39/B5</f>
        <v>#DIV/0!</v>
      </c>
      <c r="C40" s="55">
        <f t="shared" si="29"/>
        <v>12.03640019</v>
      </c>
      <c r="D40" s="55">
        <f t="shared" si="29"/>
        <v>12.03640019</v>
      </c>
      <c r="E40" s="55">
        <f t="shared" si="29"/>
        <v>12.06299268</v>
      </c>
      <c r="F40" s="55">
        <f t="shared" si="29"/>
        <v>12.09352835</v>
      </c>
      <c r="G40" s="55">
        <f t="shared" si="29"/>
        <v>8.23750862</v>
      </c>
      <c r="H40" s="55">
        <f t="shared" si="29"/>
        <v>8.697902468</v>
      </c>
      <c r="I40" s="55" t="str">
        <f t="shared" si="29"/>
        <v>#DIV/0!</v>
      </c>
      <c r="J40" s="55" t="str">
        <f t="shared" si="29"/>
        <v>#DIV/0!</v>
      </c>
      <c r="K40" s="55" t="str">
        <f t="shared" si="29"/>
        <v>#DIV/0!</v>
      </c>
      <c r="L40" s="55" t="str">
        <f t="shared" si="29"/>
        <v>#DIV/0!</v>
      </c>
      <c r="M40" s="55" t="str">
        <f t="shared" si="29"/>
        <v>#DIV/0!</v>
      </c>
      <c r="O40" s="55" t="s">
        <v>37</v>
      </c>
      <c r="P40" s="55">
        <f>P39/AVERAGE(C5:H5)</f>
        <v>13.02553422</v>
      </c>
      <c r="Q40" s="9"/>
      <c r="R40" s="9"/>
      <c r="S40" s="9"/>
      <c r="T40" s="9"/>
      <c r="U40" s="3"/>
      <c r="V40" s="3"/>
      <c r="W40" s="3"/>
      <c r="X40" s="3"/>
      <c r="Y40" s="3"/>
      <c r="Z40" s="3"/>
    </row>
    <row r="41" ht="17.2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O41" s="55"/>
      <c r="P41" s="9"/>
      <c r="Q41" s="9"/>
      <c r="R41" s="9"/>
      <c r="S41" s="9"/>
      <c r="T41" s="9"/>
      <c r="U41" s="3"/>
      <c r="V41" s="3"/>
      <c r="W41" s="3"/>
      <c r="X41" s="3"/>
      <c r="Y41" s="3"/>
      <c r="Z41" s="3"/>
    </row>
    <row r="42" ht="17.25" customHeight="1">
      <c r="A42" s="10" t="s">
        <v>38</v>
      </c>
      <c r="B42" s="56"/>
      <c r="C42" s="56"/>
      <c r="D42" s="56"/>
      <c r="E42" s="57"/>
      <c r="F42" s="56"/>
      <c r="G42" s="56"/>
      <c r="H42" s="56"/>
      <c r="I42" s="56"/>
      <c r="J42" s="56"/>
      <c r="K42" s="56"/>
      <c r="L42" s="56"/>
      <c r="M42" s="56"/>
      <c r="O42" s="58"/>
      <c r="P42" s="9"/>
      <c r="Q42" s="9"/>
      <c r="R42" s="9"/>
      <c r="S42" s="9"/>
      <c r="T42" s="9"/>
      <c r="U42" s="15"/>
      <c r="V42" s="15"/>
      <c r="W42" s="15"/>
      <c r="X42" s="15"/>
      <c r="Y42" s="15"/>
      <c r="Z42" s="15"/>
    </row>
    <row r="43" ht="17.25" customHeight="1">
      <c r="A43" s="43" t="s">
        <v>54</v>
      </c>
      <c r="B43" s="39">
        <f>'Аренда автоматов'!O44</f>
        <v>3024190</v>
      </c>
      <c r="C43" s="39">
        <f t="shared" ref="C43:M43" si="30">B44</f>
        <v>1634190</v>
      </c>
      <c r="D43" s="39">
        <f t="shared" si="30"/>
        <v>2398686</v>
      </c>
      <c r="E43" s="39">
        <f t="shared" si="30"/>
        <v>3163182</v>
      </c>
      <c r="F43" s="39">
        <f t="shared" si="30"/>
        <v>3810522</v>
      </c>
      <c r="G43" s="39">
        <f t="shared" si="30"/>
        <v>4340706</v>
      </c>
      <c r="H43" s="59">
        <f t="shared" si="30"/>
        <v>5552358</v>
      </c>
      <c r="I43" s="39">
        <f t="shared" si="30"/>
        <v>6194786</v>
      </c>
      <c r="J43" s="39">
        <f t="shared" si="30"/>
        <v>6134786</v>
      </c>
      <c r="K43" s="39">
        <f t="shared" si="30"/>
        <v>6074786</v>
      </c>
      <c r="L43" s="39">
        <f t="shared" si="30"/>
        <v>6014786</v>
      </c>
      <c r="M43" s="39">
        <f t="shared" si="30"/>
        <v>5954786</v>
      </c>
      <c r="O43" s="45">
        <f>B43</f>
        <v>3024190</v>
      </c>
      <c r="P43" s="9"/>
      <c r="Q43" s="9"/>
      <c r="R43" s="9"/>
      <c r="S43" s="9"/>
      <c r="T43" s="9"/>
      <c r="U43" s="15"/>
      <c r="V43" s="15"/>
      <c r="W43" s="15"/>
      <c r="X43" s="15"/>
      <c r="Y43" s="15"/>
      <c r="Z43" s="15"/>
    </row>
    <row r="44" ht="17.25" customHeight="1">
      <c r="A44" s="43" t="s">
        <v>55</v>
      </c>
      <c r="B44" s="38">
        <f>B43+B33</f>
        <v>1634190</v>
      </c>
      <c r="C44" s="39">
        <f t="shared" ref="C44:M44" si="31">C43+C4+C33</f>
        <v>2398686</v>
      </c>
      <c r="D44" s="39">
        <f t="shared" si="31"/>
        <v>3163182</v>
      </c>
      <c r="E44" s="39">
        <f t="shared" si="31"/>
        <v>3810522</v>
      </c>
      <c r="F44" s="39">
        <f t="shared" si="31"/>
        <v>4340706</v>
      </c>
      <c r="G44" s="39">
        <f t="shared" si="31"/>
        <v>5552358</v>
      </c>
      <c r="H44" s="39">
        <f t="shared" si="31"/>
        <v>6194786</v>
      </c>
      <c r="I44" s="39">
        <f t="shared" si="31"/>
        <v>6134786</v>
      </c>
      <c r="J44" s="39">
        <f t="shared" si="31"/>
        <v>6074786</v>
      </c>
      <c r="K44" s="39">
        <f t="shared" si="31"/>
        <v>6014786</v>
      </c>
      <c r="L44" s="39">
        <f t="shared" si="31"/>
        <v>5954786</v>
      </c>
      <c r="M44" s="39">
        <f t="shared" si="31"/>
        <v>5894786</v>
      </c>
      <c r="O44" s="45">
        <f>M44-O28</f>
        <v>5464196.6</v>
      </c>
      <c r="P44" s="9"/>
      <c r="Q44" s="9"/>
      <c r="R44" s="9"/>
      <c r="S44" s="9"/>
      <c r="T44" s="9"/>
      <c r="U44" s="15"/>
      <c r="V44" s="15"/>
      <c r="W44" s="15"/>
      <c r="X44" s="15"/>
      <c r="Y44" s="15"/>
      <c r="Z44" s="15"/>
    </row>
    <row r="45" ht="17.25" customHeight="1">
      <c r="A45" s="43" t="s">
        <v>41</v>
      </c>
      <c r="B45" s="60">
        <f t="shared" ref="B45:M45" si="32">(B44-B43)/B43</f>
        <v>-0.459627206</v>
      </c>
      <c r="C45" s="60">
        <f t="shared" si="32"/>
        <v>0.4678134121</v>
      </c>
      <c r="D45" s="60">
        <f t="shared" si="32"/>
        <v>0.3187144962</v>
      </c>
      <c r="E45" s="60">
        <f t="shared" si="32"/>
        <v>0.2046483573</v>
      </c>
      <c r="F45" s="60">
        <f t="shared" si="32"/>
        <v>0.1391368427</v>
      </c>
      <c r="G45" s="60">
        <f t="shared" si="32"/>
        <v>0.2791370805</v>
      </c>
      <c r="H45" s="60">
        <f t="shared" si="32"/>
        <v>0.1157036344</v>
      </c>
      <c r="I45" s="60">
        <f t="shared" si="32"/>
        <v>-0.009685564602</v>
      </c>
      <c r="J45" s="60">
        <f t="shared" si="32"/>
        <v>-0.009780292255</v>
      </c>
      <c r="K45" s="60">
        <f t="shared" si="32"/>
        <v>-0.009876891137</v>
      </c>
      <c r="L45" s="60">
        <f t="shared" si="32"/>
        <v>-0.009975417247</v>
      </c>
      <c r="M45" s="60">
        <f t="shared" si="32"/>
        <v>-0.01007592884</v>
      </c>
      <c r="O45" s="61">
        <f>(O44-O43)/O43</f>
        <v>0.8068297957</v>
      </c>
      <c r="P45" s="9"/>
      <c r="Q45" s="9"/>
      <c r="R45" s="9"/>
      <c r="S45" s="9"/>
      <c r="T45" s="9"/>
      <c r="U45" s="15"/>
      <c r="V45" s="15"/>
      <c r="W45" s="15"/>
      <c r="X45" s="15"/>
      <c r="Y45" s="15"/>
      <c r="Z45" s="15"/>
    </row>
    <row r="46" ht="17.2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9"/>
      <c r="Q46" s="9"/>
      <c r="R46" s="9"/>
      <c r="S46" s="9"/>
      <c r="T46" s="9"/>
      <c r="U46" s="3"/>
      <c r="V46" s="3"/>
      <c r="W46" s="3"/>
      <c r="X46" s="3"/>
      <c r="Y46" s="3"/>
      <c r="Z46" s="3"/>
    </row>
    <row r="47" ht="17.2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9"/>
      <c r="Q47" s="9"/>
      <c r="R47" s="9"/>
      <c r="S47" s="9"/>
      <c r="T47" s="9"/>
      <c r="U47" s="3"/>
      <c r="V47" s="3"/>
      <c r="W47" s="3"/>
      <c r="X47" s="3"/>
      <c r="Y47" s="3"/>
      <c r="Z47" s="3"/>
    </row>
    <row r="48" ht="17.2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9"/>
      <c r="Q48" s="9"/>
      <c r="R48" s="9"/>
      <c r="S48" s="9"/>
      <c r="T48" s="9"/>
      <c r="U48" s="3"/>
      <c r="V48" s="3"/>
      <c r="W48" s="3"/>
      <c r="X48" s="3"/>
      <c r="Y48" s="3"/>
      <c r="Z48" s="3"/>
    </row>
    <row r="49" ht="15.7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9"/>
      <c r="Q49" s="9"/>
      <c r="R49" s="9"/>
      <c r="S49" s="9"/>
      <c r="T49" s="9"/>
      <c r="U49" s="3"/>
      <c r="V49" s="3"/>
      <c r="W49" s="3"/>
      <c r="X49" s="3"/>
      <c r="Y49" s="3"/>
      <c r="Z49" s="3"/>
    </row>
    <row r="50" ht="15.7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9"/>
      <c r="Q50" s="9"/>
      <c r="R50" s="9"/>
      <c r="S50" s="9"/>
      <c r="T50" s="9"/>
      <c r="U50" s="3"/>
      <c r="V50" s="3"/>
      <c r="W50" s="3"/>
      <c r="X50" s="3"/>
      <c r="Y50" s="3"/>
      <c r="Z50" s="3"/>
    </row>
    <row r="51" ht="15.7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9"/>
      <c r="Q51" s="9"/>
      <c r="R51" s="9"/>
      <c r="S51" s="9"/>
      <c r="T51" s="9"/>
      <c r="U51" s="3"/>
      <c r="V51" s="3"/>
      <c r="W51" s="3"/>
      <c r="X51" s="3"/>
      <c r="Y51" s="3"/>
      <c r="Z51" s="3"/>
    </row>
    <row r="52" ht="15.7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9"/>
      <c r="Q53" s="9"/>
      <c r="R53" s="9"/>
      <c r="S53" s="9"/>
      <c r="T53" s="9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62"/>
      <c r="M57" s="6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64"/>
      <c r="M58" s="6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66"/>
      <c r="M59" s="6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67"/>
      <c r="M60" s="6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3">
    <mergeCell ref="D1:O1"/>
    <mergeCell ref="D3:M3"/>
    <mergeCell ref="N4:N45"/>
  </mergeCells>
  <conditionalFormatting sqref="E43:G43 I43:M43">
    <cfRule type="cellIs" dxfId="0" priority="1" operator="lessThan">
      <formula>0</formula>
    </cfRule>
  </conditionalFormatting>
  <conditionalFormatting sqref="B33:M33">
    <cfRule type="cellIs" dxfId="1" priority="2" operator="lessThan">
      <formula>0</formula>
    </cfRule>
  </conditionalFormatting>
  <conditionalFormatting sqref="B33:M33">
    <cfRule type="cellIs" dxfId="2" priority="3" operator="between">
      <formula>0</formula>
      <formula>20000</formula>
    </cfRule>
  </conditionalFormatting>
  <conditionalFormatting sqref="B33:M33">
    <cfRule type="cellIs" dxfId="3" priority="4" operator="greaterThan">
      <formula>20000</formula>
    </cfRule>
  </conditionalFormatting>
  <conditionalFormatting sqref="O19:O28">
    <cfRule type="colorScale" priority="5">
      <colorScale>
        <cfvo type="min"/>
        <cfvo type="max"/>
        <color rgb="FFFFFFFF"/>
        <color rgb="FFE67C73"/>
      </colorScale>
    </cfRule>
  </conditionalFormatting>
  <conditionalFormatting sqref="O45">
    <cfRule type="colorScale" priority="6">
      <colorScale>
        <cfvo type="formula" val="0%"/>
        <cfvo type="formula" val="20%"/>
        <cfvo type="formula" val="50%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6.71"/>
    <col customWidth="1" min="2" max="4" width="15.29"/>
    <col customWidth="1" min="5" max="13" width="13.71"/>
    <col customWidth="1" min="14" max="14" width="3.71"/>
    <col customWidth="1" min="15" max="15" width="27.0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46142.0</v>
      </c>
      <c r="C2" s="5">
        <f t="shared" ref="C2:M2" si="1">EDATE(B2,1)</f>
        <v>46172</v>
      </c>
      <c r="D2" s="5">
        <f t="shared" si="1"/>
        <v>46203</v>
      </c>
      <c r="E2" s="5">
        <f t="shared" si="1"/>
        <v>46233</v>
      </c>
      <c r="F2" s="5">
        <f t="shared" si="1"/>
        <v>46264</v>
      </c>
      <c r="G2" s="5">
        <f t="shared" si="1"/>
        <v>46295</v>
      </c>
      <c r="H2" s="5">
        <f t="shared" si="1"/>
        <v>46325</v>
      </c>
      <c r="I2" s="5">
        <f t="shared" si="1"/>
        <v>46356</v>
      </c>
      <c r="J2" s="5">
        <f t="shared" si="1"/>
        <v>46386</v>
      </c>
      <c r="K2" s="5">
        <f t="shared" si="1"/>
        <v>46417</v>
      </c>
      <c r="L2" s="5">
        <f t="shared" si="1"/>
        <v>46446</v>
      </c>
      <c r="M2" s="5">
        <f t="shared" si="1"/>
        <v>46474</v>
      </c>
      <c r="N2" s="6"/>
      <c r="O2" s="7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Q3" s="9"/>
      <c r="R3" s="9"/>
      <c r="S3" s="9"/>
      <c r="T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/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14"/>
      <c r="P4" s="9"/>
      <c r="Q4" s="9"/>
      <c r="R4" s="9"/>
      <c r="S4" s="9"/>
      <c r="T4" s="9"/>
      <c r="U4" s="15"/>
      <c r="V4" s="15"/>
      <c r="W4" s="15"/>
      <c r="X4" s="15"/>
      <c r="Y4" s="15"/>
      <c r="Z4" s="15"/>
    </row>
    <row r="5" ht="17.25" customHeight="1">
      <c r="A5" s="16" t="s">
        <v>4</v>
      </c>
      <c r="B5" s="16">
        <v>0.0</v>
      </c>
      <c r="C5" s="16">
        <v>40.0</v>
      </c>
      <c r="D5" s="16">
        <v>40.0</v>
      </c>
      <c r="E5" s="16">
        <v>40.0</v>
      </c>
      <c r="F5" s="16">
        <v>40.0</v>
      </c>
      <c r="G5" s="16">
        <v>40.0</v>
      </c>
      <c r="H5" s="16">
        <v>20.0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O5" s="17"/>
      <c r="P5" s="9"/>
      <c r="Q5" s="9"/>
      <c r="R5" s="9"/>
      <c r="S5" s="9"/>
      <c r="T5" s="9"/>
      <c r="U5" s="15"/>
      <c r="V5" s="15"/>
      <c r="W5" s="15"/>
      <c r="X5" s="15"/>
      <c r="Y5" s="15"/>
      <c r="Z5" s="15"/>
    </row>
    <row r="6" ht="17.25" customHeight="1">
      <c r="A6" s="17"/>
      <c r="B6" s="17"/>
      <c r="C6" s="17"/>
      <c r="D6" s="17" t="s">
        <v>5</v>
      </c>
      <c r="E6" s="17"/>
      <c r="F6" s="17"/>
      <c r="G6" s="17"/>
      <c r="H6" s="17"/>
      <c r="I6" s="17"/>
      <c r="J6" s="17"/>
      <c r="K6" s="17"/>
      <c r="L6" s="17"/>
      <c r="M6" s="17"/>
      <c r="O6" s="17"/>
      <c r="P6" s="9"/>
      <c r="Q6" s="9"/>
      <c r="R6" s="9"/>
      <c r="S6" s="9"/>
      <c r="T6" s="9"/>
      <c r="U6" s="15"/>
      <c r="V6" s="15"/>
      <c r="W6" s="15"/>
      <c r="X6" s="15"/>
      <c r="Y6" s="15"/>
      <c r="Z6" s="15"/>
    </row>
    <row r="7" ht="17.25" customHeight="1">
      <c r="A7" s="18" t="s">
        <v>6</v>
      </c>
      <c r="B7" s="19">
        <v>0.0</v>
      </c>
      <c r="C7" s="20">
        <f t="shared" ref="C7:M7" si="2">C14*C13</f>
        <v>4149600</v>
      </c>
      <c r="D7" s="20">
        <f t="shared" si="2"/>
        <v>4149600</v>
      </c>
      <c r="E7" s="20">
        <f t="shared" si="2"/>
        <v>3890250</v>
      </c>
      <c r="F7" s="20">
        <f t="shared" si="2"/>
        <v>3630900</v>
      </c>
      <c r="G7" s="20">
        <f t="shared" si="2"/>
        <v>4408950</v>
      </c>
      <c r="H7" s="20">
        <f t="shared" si="2"/>
        <v>2374050</v>
      </c>
      <c r="I7" s="20">
        <f t="shared" si="2"/>
        <v>0</v>
      </c>
      <c r="J7" s="20">
        <f t="shared" si="2"/>
        <v>0</v>
      </c>
      <c r="K7" s="20">
        <f t="shared" si="2"/>
        <v>0</v>
      </c>
      <c r="L7" s="20">
        <f t="shared" si="2"/>
        <v>0</v>
      </c>
      <c r="M7" s="20">
        <f t="shared" si="2"/>
        <v>0</v>
      </c>
      <c r="O7" s="20">
        <f t="shared" ref="O7:O8" si="4">SUM(B7:M7)</f>
        <v>22603350</v>
      </c>
      <c r="P7" s="9"/>
      <c r="Q7" s="9"/>
      <c r="R7" s="9"/>
      <c r="S7" s="9"/>
      <c r="T7" s="9"/>
      <c r="U7" s="21"/>
      <c r="V7" s="21"/>
      <c r="W7" s="21"/>
      <c r="X7" s="21"/>
      <c r="Y7" s="21"/>
      <c r="Z7" s="21"/>
    </row>
    <row r="8" ht="17.25" customHeight="1">
      <c r="A8" s="22" t="s">
        <v>56</v>
      </c>
      <c r="B8" s="23"/>
      <c r="C8" s="23">
        <f t="shared" ref="C8:H8" si="3">350000*30</f>
        <v>10500000</v>
      </c>
      <c r="D8" s="23">
        <f t="shared" si="3"/>
        <v>10500000</v>
      </c>
      <c r="E8" s="23">
        <f t="shared" si="3"/>
        <v>10500000</v>
      </c>
      <c r="F8" s="23">
        <f t="shared" si="3"/>
        <v>10500000</v>
      </c>
      <c r="G8" s="23">
        <f t="shared" si="3"/>
        <v>10500000</v>
      </c>
      <c r="H8" s="23">
        <f t="shared" si="3"/>
        <v>10500000</v>
      </c>
      <c r="I8" s="23"/>
      <c r="J8" s="23"/>
      <c r="K8" s="23"/>
      <c r="L8" s="23"/>
      <c r="M8" s="23"/>
      <c r="O8" s="24">
        <f t="shared" si="4"/>
        <v>63000000</v>
      </c>
      <c r="P8" s="9"/>
      <c r="Q8" s="9"/>
      <c r="R8" s="9"/>
      <c r="S8" s="9"/>
      <c r="T8" s="9"/>
      <c r="U8" s="15"/>
      <c r="V8" s="15"/>
      <c r="W8" s="15"/>
      <c r="X8" s="15"/>
      <c r="Y8" s="15"/>
      <c r="Z8" s="15"/>
    </row>
    <row r="9" ht="17.25" customHeight="1">
      <c r="A9" s="22" t="s">
        <v>57</v>
      </c>
      <c r="B9" s="25"/>
      <c r="C9" s="26">
        <v>0.13</v>
      </c>
      <c r="D9" s="26">
        <v>0.13</v>
      </c>
      <c r="E9" s="26">
        <v>0.13</v>
      </c>
      <c r="F9" s="26">
        <v>0.13</v>
      </c>
      <c r="G9" s="26">
        <v>0.13</v>
      </c>
      <c r="H9" s="26">
        <v>0.07</v>
      </c>
      <c r="I9" s="27"/>
      <c r="J9" s="27"/>
      <c r="K9" s="27"/>
      <c r="L9" s="27"/>
      <c r="M9" s="27"/>
      <c r="O9" s="17"/>
      <c r="P9" s="9"/>
      <c r="Q9" s="9"/>
      <c r="R9" s="9"/>
      <c r="S9" s="9"/>
      <c r="T9" s="9"/>
      <c r="U9" s="15"/>
      <c r="V9" s="15"/>
      <c r="W9" s="15"/>
      <c r="X9" s="15"/>
      <c r="Y9" s="15"/>
      <c r="Z9" s="15"/>
    </row>
    <row r="10" ht="17.25" customHeight="1">
      <c r="A10" s="22" t="s">
        <v>58</v>
      </c>
      <c r="B10" s="28"/>
      <c r="C10" s="29">
        <f t="shared" ref="C10:H10" si="5">C9/C5*C8</f>
        <v>34125</v>
      </c>
      <c r="D10" s="29">
        <f t="shared" si="5"/>
        <v>34125</v>
      </c>
      <c r="E10" s="29">
        <f t="shared" si="5"/>
        <v>34125</v>
      </c>
      <c r="F10" s="29">
        <f t="shared" si="5"/>
        <v>34125</v>
      </c>
      <c r="G10" s="29">
        <f t="shared" si="5"/>
        <v>34125</v>
      </c>
      <c r="H10" s="29">
        <f t="shared" si="5"/>
        <v>36750</v>
      </c>
      <c r="I10" s="27"/>
      <c r="J10" s="27"/>
      <c r="K10" s="27"/>
      <c r="L10" s="27"/>
      <c r="M10" s="27"/>
      <c r="O10" s="17"/>
      <c r="P10" s="9"/>
      <c r="Q10" s="9"/>
      <c r="R10" s="9"/>
      <c r="S10" s="9"/>
      <c r="T10" s="9"/>
      <c r="U10" s="15"/>
      <c r="V10" s="15"/>
      <c r="W10" s="15"/>
      <c r="X10" s="15"/>
      <c r="Y10" s="15"/>
      <c r="Z10" s="15"/>
    </row>
    <row r="11" ht="17.25" customHeight="1">
      <c r="A11" s="22" t="s">
        <v>10</v>
      </c>
      <c r="B11" s="30"/>
      <c r="C11" s="30">
        <f t="shared" ref="C11:H11" si="6">C8*C9</f>
        <v>1365000</v>
      </c>
      <c r="D11" s="30">
        <f t="shared" si="6"/>
        <v>1365000</v>
      </c>
      <c r="E11" s="30">
        <f t="shared" si="6"/>
        <v>1365000</v>
      </c>
      <c r="F11" s="30">
        <f t="shared" si="6"/>
        <v>1365000</v>
      </c>
      <c r="G11" s="30">
        <f t="shared" si="6"/>
        <v>1365000</v>
      </c>
      <c r="H11" s="30">
        <f t="shared" si="6"/>
        <v>735000</v>
      </c>
      <c r="I11" s="30"/>
      <c r="J11" s="30"/>
      <c r="K11" s="30"/>
      <c r="L11" s="30"/>
      <c r="M11" s="30"/>
      <c r="O11" s="24">
        <f>SUM(B11:M11)</f>
        <v>7560000</v>
      </c>
      <c r="P11" s="9"/>
      <c r="Q11" s="9"/>
      <c r="R11" s="9"/>
      <c r="S11" s="9"/>
      <c r="T11" s="9"/>
      <c r="U11" s="15"/>
      <c r="V11" s="15"/>
      <c r="W11" s="15"/>
      <c r="X11" s="15"/>
      <c r="Y11" s="15"/>
      <c r="Z11" s="15"/>
    </row>
    <row r="12" ht="17.25" customHeight="1">
      <c r="A12" s="22" t="s">
        <v>11</v>
      </c>
      <c r="B12" s="28"/>
      <c r="C12" s="31">
        <v>0.016</v>
      </c>
      <c r="D12" s="31">
        <v>0.016</v>
      </c>
      <c r="E12" s="31">
        <v>0.015</v>
      </c>
      <c r="F12" s="31">
        <v>0.014</v>
      </c>
      <c r="G12" s="31">
        <v>0.017</v>
      </c>
      <c r="H12" s="31">
        <v>0.017</v>
      </c>
      <c r="I12" s="28"/>
      <c r="J12" s="28"/>
      <c r="K12" s="28"/>
      <c r="L12" s="28"/>
      <c r="M12" s="28"/>
      <c r="O12" s="17"/>
      <c r="P12" s="9"/>
      <c r="Q12" s="9"/>
      <c r="R12" s="9"/>
      <c r="S12" s="9"/>
      <c r="T12" s="9"/>
      <c r="U12" s="15"/>
      <c r="V12" s="15"/>
      <c r="W12" s="15"/>
      <c r="X12" s="15"/>
      <c r="Y12" s="15"/>
      <c r="Z12" s="15"/>
    </row>
    <row r="13" ht="17.25" customHeight="1">
      <c r="A13" s="22" t="s">
        <v>59</v>
      </c>
      <c r="B13" s="23"/>
      <c r="C13" s="32">
        <v>190.0</v>
      </c>
      <c r="D13" s="32">
        <v>190.0</v>
      </c>
      <c r="E13" s="32">
        <v>190.0</v>
      </c>
      <c r="F13" s="32">
        <v>190.0</v>
      </c>
      <c r="G13" s="32">
        <v>190.0</v>
      </c>
      <c r="H13" s="32">
        <v>190.0</v>
      </c>
      <c r="I13" s="23"/>
      <c r="J13" s="23"/>
      <c r="K13" s="23"/>
      <c r="L13" s="23"/>
      <c r="M13" s="23"/>
      <c r="O13" s="17"/>
      <c r="P13" s="9"/>
      <c r="Q13" s="9"/>
      <c r="R13" s="9"/>
      <c r="S13" s="9"/>
      <c r="T13" s="9"/>
      <c r="U13" s="15"/>
      <c r="V13" s="15"/>
      <c r="W13" s="15"/>
      <c r="X13" s="15"/>
      <c r="Y13" s="15"/>
      <c r="Z13" s="15"/>
    </row>
    <row r="14" ht="17.25" customHeight="1">
      <c r="A14" s="22" t="s">
        <v>60</v>
      </c>
      <c r="B14" s="23"/>
      <c r="C14" s="30">
        <f t="shared" ref="C14:H14" si="7">C11*C12</f>
        <v>21840</v>
      </c>
      <c r="D14" s="30">
        <f t="shared" si="7"/>
        <v>21840</v>
      </c>
      <c r="E14" s="30">
        <f t="shared" si="7"/>
        <v>20475</v>
      </c>
      <c r="F14" s="30">
        <f t="shared" si="7"/>
        <v>19110</v>
      </c>
      <c r="G14" s="30">
        <f t="shared" si="7"/>
        <v>23205</v>
      </c>
      <c r="H14" s="30">
        <f t="shared" si="7"/>
        <v>12495</v>
      </c>
      <c r="I14" s="30"/>
      <c r="J14" s="30"/>
      <c r="K14" s="30"/>
      <c r="L14" s="30"/>
      <c r="M14" s="30"/>
      <c r="O14" s="24">
        <f>SUM(B14:M14)</f>
        <v>118965</v>
      </c>
      <c r="P14" s="9"/>
      <c r="Q14" s="9"/>
      <c r="R14" s="9"/>
      <c r="S14" s="9"/>
      <c r="T14" s="9"/>
      <c r="U14" s="15"/>
      <c r="V14" s="15"/>
      <c r="W14" s="15"/>
      <c r="X14" s="15"/>
      <c r="Y14" s="15"/>
      <c r="Z14" s="15"/>
    </row>
    <row r="15" ht="17.25" customHeight="1">
      <c r="A15" s="22" t="s">
        <v>14</v>
      </c>
      <c r="B15" s="23"/>
      <c r="C15" s="33">
        <f t="shared" ref="C15:H15" si="8">C14/30</f>
        <v>728</v>
      </c>
      <c r="D15" s="33">
        <f t="shared" si="8"/>
        <v>728</v>
      </c>
      <c r="E15" s="33">
        <f t="shared" si="8"/>
        <v>682.5</v>
      </c>
      <c r="F15" s="33">
        <f t="shared" si="8"/>
        <v>637</v>
      </c>
      <c r="G15" s="33">
        <f t="shared" si="8"/>
        <v>773.5</v>
      </c>
      <c r="H15" s="33">
        <f t="shared" si="8"/>
        <v>416.5</v>
      </c>
      <c r="I15" s="23"/>
      <c r="J15" s="23"/>
      <c r="K15" s="23"/>
      <c r="L15" s="23"/>
      <c r="M15" s="23"/>
      <c r="O15" s="17"/>
      <c r="P15" s="9"/>
      <c r="Q15" s="9"/>
      <c r="R15" s="9"/>
      <c r="S15" s="9"/>
      <c r="T15" s="9"/>
      <c r="U15" s="15"/>
      <c r="V15" s="15"/>
      <c r="W15" s="15"/>
      <c r="X15" s="15"/>
      <c r="Y15" s="15"/>
      <c r="Z15" s="15"/>
    </row>
    <row r="16" ht="17.25" customHeight="1">
      <c r="A16" s="22" t="s">
        <v>15</v>
      </c>
      <c r="B16" s="34"/>
      <c r="C16" s="34">
        <f t="shared" ref="C16:H16" si="9">C15/C5</f>
        <v>18.2</v>
      </c>
      <c r="D16" s="34">
        <f t="shared" si="9"/>
        <v>18.2</v>
      </c>
      <c r="E16" s="34">
        <f t="shared" si="9"/>
        <v>17.0625</v>
      </c>
      <c r="F16" s="34">
        <f t="shared" si="9"/>
        <v>15.925</v>
      </c>
      <c r="G16" s="34">
        <f t="shared" si="9"/>
        <v>19.3375</v>
      </c>
      <c r="H16" s="34">
        <f t="shared" si="9"/>
        <v>20.825</v>
      </c>
      <c r="I16" s="34"/>
      <c r="J16" s="34"/>
      <c r="K16" s="34"/>
      <c r="L16" s="34"/>
      <c r="M16" s="34"/>
      <c r="O16" s="17"/>
      <c r="P16" s="9"/>
      <c r="Q16" s="9"/>
      <c r="R16" s="9"/>
      <c r="S16" s="9"/>
      <c r="T16" s="9"/>
      <c r="U16" s="15"/>
      <c r="V16" s="15"/>
      <c r="W16" s="15"/>
      <c r="X16" s="15"/>
      <c r="Y16" s="15"/>
      <c r="Z16" s="15"/>
    </row>
    <row r="17" ht="17.25" customHeight="1">
      <c r="A17" s="3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O17" s="24"/>
      <c r="P17" s="9"/>
      <c r="Q17" s="9"/>
      <c r="R17" s="9"/>
      <c r="S17" s="9"/>
      <c r="T17" s="9"/>
      <c r="U17" s="15"/>
      <c r="V17" s="15"/>
      <c r="W17" s="15"/>
      <c r="X17" s="15"/>
      <c r="Y17" s="15"/>
      <c r="Z17" s="15"/>
    </row>
    <row r="18" ht="17.25" customHeight="1">
      <c r="A18" s="36" t="s">
        <v>16</v>
      </c>
      <c r="B18" s="37">
        <f t="shared" ref="B18:M18" si="10">SUM(B19:B28)</f>
        <v>2600000</v>
      </c>
      <c r="C18" s="37">
        <f t="shared" si="10"/>
        <v>3042390.4</v>
      </c>
      <c r="D18" s="37">
        <f t="shared" si="10"/>
        <v>3042390.4</v>
      </c>
      <c r="E18" s="37">
        <f t="shared" si="10"/>
        <v>2974741</v>
      </c>
      <c r="F18" s="37">
        <f t="shared" si="10"/>
        <v>2907091.6</v>
      </c>
      <c r="G18" s="37">
        <f t="shared" si="10"/>
        <v>2450039.8</v>
      </c>
      <c r="H18" s="37">
        <f t="shared" si="10"/>
        <v>1219252.2</v>
      </c>
      <c r="I18" s="37">
        <f t="shared" si="10"/>
        <v>60000</v>
      </c>
      <c r="J18" s="37">
        <f t="shared" si="10"/>
        <v>60000</v>
      </c>
      <c r="K18" s="37">
        <f t="shared" si="10"/>
        <v>60000</v>
      </c>
      <c r="L18" s="37">
        <f t="shared" si="10"/>
        <v>60000</v>
      </c>
      <c r="M18" s="37">
        <f t="shared" si="10"/>
        <v>60000</v>
      </c>
      <c r="O18" s="37">
        <f>SUM(O19:O29)</f>
        <v>19146022.09</v>
      </c>
      <c r="P18" s="9"/>
      <c r="Q18" s="9"/>
      <c r="R18" s="9"/>
      <c r="S18" s="9"/>
      <c r="T18" s="9"/>
      <c r="U18" s="21"/>
      <c r="V18" s="21"/>
      <c r="W18" s="21"/>
      <c r="X18" s="21"/>
      <c r="Y18" s="21"/>
      <c r="Z18" s="21"/>
    </row>
    <row r="19" ht="17.25" customHeight="1">
      <c r="A19" s="22" t="s">
        <v>61</v>
      </c>
      <c r="B19" s="38">
        <f>C5*40*250</f>
        <v>400000</v>
      </c>
      <c r="C19" s="39">
        <f t="shared" ref="C19:H19" si="11">C14/10*250</f>
        <v>546000</v>
      </c>
      <c r="D19" s="39">
        <f t="shared" si="11"/>
        <v>546000</v>
      </c>
      <c r="E19" s="39">
        <f t="shared" si="11"/>
        <v>511875</v>
      </c>
      <c r="F19" s="39">
        <f t="shared" si="11"/>
        <v>477750</v>
      </c>
      <c r="G19" s="39">
        <f t="shared" si="11"/>
        <v>580125</v>
      </c>
      <c r="H19" s="39">
        <f t="shared" si="11"/>
        <v>312375</v>
      </c>
      <c r="I19" s="39">
        <f t="shared" ref="I19:M19" si="12">I14/10*240</f>
        <v>0</v>
      </c>
      <c r="J19" s="39">
        <f t="shared" si="12"/>
        <v>0</v>
      </c>
      <c r="K19" s="39">
        <f t="shared" si="12"/>
        <v>0</v>
      </c>
      <c r="L19" s="39">
        <f t="shared" si="12"/>
        <v>0</v>
      </c>
      <c r="M19" s="39">
        <f t="shared" si="12"/>
        <v>0</v>
      </c>
      <c r="O19" s="38">
        <f t="shared" ref="O19:O27" si="14">SUM(B19:M19)</f>
        <v>3374125</v>
      </c>
      <c r="P19" s="9"/>
      <c r="Q19" s="9"/>
      <c r="R19" s="9"/>
      <c r="S19" s="9"/>
      <c r="T19" s="9"/>
      <c r="U19" s="15"/>
      <c r="V19" s="15"/>
      <c r="W19" s="15"/>
      <c r="X19" s="15"/>
      <c r="Y19" s="15"/>
      <c r="Z19" s="15"/>
    </row>
    <row r="20" ht="17.25" customHeight="1">
      <c r="A20" s="22" t="s">
        <v>18</v>
      </c>
      <c r="B20" s="38">
        <f t="shared" ref="B20:M20" si="13">C5*20000</f>
        <v>800000</v>
      </c>
      <c r="C20" s="38">
        <f t="shared" si="13"/>
        <v>800000</v>
      </c>
      <c r="D20" s="38">
        <f t="shared" si="13"/>
        <v>800000</v>
      </c>
      <c r="E20" s="38">
        <f t="shared" si="13"/>
        <v>800000</v>
      </c>
      <c r="F20" s="38">
        <f t="shared" si="13"/>
        <v>800000</v>
      </c>
      <c r="G20" s="38">
        <f t="shared" si="13"/>
        <v>400000</v>
      </c>
      <c r="H20" s="38">
        <f t="shared" si="13"/>
        <v>0</v>
      </c>
      <c r="I20" s="38">
        <f t="shared" si="13"/>
        <v>0</v>
      </c>
      <c r="J20" s="38">
        <f t="shared" si="13"/>
        <v>0</v>
      </c>
      <c r="K20" s="38">
        <f t="shared" si="13"/>
        <v>0</v>
      </c>
      <c r="L20" s="38">
        <f t="shared" si="13"/>
        <v>0</v>
      </c>
      <c r="M20" s="38">
        <f t="shared" si="13"/>
        <v>0</v>
      </c>
      <c r="O20" s="38">
        <f t="shared" si="14"/>
        <v>4400000</v>
      </c>
      <c r="P20" s="9"/>
      <c r="Q20" s="9"/>
      <c r="R20" s="9"/>
      <c r="S20" s="9"/>
      <c r="T20" s="9"/>
      <c r="U20" s="15"/>
      <c r="V20" s="15"/>
      <c r="W20" s="15"/>
      <c r="X20" s="15"/>
      <c r="Y20" s="15"/>
      <c r="Z20" s="15"/>
    </row>
    <row r="21" ht="17.25" customHeight="1">
      <c r="A21" s="22" t="s">
        <v>62</v>
      </c>
      <c r="B21" s="41">
        <f t="shared" ref="B21:H21" si="15">90000*4</f>
        <v>360000</v>
      </c>
      <c r="C21" s="41">
        <f t="shared" si="15"/>
        <v>360000</v>
      </c>
      <c r="D21" s="41">
        <f t="shared" si="15"/>
        <v>360000</v>
      </c>
      <c r="E21" s="41">
        <f t="shared" si="15"/>
        <v>360000</v>
      </c>
      <c r="F21" s="41">
        <f t="shared" si="15"/>
        <v>360000</v>
      </c>
      <c r="G21" s="41">
        <f t="shared" si="15"/>
        <v>360000</v>
      </c>
      <c r="H21" s="41">
        <f t="shared" si="15"/>
        <v>360000</v>
      </c>
      <c r="I21" s="41">
        <f t="shared" ref="I21:M21" si="16">3*20000</f>
        <v>60000</v>
      </c>
      <c r="J21" s="41">
        <f t="shared" si="16"/>
        <v>60000</v>
      </c>
      <c r="K21" s="41">
        <f t="shared" si="16"/>
        <v>60000</v>
      </c>
      <c r="L21" s="41">
        <f t="shared" si="16"/>
        <v>60000</v>
      </c>
      <c r="M21" s="41">
        <f t="shared" si="16"/>
        <v>60000</v>
      </c>
      <c r="O21" s="38">
        <f t="shared" si="14"/>
        <v>2820000</v>
      </c>
      <c r="P21" s="9"/>
      <c r="Q21" s="9"/>
      <c r="R21" s="9"/>
      <c r="S21" s="9"/>
      <c r="T21" s="9"/>
      <c r="U21" s="15"/>
      <c r="V21" s="15"/>
      <c r="W21" s="15"/>
      <c r="X21" s="15"/>
      <c r="Y21" s="15"/>
      <c r="Z21" s="15"/>
    </row>
    <row r="22" ht="17.25" customHeight="1">
      <c r="A22" s="42" t="s">
        <v>20</v>
      </c>
      <c r="B22" s="41">
        <f t="shared" ref="B22:M22" si="17">C5*15000</f>
        <v>600000</v>
      </c>
      <c r="C22" s="41">
        <f t="shared" si="17"/>
        <v>600000</v>
      </c>
      <c r="D22" s="41">
        <f t="shared" si="17"/>
        <v>600000</v>
      </c>
      <c r="E22" s="41">
        <f t="shared" si="17"/>
        <v>600000</v>
      </c>
      <c r="F22" s="41">
        <f t="shared" si="17"/>
        <v>600000</v>
      </c>
      <c r="G22" s="41">
        <f t="shared" si="17"/>
        <v>300000</v>
      </c>
      <c r="H22" s="41">
        <f t="shared" si="17"/>
        <v>0</v>
      </c>
      <c r="I22" s="41">
        <f t="shared" si="17"/>
        <v>0</v>
      </c>
      <c r="J22" s="41">
        <f t="shared" si="17"/>
        <v>0</v>
      </c>
      <c r="K22" s="41">
        <f t="shared" si="17"/>
        <v>0</v>
      </c>
      <c r="L22" s="41">
        <f t="shared" si="17"/>
        <v>0</v>
      </c>
      <c r="M22" s="41">
        <f t="shared" si="17"/>
        <v>0</v>
      </c>
      <c r="O22" s="38">
        <f t="shared" si="14"/>
        <v>3300000</v>
      </c>
      <c r="P22" s="9"/>
      <c r="Q22" s="9"/>
      <c r="R22" s="9"/>
      <c r="S22" s="9"/>
      <c r="T22" s="9"/>
      <c r="U22" s="15"/>
      <c r="V22" s="15"/>
      <c r="W22" s="15"/>
      <c r="X22" s="15"/>
      <c r="Y22" s="15"/>
      <c r="Z22" s="15"/>
    </row>
    <row r="23" ht="17.25" customHeight="1">
      <c r="A23" s="43" t="s">
        <v>63</v>
      </c>
      <c r="B23" s="41">
        <v>400000.0</v>
      </c>
      <c r="C23" s="41">
        <v>80000.0</v>
      </c>
      <c r="D23" s="41">
        <v>80000.0</v>
      </c>
      <c r="E23" s="41">
        <v>80000.0</v>
      </c>
      <c r="F23" s="41">
        <v>80000.0</v>
      </c>
      <c r="G23" s="41">
        <v>80000.0</v>
      </c>
      <c r="H23" s="41">
        <v>80000.0</v>
      </c>
      <c r="I23" s="41">
        <v>0.0</v>
      </c>
      <c r="J23" s="41">
        <v>0.0</v>
      </c>
      <c r="K23" s="41">
        <v>0.0</v>
      </c>
      <c r="L23" s="41">
        <v>0.0</v>
      </c>
      <c r="M23" s="41">
        <v>0.0</v>
      </c>
      <c r="O23" s="38">
        <f t="shared" si="14"/>
        <v>880000</v>
      </c>
      <c r="P23" s="9"/>
      <c r="Q23" s="9"/>
      <c r="R23" s="9"/>
      <c r="S23" s="9"/>
      <c r="T23" s="9"/>
      <c r="U23" s="15"/>
      <c r="V23" s="15"/>
      <c r="W23" s="15"/>
      <c r="X23" s="15"/>
      <c r="Y23" s="15"/>
      <c r="Z23" s="15"/>
    </row>
    <row r="24" ht="17.25" customHeight="1">
      <c r="A24" s="43" t="s">
        <v>22</v>
      </c>
      <c r="B24" s="41">
        <f>B14/12*500</f>
        <v>0</v>
      </c>
      <c r="C24" s="41">
        <f t="shared" ref="C24:H24" si="18">C14/2*40</f>
        <v>436800</v>
      </c>
      <c r="D24" s="41">
        <f t="shared" si="18"/>
        <v>436800</v>
      </c>
      <c r="E24" s="41">
        <f t="shared" si="18"/>
        <v>409500</v>
      </c>
      <c r="F24" s="41">
        <f t="shared" si="18"/>
        <v>382200</v>
      </c>
      <c r="G24" s="41">
        <f t="shared" si="18"/>
        <v>464100</v>
      </c>
      <c r="H24" s="41">
        <f t="shared" si="18"/>
        <v>249900</v>
      </c>
      <c r="I24" s="41">
        <f t="shared" ref="I24:M24" si="19">I14/12*500</f>
        <v>0</v>
      </c>
      <c r="J24" s="41">
        <f t="shared" si="19"/>
        <v>0</v>
      </c>
      <c r="K24" s="41">
        <f t="shared" si="19"/>
        <v>0</v>
      </c>
      <c r="L24" s="41">
        <f t="shared" si="19"/>
        <v>0</v>
      </c>
      <c r="M24" s="41">
        <f t="shared" si="19"/>
        <v>0</v>
      </c>
      <c r="O24" s="38">
        <f t="shared" si="14"/>
        <v>2379300</v>
      </c>
      <c r="P24" s="9"/>
      <c r="Q24" s="9"/>
      <c r="R24" s="9"/>
      <c r="S24" s="9"/>
      <c r="T24" s="9"/>
      <c r="U24" s="15"/>
      <c r="V24" s="15"/>
      <c r="W24" s="15"/>
      <c r="X24" s="15"/>
      <c r="Y24" s="15"/>
      <c r="Z24" s="15"/>
    </row>
    <row r="25" ht="17.25" customHeight="1">
      <c r="A25" s="44" t="s">
        <v>64</v>
      </c>
      <c r="B25" s="45">
        <f t="shared" ref="B25:M25" si="20">B14*B13*2.4%</f>
        <v>0</v>
      </c>
      <c r="C25" s="45">
        <f t="shared" si="20"/>
        <v>99590.4</v>
      </c>
      <c r="D25" s="45">
        <f t="shared" si="20"/>
        <v>99590.4</v>
      </c>
      <c r="E25" s="45">
        <f t="shared" si="20"/>
        <v>93366</v>
      </c>
      <c r="F25" s="45">
        <f t="shared" si="20"/>
        <v>87141.6</v>
      </c>
      <c r="G25" s="45">
        <f t="shared" si="20"/>
        <v>105814.8</v>
      </c>
      <c r="H25" s="45">
        <f t="shared" si="20"/>
        <v>56977.2</v>
      </c>
      <c r="I25" s="45">
        <f t="shared" si="20"/>
        <v>0</v>
      </c>
      <c r="J25" s="45">
        <f t="shared" si="20"/>
        <v>0</v>
      </c>
      <c r="K25" s="45">
        <f t="shared" si="20"/>
        <v>0</v>
      </c>
      <c r="L25" s="45">
        <f t="shared" si="20"/>
        <v>0</v>
      </c>
      <c r="M25" s="45">
        <f t="shared" si="20"/>
        <v>0</v>
      </c>
      <c r="O25" s="38">
        <f t="shared" si="14"/>
        <v>542480.4</v>
      </c>
      <c r="P25" s="9"/>
      <c r="Q25" s="9"/>
      <c r="R25" s="9"/>
      <c r="S25" s="9"/>
      <c r="T25" s="9"/>
      <c r="U25" s="15"/>
      <c r="V25" s="15"/>
      <c r="W25" s="15"/>
      <c r="X25" s="15"/>
      <c r="Y25" s="15"/>
      <c r="Z25" s="15"/>
    </row>
    <row r="26" ht="17.25" customHeight="1">
      <c r="A26" s="44" t="s">
        <v>65</v>
      </c>
      <c r="B26" s="41">
        <v>40000.0</v>
      </c>
      <c r="C26" s="41"/>
      <c r="D26" s="45"/>
      <c r="E26" s="45"/>
      <c r="F26" s="45"/>
      <c r="G26" s="41">
        <v>40000.0</v>
      </c>
      <c r="H26" s="41">
        <v>40000.0</v>
      </c>
      <c r="I26" s="45"/>
      <c r="J26" s="45"/>
      <c r="K26" s="45"/>
      <c r="L26" s="45"/>
      <c r="M26" s="41"/>
      <c r="O26" s="38">
        <f t="shared" si="14"/>
        <v>120000</v>
      </c>
      <c r="P26" s="9"/>
      <c r="Q26" s="9"/>
      <c r="R26" s="9"/>
      <c r="S26" s="9"/>
      <c r="T26" s="9"/>
      <c r="U26" s="15"/>
      <c r="V26" s="15"/>
      <c r="W26" s="15"/>
      <c r="X26" s="15"/>
      <c r="Y26" s="15"/>
      <c r="Z26" s="15"/>
    </row>
    <row r="27" ht="17.25" customHeight="1">
      <c r="A27" s="43" t="s">
        <v>25</v>
      </c>
      <c r="B27" s="41"/>
      <c r="C27" s="41">
        <f t="shared" ref="C27:H27" si="21">1000*2*30*2</f>
        <v>120000</v>
      </c>
      <c r="D27" s="41">
        <f t="shared" si="21"/>
        <v>120000</v>
      </c>
      <c r="E27" s="41">
        <f t="shared" si="21"/>
        <v>120000</v>
      </c>
      <c r="F27" s="41">
        <f t="shared" si="21"/>
        <v>120000</v>
      </c>
      <c r="G27" s="41">
        <f t="shared" si="21"/>
        <v>120000</v>
      </c>
      <c r="H27" s="41">
        <f t="shared" si="21"/>
        <v>120000</v>
      </c>
      <c r="I27" s="41"/>
      <c r="J27" s="45"/>
      <c r="K27" s="45"/>
      <c r="L27" s="45"/>
      <c r="M27" s="41"/>
      <c r="O27" s="38">
        <f t="shared" si="14"/>
        <v>720000</v>
      </c>
      <c r="P27" s="9"/>
      <c r="Q27" s="9"/>
      <c r="R27" s="9"/>
      <c r="S27" s="9"/>
      <c r="T27" s="9"/>
      <c r="U27" s="15"/>
      <c r="V27" s="15"/>
      <c r="W27" s="15"/>
      <c r="X27" s="15"/>
      <c r="Y27" s="15"/>
      <c r="Z27" s="15"/>
    </row>
    <row r="28" ht="17.25" customHeight="1">
      <c r="A28" s="43" t="s">
        <v>66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O28" s="38">
        <f>(O7-SUM(O19:O27))*15%</f>
        <v>610116.69</v>
      </c>
      <c r="P28" s="9"/>
      <c r="Q28" s="9"/>
      <c r="R28" s="9"/>
      <c r="S28" s="9"/>
      <c r="T28" s="9"/>
      <c r="U28" s="15"/>
      <c r="V28" s="15"/>
      <c r="W28" s="15"/>
      <c r="X28" s="15"/>
      <c r="Y28" s="15"/>
      <c r="Z28" s="15"/>
    </row>
    <row r="29" ht="17.25" customHeight="1">
      <c r="A29" s="43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O29" s="38"/>
      <c r="P29" s="9"/>
      <c r="Q29" s="9"/>
      <c r="R29" s="9"/>
      <c r="S29" s="9"/>
      <c r="T29" s="9"/>
      <c r="U29" s="15"/>
      <c r="V29" s="15"/>
      <c r="W29" s="15"/>
      <c r="X29" s="15"/>
      <c r="Y29" s="15"/>
      <c r="Z29" s="15"/>
    </row>
    <row r="30" ht="17.25" customHeight="1">
      <c r="A30" s="36" t="s">
        <v>27</v>
      </c>
      <c r="B30" s="37">
        <f t="shared" ref="B30:M30" si="22">B20+B21+B22+B23+B26</f>
        <v>2200000</v>
      </c>
      <c r="C30" s="37">
        <f t="shared" si="22"/>
        <v>1840000</v>
      </c>
      <c r="D30" s="37">
        <f t="shared" si="22"/>
        <v>1840000</v>
      </c>
      <c r="E30" s="37">
        <f t="shared" si="22"/>
        <v>1840000</v>
      </c>
      <c r="F30" s="37">
        <f t="shared" si="22"/>
        <v>1840000</v>
      </c>
      <c r="G30" s="37">
        <f t="shared" si="22"/>
        <v>1180000</v>
      </c>
      <c r="H30" s="37">
        <f t="shared" si="22"/>
        <v>480000</v>
      </c>
      <c r="I30" s="37">
        <f t="shared" si="22"/>
        <v>60000</v>
      </c>
      <c r="J30" s="37">
        <f t="shared" si="22"/>
        <v>60000</v>
      </c>
      <c r="K30" s="37">
        <f t="shared" si="22"/>
        <v>60000</v>
      </c>
      <c r="L30" s="37">
        <f t="shared" si="22"/>
        <v>60000</v>
      </c>
      <c r="M30" s="37">
        <f t="shared" si="22"/>
        <v>60000</v>
      </c>
      <c r="O30" s="37">
        <f>SUM(B30:M30)</f>
        <v>11520000</v>
      </c>
      <c r="P30" s="9"/>
      <c r="Q30" s="9"/>
      <c r="R30" s="9"/>
      <c r="S30" s="9"/>
      <c r="T30" s="9"/>
      <c r="U30" s="15"/>
      <c r="V30" s="15"/>
      <c r="W30" s="15"/>
      <c r="X30" s="15"/>
      <c r="Y30" s="15"/>
      <c r="Z30" s="15"/>
    </row>
    <row r="31" ht="17.25" customHeight="1">
      <c r="A31" s="36" t="s">
        <v>28</v>
      </c>
      <c r="B31" s="37">
        <f t="shared" ref="B31:M31" si="23">IFERROR((B19+B24+B25+B27)/B14,0)</f>
        <v>0</v>
      </c>
      <c r="C31" s="37">
        <f t="shared" si="23"/>
        <v>55.05450549</v>
      </c>
      <c r="D31" s="37">
        <f t="shared" si="23"/>
        <v>55.05450549</v>
      </c>
      <c r="E31" s="37">
        <f t="shared" si="23"/>
        <v>55.42080586</v>
      </c>
      <c r="F31" s="37">
        <f t="shared" si="23"/>
        <v>55.83943485</v>
      </c>
      <c r="G31" s="37">
        <f t="shared" si="23"/>
        <v>54.73129929</v>
      </c>
      <c r="H31" s="37">
        <f t="shared" si="23"/>
        <v>59.16384154</v>
      </c>
      <c r="I31" s="37">
        <f t="shared" si="23"/>
        <v>0</v>
      </c>
      <c r="J31" s="37">
        <f t="shared" si="23"/>
        <v>0</v>
      </c>
      <c r="K31" s="37">
        <f t="shared" si="23"/>
        <v>0</v>
      </c>
      <c r="L31" s="37">
        <f t="shared" si="23"/>
        <v>0</v>
      </c>
      <c r="M31" s="37">
        <f t="shared" si="23"/>
        <v>0</v>
      </c>
      <c r="O31" s="37">
        <f>O18-O30</f>
        <v>7626022.09</v>
      </c>
      <c r="P31" s="9"/>
      <c r="Q31" s="9"/>
      <c r="R31" s="9"/>
      <c r="S31" s="9"/>
      <c r="T31" s="9"/>
      <c r="U31" s="15"/>
      <c r="V31" s="15"/>
      <c r="W31" s="15"/>
      <c r="X31" s="15"/>
      <c r="Y31" s="15"/>
      <c r="Z31" s="15"/>
    </row>
    <row r="32" ht="17.25" customHeight="1">
      <c r="A32" s="47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O32" s="24"/>
      <c r="P32" s="9"/>
      <c r="Q32" s="9"/>
      <c r="R32" s="9"/>
      <c r="S32" s="9"/>
      <c r="T32" s="9"/>
      <c r="U32" s="15"/>
      <c r="V32" s="15"/>
      <c r="W32" s="15"/>
      <c r="X32" s="15"/>
      <c r="Y32" s="15"/>
      <c r="Z32" s="15"/>
    </row>
    <row r="33" ht="17.25" customHeight="1">
      <c r="A33" s="48" t="s">
        <v>29</v>
      </c>
      <c r="B33" s="49">
        <f t="shared" ref="B33:M33" si="24">B7-B18</f>
        <v>-2600000</v>
      </c>
      <c r="C33" s="49">
        <f t="shared" si="24"/>
        <v>1107209.6</v>
      </c>
      <c r="D33" s="49">
        <f t="shared" si="24"/>
        <v>1107209.6</v>
      </c>
      <c r="E33" s="49">
        <f t="shared" si="24"/>
        <v>915509</v>
      </c>
      <c r="F33" s="49">
        <f t="shared" si="24"/>
        <v>723808.4</v>
      </c>
      <c r="G33" s="49">
        <f t="shared" si="24"/>
        <v>1958910.2</v>
      </c>
      <c r="H33" s="49">
        <f t="shared" si="24"/>
        <v>1154797.8</v>
      </c>
      <c r="I33" s="49">
        <f t="shared" si="24"/>
        <v>-60000</v>
      </c>
      <c r="J33" s="49">
        <f t="shared" si="24"/>
        <v>-60000</v>
      </c>
      <c r="K33" s="49">
        <f t="shared" si="24"/>
        <v>-60000</v>
      </c>
      <c r="L33" s="50">
        <f t="shared" si="24"/>
        <v>-60000</v>
      </c>
      <c r="M33" s="50">
        <f t="shared" si="24"/>
        <v>-60000</v>
      </c>
      <c r="O33" s="50">
        <f>O7-O18</f>
        <v>3457327.91</v>
      </c>
      <c r="P33" s="9"/>
      <c r="Q33" s="9"/>
      <c r="R33" s="9"/>
      <c r="S33" s="9"/>
      <c r="T33" s="9"/>
      <c r="U33" s="51"/>
      <c r="V33" s="51"/>
      <c r="W33" s="51"/>
      <c r="X33" s="51"/>
      <c r="Y33" s="51"/>
      <c r="Z33" s="51"/>
    </row>
    <row r="34" ht="17.25" customHeight="1">
      <c r="A34" s="43" t="s">
        <v>67</v>
      </c>
      <c r="B34" s="52"/>
      <c r="C34" s="52">
        <f t="shared" ref="C34:M34" si="25">C33/C7*100%</f>
        <v>0.2668232119</v>
      </c>
      <c r="D34" s="52">
        <f t="shared" si="25"/>
        <v>0.2668232119</v>
      </c>
      <c r="E34" s="52">
        <f t="shared" si="25"/>
        <v>0.235334233</v>
      </c>
      <c r="F34" s="52">
        <f t="shared" si="25"/>
        <v>0.1993468286</v>
      </c>
      <c r="G34" s="52">
        <f t="shared" si="25"/>
        <v>0.4443031107</v>
      </c>
      <c r="H34" s="52">
        <f t="shared" si="25"/>
        <v>0.4864252227</v>
      </c>
      <c r="I34" s="52" t="str">
        <f t="shared" si="25"/>
        <v>#DIV/0!</v>
      </c>
      <c r="J34" s="52" t="str">
        <f t="shared" si="25"/>
        <v>#DIV/0!</v>
      </c>
      <c r="K34" s="52" t="str">
        <f t="shared" si="25"/>
        <v>#DIV/0!</v>
      </c>
      <c r="L34" s="52" t="str">
        <f t="shared" si="25"/>
        <v>#DIV/0!</v>
      </c>
      <c r="M34" s="52" t="str">
        <f t="shared" si="25"/>
        <v>#DIV/0!</v>
      </c>
      <c r="O34" s="52">
        <f>O33/O7*100%</f>
        <v>0.1529564383</v>
      </c>
      <c r="P34" s="9"/>
      <c r="Q34" s="9"/>
      <c r="R34" s="9"/>
      <c r="S34" s="9"/>
      <c r="T34" s="9"/>
      <c r="U34" s="15"/>
      <c r="V34" s="15"/>
      <c r="W34" s="15"/>
      <c r="X34" s="15"/>
      <c r="Y34" s="15"/>
      <c r="Z34" s="15"/>
    </row>
    <row r="35" ht="17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O35" s="17"/>
      <c r="P35" s="9"/>
      <c r="Q35" s="9"/>
      <c r="R35" s="9"/>
      <c r="S35" s="9"/>
      <c r="T35" s="9"/>
      <c r="U35" s="15"/>
      <c r="V35" s="15"/>
      <c r="W35" s="15"/>
      <c r="X35" s="15"/>
      <c r="Y35" s="15"/>
      <c r="Z35" s="15"/>
    </row>
    <row r="36" ht="17.2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O36" s="53"/>
      <c r="P36" s="9"/>
      <c r="Q36" s="9"/>
      <c r="R36" s="9"/>
      <c r="S36" s="9"/>
      <c r="T36" s="9"/>
      <c r="U36" s="3"/>
      <c r="V36" s="3"/>
      <c r="W36" s="3"/>
      <c r="X36" s="3"/>
      <c r="Y36" s="3"/>
      <c r="Z36" s="3"/>
    </row>
    <row r="37" ht="17.25" customHeight="1">
      <c r="A37" s="54" t="s">
        <v>31</v>
      </c>
      <c r="B37" s="11">
        <f t="shared" ref="B37:M37" si="26">IFERROR(B30/(B13-B31)*B13,B30)</f>
        <v>2200000</v>
      </c>
      <c r="C37" s="11">
        <f t="shared" si="26"/>
        <v>2590675.6</v>
      </c>
      <c r="D37" s="11">
        <f t="shared" si="26"/>
        <v>2590675.6</v>
      </c>
      <c r="E37" s="11">
        <f t="shared" si="26"/>
        <v>2597726.954</v>
      </c>
      <c r="F37" s="11">
        <f t="shared" si="26"/>
        <v>2605832.792</v>
      </c>
      <c r="G37" s="11">
        <f t="shared" si="26"/>
        <v>1657441.809</v>
      </c>
      <c r="H37" s="11">
        <f t="shared" si="26"/>
        <v>697055.0119</v>
      </c>
      <c r="I37" s="11">
        <f t="shared" si="26"/>
        <v>60000</v>
      </c>
      <c r="J37" s="11">
        <f t="shared" si="26"/>
        <v>60000</v>
      </c>
      <c r="K37" s="11">
        <f t="shared" si="26"/>
        <v>60000</v>
      </c>
      <c r="L37" s="11">
        <f t="shared" si="26"/>
        <v>60000</v>
      </c>
      <c r="M37" s="11">
        <f t="shared" si="26"/>
        <v>60000</v>
      </c>
      <c r="O37" s="11">
        <f>SUM(B37:M37)</f>
        <v>15239407.77</v>
      </c>
      <c r="P37" s="9"/>
      <c r="Q37" s="9"/>
      <c r="R37" s="9"/>
      <c r="S37" s="9"/>
      <c r="T37" s="9"/>
      <c r="U37" s="3"/>
      <c r="V37" s="3"/>
      <c r="W37" s="3"/>
      <c r="X37" s="3"/>
      <c r="Y37" s="3"/>
      <c r="Z37" s="3"/>
    </row>
    <row r="38" ht="17.25" customHeight="1">
      <c r="A38" s="43" t="s">
        <v>32</v>
      </c>
      <c r="B38" s="55" t="str">
        <f t="shared" ref="B38:M38" si="27">B37/B13</f>
        <v>#DIV/0!</v>
      </c>
      <c r="C38" s="55">
        <f t="shared" si="27"/>
        <v>13635.13474</v>
      </c>
      <c r="D38" s="55">
        <f t="shared" si="27"/>
        <v>13635.13474</v>
      </c>
      <c r="E38" s="55">
        <f t="shared" si="27"/>
        <v>13672.24712</v>
      </c>
      <c r="F38" s="55">
        <f t="shared" si="27"/>
        <v>13714.90943</v>
      </c>
      <c r="G38" s="55">
        <f t="shared" si="27"/>
        <v>8723.377942</v>
      </c>
      <c r="H38" s="55">
        <f t="shared" si="27"/>
        <v>3668.710589</v>
      </c>
      <c r="I38" s="55" t="str">
        <f t="shared" si="27"/>
        <v>#DIV/0!</v>
      </c>
      <c r="J38" s="55" t="str">
        <f t="shared" si="27"/>
        <v>#DIV/0!</v>
      </c>
      <c r="K38" s="55" t="str">
        <f t="shared" si="27"/>
        <v>#DIV/0!</v>
      </c>
      <c r="L38" s="55" t="str">
        <f t="shared" si="27"/>
        <v>#DIV/0!</v>
      </c>
      <c r="M38" s="55" t="str">
        <f t="shared" si="27"/>
        <v>#DIV/0!</v>
      </c>
      <c r="O38" s="55" t="s">
        <v>33</v>
      </c>
      <c r="P38" s="55">
        <f>O37/AVERAGE(B13:M13)</f>
        <v>80207.4093</v>
      </c>
      <c r="Q38" s="9"/>
      <c r="R38" s="9"/>
      <c r="S38" s="9"/>
      <c r="T38" s="9"/>
      <c r="U38" s="3"/>
      <c r="V38" s="3"/>
      <c r="W38" s="3"/>
      <c r="X38" s="3"/>
      <c r="Y38" s="3"/>
      <c r="Z38" s="3"/>
    </row>
    <row r="39" ht="17.25" customHeight="1">
      <c r="A39" s="43" t="s">
        <v>34</v>
      </c>
      <c r="B39" s="55" t="str">
        <f t="shared" ref="B39:M39" si="28">B38/30</f>
        <v>#DIV/0!</v>
      </c>
      <c r="C39" s="55">
        <f t="shared" si="28"/>
        <v>454.5044913</v>
      </c>
      <c r="D39" s="55">
        <f t="shared" si="28"/>
        <v>454.5044913</v>
      </c>
      <c r="E39" s="55">
        <f t="shared" si="28"/>
        <v>455.7415708</v>
      </c>
      <c r="F39" s="55">
        <f t="shared" si="28"/>
        <v>457.1636476</v>
      </c>
      <c r="G39" s="55">
        <f t="shared" si="28"/>
        <v>290.7792647</v>
      </c>
      <c r="H39" s="55">
        <f t="shared" si="28"/>
        <v>122.290353</v>
      </c>
      <c r="I39" s="55" t="str">
        <f t="shared" si="28"/>
        <v>#DIV/0!</v>
      </c>
      <c r="J39" s="55" t="str">
        <f t="shared" si="28"/>
        <v>#DIV/0!</v>
      </c>
      <c r="K39" s="55" t="str">
        <f t="shared" si="28"/>
        <v>#DIV/0!</v>
      </c>
      <c r="L39" s="55" t="str">
        <f t="shared" si="28"/>
        <v>#DIV/0!</v>
      </c>
      <c r="M39" s="55" t="str">
        <f t="shared" si="28"/>
        <v>#DIV/0!</v>
      </c>
      <c r="O39" s="55" t="s">
        <v>35</v>
      </c>
      <c r="P39" s="55">
        <f>P38/(DAYS(I2,C2))</f>
        <v>435.9098331</v>
      </c>
      <c r="Q39" s="9"/>
      <c r="R39" s="9"/>
      <c r="S39" s="9"/>
      <c r="T39" s="9"/>
      <c r="U39" s="3"/>
      <c r="V39" s="3"/>
      <c r="W39" s="3"/>
      <c r="X39" s="3"/>
      <c r="Y39" s="3"/>
      <c r="Z39" s="3"/>
    </row>
    <row r="40" ht="17.25" customHeight="1">
      <c r="A40" s="43" t="s">
        <v>36</v>
      </c>
      <c r="B40" s="55" t="str">
        <f t="shared" ref="B40:M40" si="29">B39/B5</f>
        <v>#DIV/0!</v>
      </c>
      <c r="C40" s="55">
        <f t="shared" si="29"/>
        <v>11.36261228</v>
      </c>
      <c r="D40" s="55">
        <f t="shared" si="29"/>
        <v>11.36261228</v>
      </c>
      <c r="E40" s="55">
        <f t="shared" si="29"/>
        <v>11.39353927</v>
      </c>
      <c r="F40" s="55">
        <f t="shared" si="29"/>
        <v>11.42909119</v>
      </c>
      <c r="G40" s="55">
        <f t="shared" si="29"/>
        <v>7.269481618</v>
      </c>
      <c r="H40" s="55">
        <f t="shared" si="29"/>
        <v>6.114517649</v>
      </c>
      <c r="I40" s="55" t="str">
        <f t="shared" si="29"/>
        <v>#DIV/0!</v>
      </c>
      <c r="J40" s="55" t="str">
        <f t="shared" si="29"/>
        <v>#DIV/0!</v>
      </c>
      <c r="K40" s="55" t="str">
        <f t="shared" si="29"/>
        <v>#DIV/0!</v>
      </c>
      <c r="L40" s="55" t="str">
        <f t="shared" si="29"/>
        <v>#DIV/0!</v>
      </c>
      <c r="M40" s="55" t="str">
        <f t="shared" si="29"/>
        <v>#DIV/0!</v>
      </c>
      <c r="O40" s="55" t="s">
        <v>37</v>
      </c>
      <c r="P40" s="55">
        <f>P39/AVERAGE(C5:H5)</f>
        <v>11.88844999</v>
      </c>
      <c r="Q40" s="9"/>
      <c r="R40" s="9"/>
      <c r="S40" s="9"/>
      <c r="T40" s="9"/>
      <c r="U40" s="3"/>
      <c r="V40" s="3"/>
      <c r="W40" s="3"/>
      <c r="X40" s="3"/>
      <c r="Y40" s="3"/>
      <c r="Z40" s="3"/>
    </row>
    <row r="41" ht="17.2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O41" s="55"/>
      <c r="P41" s="9"/>
      <c r="Q41" s="9"/>
      <c r="R41" s="9"/>
      <c r="S41" s="9"/>
      <c r="T41" s="9"/>
      <c r="U41" s="3"/>
      <c r="V41" s="3"/>
      <c r="W41" s="3"/>
      <c r="X41" s="3"/>
      <c r="Y41" s="3"/>
      <c r="Z41" s="3"/>
    </row>
    <row r="42" ht="17.25" customHeight="1">
      <c r="A42" s="10" t="s">
        <v>38</v>
      </c>
      <c r="B42" s="56"/>
      <c r="C42" s="56"/>
      <c r="D42" s="56"/>
      <c r="E42" s="57"/>
      <c r="F42" s="56"/>
      <c r="G42" s="56"/>
      <c r="H42" s="56"/>
      <c r="I42" s="56"/>
      <c r="J42" s="56"/>
      <c r="K42" s="56"/>
      <c r="L42" s="56"/>
      <c r="M42" s="56"/>
      <c r="O42" s="58"/>
      <c r="P42" s="9"/>
      <c r="Q42" s="9"/>
      <c r="R42" s="9"/>
      <c r="S42" s="9"/>
      <c r="T42" s="9"/>
      <c r="U42" s="15"/>
      <c r="V42" s="15"/>
      <c r="W42" s="15"/>
      <c r="X42" s="15"/>
      <c r="Y42" s="15"/>
      <c r="Z42" s="15"/>
    </row>
    <row r="43" ht="17.25" customHeight="1">
      <c r="A43" s="43" t="s">
        <v>68</v>
      </c>
      <c r="B43" s="39">
        <f>'Аренда автоматов (2 год)'!O44</f>
        <v>5464196.6</v>
      </c>
      <c r="C43" s="39">
        <f t="shared" ref="C43:M43" si="30">B44</f>
        <v>2864196.6</v>
      </c>
      <c r="D43" s="39">
        <f t="shared" si="30"/>
        <v>3971406.2</v>
      </c>
      <c r="E43" s="39">
        <f t="shared" si="30"/>
        <v>5078615.8</v>
      </c>
      <c r="F43" s="39">
        <f t="shared" si="30"/>
        <v>5994124.8</v>
      </c>
      <c r="G43" s="39">
        <f t="shared" si="30"/>
        <v>6717933.2</v>
      </c>
      <c r="H43" s="59">
        <f t="shared" si="30"/>
        <v>8676843.4</v>
      </c>
      <c r="I43" s="39">
        <f t="shared" si="30"/>
        <v>9831641.2</v>
      </c>
      <c r="J43" s="39">
        <f t="shared" si="30"/>
        <v>9771641.2</v>
      </c>
      <c r="K43" s="39">
        <f t="shared" si="30"/>
        <v>9711641.2</v>
      </c>
      <c r="L43" s="39">
        <f t="shared" si="30"/>
        <v>9651641.2</v>
      </c>
      <c r="M43" s="39">
        <f t="shared" si="30"/>
        <v>9591641.2</v>
      </c>
      <c r="O43" s="45">
        <f>B43</f>
        <v>5464196.6</v>
      </c>
      <c r="P43" s="9"/>
      <c r="Q43" s="9"/>
      <c r="R43" s="9"/>
      <c r="S43" s="9"/>
      <c r="T43" s="9"/>
      <c r="U43" s="15"/>
      <c r="V43" s="15"/>
      <c r="W43" s="15"/>
      <c r="X43" s="15"/>
      <c r="Y43" s="15"/>
      <c r="Z43" s="15"/>
    </row>
    <row r="44" ht="17.25" customHeight="1">
      <c r="A44" s="43" t="s">
        <v>69</v>
      </c>
      <c r="B44" s="38">
        <f>B43+B33</f>
        <v>2864196.6</v>
      </c>
      <c r="C44" s="39">
        <f t="shared" ref="C44:M44" si="31">C43+C4+C33</f>
        <v>3971406.2</v>
      </c>
      <c r="D44" s="39">
        <f t="shared" si="31"/>
        <v>5078615.8</v>
      </c>
      <c r="E44" s="39">
        <f t="shared" si="31"/>
        <v>5994124.8</v>
      </c>
      <c r="F44" s="39">
        <f t="shared" si="31"/>
        <v>6717933.2</v>
      </c>
      <c r="G44" s="39">
        <f t="shared" si="31"/>
        <v>8676843.4</v>
      </c>
      <c r="H44" s="39">
        <f t="shared" si="31"/>
        <v>9831641.2</v>
      </c>
      <c r="I44" s="39">
        <f t="shared" si="31"/>
        <v>9771641.2</v>
      </c>
      <c r="J44" s="39">
        <f t="shared" si="31"/>
        <v>9711641.2</v>
      </c>
      <c r="K44" s="39">
        <f t="shared" si="31"/>
        <v>9651641.2</v>
      </c>
      <c r="L44" s="39">
        <f t="shared" si="31"/>
        <v>9591641.2</v>
      </c>
      <c r="M44" s="39">
        <f t="shared" si="31"/>
        <v>9531641.2</v>
      </c>
      <c r="O44" s="45">
        <f>M44-O28</f>
        <v>8921524.51</v>
      </c>
      <c r="P44" s="9"/>
      <c r="Q44" s="9"/>
      <c r="R44" s="9"/>
      <c r="S44" s="9"/>
      <c r="T44" s="9"/>
      <c r="U44" s="15"/>
      <c r="V44" s="15"/>
      <c r="W44" s="15"/>
      <c r="X44" s="15"/>
      <c r="Y44" s="15"/>
      <c r="Z44" s="15"/>
    </row>
    <row r="45" ht="17.25" customHeight="1">
      <c r="A45" s="43" t="s">
        <v>41</v>
      </c>
      <c r="B45" s="60">
        <f t="shared" ref="B45:M45" si="32">(B44-B43)/B43</f>
        <v>-0.4758247535</v>
      </c>
      <c r="C45" s="60">
        <f t="shared" si="32"/>
        <v>0.3865689946</v>
      </c>
      <c r="D45" s="60">
        <f t="shared" si="32"/>
        <v>0.2787953547</v>
      </c>
      <c r="E45" s="60">
        <f t="shared" si="32"/>
        <v>0.1802674264</v>
      </c>
      <c r="F45" s="60">
        <f t="shared" si="32"/>
        <v>0.1207529746</v>
      </c>
      <c r="G45" s="60">
        <f t="shared" si="32"/>
        <v>0.2915941766</v>
      </c>
      <c r="H45" s="60">
        <f t="shared" si="32"/>
        <v>0.133089621</v>
      </c>
      <c r="I45" s="60">
        <f t="shared" si="32"/>
        <v>-0.006102745084</v>
      </c>
      <c r="J45" s="60">
        <f t="shared" si="32"/>
        <v>-0.006140217265</v>
      </c>
      <c r="K45" s="60">
        <f t="shared" si="32"/>
        <v>-0.006178152463</v>
      </c>
      <c r="L45" s="60">
        <f t="shared" si="32"/>
        <v>-0.006216559314</v>
      </c>
      <c r="M45" s="60">
        <f t="shared" si="32"/>
        <v>-0.00625544667</v>
      </c>
      <c r="O45" s="61">
        <f>(O44-O43)/O43</f>
        <v>0.6327239232</v>
      </c>
      <c r="P45" s="9"/>
      <c r="Q45" s="9"/>
      <c r="R45" s="9"/>
      <c r="S45" s="9"/>
      <c r="T45" s="9"/>
      <c r="U45" s="15"/>
      <c r="V45" s="15"/>
      <c r="W45" s="15"/>
      <c r="X45" s="15"/>
      <c r="Y45" s="15"/>
      <c r="Z45" s="15"/>
    </row>
    <row r="46" ht="17.2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9"/>
      <c r="Q46" s="9"/>
      <c r="R46" s="9"/>
      <c r="S46" s="9"/>
      <c r="T46" s="9"/>
      <c r="U46" s="3"/>
      <c r="V46" s="3"/>
      <c r="W46" s="3"/>
      <c r="X46" s="3"/>
      <c r="Y46" s="3"/>
      <c r="Z46" s="3"/>
    </row>
    <row r="47" ht="17.2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9"/>
      <c r="Q47" s="9"/>
      <c r="R47" s="9"/>
      <c r="S47" s="9"/>
      <c r="T47" s="9"/>
      <c r="U47" s="3"/>
      <c r="V47" s="3"/>
      <c r="W47" s="3"/>
      <c r="X47" s="3"/>
      <c r="Y47" s="3"/>
      <c r="Z47" s="3"/>
    </row>
    <row r="48" ht="17.2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9"/>
      <c r="Q48" s="9"/>
      <c r="R48" s="9"/>
      <c r="S48" s="9"/>
      <c r="T48" s="9"/>
      <c r="U48" s="3"/>
      <c r="V48" s="3"/>
      <c r="W48" s="3"/>
      <c r="X48" s="3"/>
      <c r="Y48" s="3"/>
      <c r="Z48" s="3"/>
    </row>
    <row r="49" ht="15.7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9"/>
      <c r="Q49" s="9"/>
      <c r="R49" s="9"/>
      <c r="S49" s="9"/>
      <c r="T49" s="9"/>
      <c r="U49" s="3"/>
      <c r="V49" s="3"/>
      <c r="W49" s="3"/>
      <c r="X49" s="3"/>
      <c r="Y49" s="3"/>
      <c r="Z49" s="3"/>
    </row>
    <row r="50" ht="15.7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9"/>
      <c r="Q50" s="9"/>
      <c r="R50" s="9"/>
      <c r="S50" s="9"/>
      <c r="T50" s="9"/>
      <c r="U50" s="3"/>
      <c r="V50" s="3"/>
      <c r="W50" s="3"/>
      <c r="X50" s="3"/>
      <c r="Y50" s="3"/>
      <c r="Z50" s="3"/>
    </row>
    <row r="51" ht="15.7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9"/>
      <c r="Q51" s="9"/>
      <c r="R51" s="9"/>
      <c r="S51" s="9"/>
      <c r="T51" s="9"/>
      <c r="U51" s="3"/>
      <c r="V51" s="3"/>
      <c r="W51" s="3"/>
      <c r="X51" s="3"/>
      <c r="Y51" s="3"/>
      <c r="Z51" s="3"/>
    </row>
    <row r="52" ht="15.7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9"/>
      <c r="Q53" s="9"/>
      <c r="R53" s="9"/>
      <c r="S53" s="9"/>
      <c r="T53" s="9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62"/>
      <c r="M57" s="6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64"/>
      <c r="M58" s="6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66"/>
      <c r="M59" s="6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67"/>
      <c r="M60" s="6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3">
    <mergeCell ref="D1:O1"/>
    <mergeCell ref="D3:M3"/>
    <mergeCell ref="N4:N45"/>
  </mergeCells>
  <conditionalFormatting sqref="E43:G43 I43:M43">
    <cfRule type="cellIs" dxfId="0" priority="1" operator="lessThan">
      <formula>0</formula>
    </cfRule>
  </conditionalFormatting>
  <conditionalFormatting sqref="B33:M33">
    <cfRule type="cellIs" dxfId="1" priority="2" operator="lessThan">
      <formula>0</formula>
    </cfRule>
  </conditionalFormatting>
  <conditionalFormatting sqref="B33:M33">
    <cfRule type="cellIs" dxfId="2" priority="3" operator="between">
      <formula>0</formula>
      <formula>20000</formula>
    </cfRule>
  </conditionalFormatting>
  <conditionalFormatting sqref="B33:M33">
    <cfRule type="cellIs" dxfId="3" priority="4" operator="greaterThan">
      <formula>20000</formula>
    </cfRule>
  </conditionalFormatting>
  <conditionalFormatting sqref="O19:O28">
    <cfRule type="colorScale" priority="5">
      <colorScale>
        <cfvo type="min"/>
        <cfvo type="max"/>
        <color rgb="FFFFFFFF"/>
        <color rgb="FFE67C73"/>
      </colorScale>
    </cfRule>
  </conditionalFormatting>
  <conditionalFormatting sqref="O45">
    <cfRule type="colorScale" priority="6">
      <colorScale>
        <cfvo type="formula" val="0%"/>
        <cfvo type="formula" val="20%"/>
        <cfvo type="formula" val="50%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6.71"/>
    <col customWidth="1" min="2" max="4" width="15.29"/>
    <col customWidth="1" min="5" max="13" width="13.71"/>
    <col customWidth="1" min="14" max="14" width="3.71"/>
    <col customWidth="1" min="15" max="15" width="27.0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46507.0</v>
      </c>
      <c r="C2" s="5">
        <f t="shared" ref="C2:M2" si="1">EDATE(B2,1)</f>
        <v>46537</v>
      </c>
      <c r="D2" s="5">
        <f t="shared" si="1"/>
        <v>46568</v>
      </c>
      <c r="E2" s="5">
        <f t="shared" si="1"/>
        <v>46598</v>
      </c>
      <c r="F2" s="5">
        <f t="shared" si="1"/>
        <v>46629</v>
      </c>
      <c r="G2" s="5">
        <f t="shared" si="1"/>
        <v>46660</v>
      </c>
      <c r="H2" s="5">
        <f t="shared" si="1"/>
        <v>46690</v>
      </c>
      <c r="I2" s="5">
        <f t="shared" si="1"/>
        <v>46721</v>
      </c>
      <c r="J2" s="5">
        <f t="shared" si="1"/>
        <v>46751</v>
      </c>
      <c r="K2" s="5">
        <f t="shared" si="1"/>
        <v>46782</v>
      </c>
      <c r="L2" s="5">
        <f t="shared" si="1"/>
        <v>46812</v>
      </c>
      <c r="M2" s="5">
        <f t="shared" si="1"/>
        <v>46841</v>
      </c>
      <c r="N2" s="6"/>
      <c r="O2" s="7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Q3" s="9"/>
      <c r="R3" s="9"/>
      <c r="S3" s="9"/>
      <c r="T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>
        <v>2.0E7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14"/>
      <c r="P4" s="9"/>
      <c r="Q4" s="9"/>
      <c r="R4" s="9"/>
      <c r="S4" s="9"/>
      <c r="T4" s="9"/>
      <c r="U4" s="15"/>
      <c r="V4" s="15"/>
      <c r="W4" s="15"/>
      <c r="X4" s="15"/>
      <c r="Y4" s="15"/>
      <c r="Z4" s="15"/>
    </row>
    <row r="5" ht="17.25" customHeight="1">
      <c r="A5" s="16" t="s">
        <v>4</v>
      </c>
      <c r="B5" s="16">
        <v>0.0</v>
      </c>
      <c r="C5" s="16">
        <v>40.0</v>
      </c>
      <c r="D5" s="16">
        <v>40.0</v>
      </c>
      <c r="E5" s="16">
        <v>40.0</v>
      </c>
      <c r="F5" s="16">
        <v>40.0</v>
      </c>
      <c r="G5" s="16">
        <v>40.0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O5" s="17"/>
      <c r="P5" s="9"/>
      <c r="Q5" s="9"/>
      <c r="R5" s="9"/>
      <c r="S5" s="9"/>
      <c r="T5" s="9"/>
      <c r="U5" s="15"/>
      <c r="V5" s="15"/>
      <c r="W5" s="15"/>
      <c r="X5" s="15"/>
      <c r="Y5" s="15"/>
      <c r="Z5" s="15"/>
    </row>
    <row r="6" ht="17.25" customHeight="1">
      <c r="A6" s="16" t="s">
        <v>70</v>
      </c>
      <c r="B6" s="16">
        <v>60.0</v>
      </c>
      <c r="C6" s="16">
        <v>60.0</v>
      </c>
      <c r="D6" s="16">
        <v>60.0</v>
      </c>
      <c r="E6" s="16">
        <v>60.0</v>
      </c>
      <c r="F6" s="16">
        <v>60.0</v>
      </c>
      <c r="G6" s="16">
        <v>60.0</v>
      </c>
      <c r="H6" s="16">
        <v>60.0</v>
      </c>
      <c r="I6" s="16">
        <v>60.0</v>
      </c>
      <c r="J6" s="16">
        <v>60.0</v>
      </c>
      <c r="K6" s="16">
        <v>60.0</v>
      </c>
      <c r="L6" s="16">
        <v>60.0</v>
      </c>
      <c r="M6" s="16">
        <v>60.0</v>
      </c>
      <c r="O6" s="17"/>
      <c r="P6" s="9"/>
      <c r="Q6" s="9"/>
      <c r="R6" s="9"/>
      <c r="S6" s="9"/>
      <c r="T6" s="9"/>
      <c r="U6" s="15"/>
      <c r="V6" s="15"/>
      <c r="W6" s="15"/>
      <c r="X6" s="15"/>
      <c r="Y6" s="15"/>
      <c r="Z6" s="15"/>
    </row>
    <row r="7" ht="17.25" customHeight="1">
      <c r="A7" s="16" t="s">
        <v>71</v>
      </c>
      <c r="B7" s="16">
        <f t="shared" ref="B7:M7" si="2">SUM(B5:B6)</f>
        <v>60</v>
      </c>
      <c r="C7" s="16">
        <f t="shared" si="2"/>
        <v>100</v>
      </c>
      <c r="D7" s="16">
        <f t="shared" si="2"/>
        <v>100</v>
      </c>
      <c r="E7" s="16">
        <f t="shared" si="2"/>
        <v>100</v>
      </c>
      <c r="F7" s="16">
        <f t="shared" si="2"/>
        <v>100</v>
      </c>
      <c r="G7" s="16">
        <f t="shared" si="2"/>
        <v>100</v>
      </c>
      <c r="H7" s="16">
        <f t="shared" si="2"/>
        <v>60</v>
      </c>
      <c r="I7" s="16">
        <f t="shared" si="2"/>
        <v>60</v>
      </c>
      <c r="J7" s="16">
        <f t="shared" si="2"/>
        <v>60</v>
      </c>
      <c r="K7" s="16">
        <f t="shared" si="2"/>
        <v>60</v>
      </c>
      <c r="L7" s="16">
        <f t="shared" si="2"/>
        <v>60</v>
      </c>
      <c r="M7" s="16">
        <f t="shared" si="2"/>
        <v>60</v>
      </c>
      <c r="O7" s="17"/>
      <c r="P7" s="9"/>
      <c r="Q7" s="9"/>
      <c r="R7" s="9"/>
      <c r="S7" s="9"/>
      <c r="T7" s="9"/>
      <c r="U7" s="15"/>
      <c r="V7" s="15"/>
      <c r="W7" s="15"/>
      <c r="X7" s="15"/>
      <c r="Y7" s="15"/>
      <c r="Z7" s="15"/>
    </row>
    <row r="8" ht="17.25" customHeight="1">
      <c r="A8" s="17"/>
      <c r="B8" s="17"/>
      <c r="C8" s="17"/>
      <c r="D8" s="17" t="s">
        <v>5</v>
      </c>
      <c r="E8" s="17"/>
      <c r="F8" s="17"/>
      <c r="G8" s="17"/>
      <c r="H8" s="17"/>
      <c r="I8" s="17"/>
      <c r="J8" s="17"/>
      <c r="K8" s="17"/>
      <c r="L8" s="17"/>
      <c r="M8" s="17"/>
      <c r="O8" s="17"/>
      <c r="P8" s="9"/>
      <c r="Q8" s="9"/>
      <c r="R8" s="9"/>
      <c r="S8" s="9"/>
      <c r="T8" s="9"/>
      <c r="U8" s="15"/>
      <c r="V8" s="15"/>
      <c r="W8" s="15"/>
      <c r="X8" s="15"/>
      <c r="Y8" s="15"/>
      <c r="Z8" s="15"/>
    </row>
    <row r="9" ht="17.25" customHeight="1">
      <c r="A9" s="18" t="s">
        <v>6</v>
      </c>
      <c r="B9" s="19">
        <v>0.0</v>
      </c>
      <c r="C9" s="20">
        <f t="shared" ref="C9:M9" si="3">C16*C15+C19</f>
        <v>9484800</v>
      </c>
      <c r="D9" s="20">
        <f t="shared" si="3"/>
        <v>9484800</v>
      </c>
      <c r="E9" s="20">
        <f t="shared" si="3"/>
        <v>8892000</v>
      </c>
      <c r="F9" s="20">
        <f t="shared" si="3"/>
        <v>8299200</v>
      </c>
      <c r="G9" s="20">
        <f t="shared" si="3"/>
        <v>10077600</v>
      </c>
      <c r="H9" s="20">
        <f t="shared" si="3"/>
        <v>6201600</v>
      </c>
      <c r="I9" s="20">
        <f t="shared" si="3"/>
        <v>300000</v>
      </c>
      <c r="J9" s="20">
        <f t="shared" si="3"/>
        <v>300000</v>
      </c>
      <c r="K9" s="20">
        <f t="shared" si="3"/>
        <v>300000</v>
      </c>
      <c r="L9" s="20">
        <f t="shared" si="3"/>
        <v>300000</v>
      </c>
      <c r="M9" s="20">
        <f t="shared" si="3"/>
        <v>300000</v>
      </c>
      <c r="O9" s="20">
        <f t="shared" ref="O9:O10" si="5">SUM(B9:M9)</f>
        <v>53940000</v>
      </c>
      <c r="P9" s="9"/>
      <c r="Q9" s="9"/>
      <c r="R9" s="9"/>
      <c r="S9" s="9"/>
      <c r="T9" s="9"/>
      <c r="U9" s="21"/>
      <c r="V9" s="21"/>
      <c r="W9" s="21"/>
      <c r="X9" s="21"/>
      <c r="Y9" s="21"/>
      <c r="Z9" s="21"/>
    </row>
    <row r="10" ht="17.25" customHeight="1">
      <c r="A10" s="22" t="s">
        <v>72</v>
      </c>
      <c r="B10" s="23"/>
      <c r="C10" s="23">
        <f t="shared" ref="C10:H10" si="4">320000*30*2.5</f>
        <v>24000000</v>
      </c>
      <c r="D10" s="23">
        <f t="shared" si="4"/>
        <v>24000000</v>
      </c>
      <c r="E10" s="23">
        <f t="shared" si="4"/>
        <v>24000000</v>
      </c>
      <c r="F10" s="23">
        <f t="shared" si="4"/>
        <v>24000000</v>
      </c>
      <c r="G10" s="23">
        <f t="shared" si="4"/>
        <v>24000000</v>
      </c>
      <c r="H10" s="23">
        <f t="shared" si="4"/>
        <v>24000000</v>
      </c>
      <c r="I10" s="23"/>
      <c r="J10" s="23"/>
      <c r="K10" s="23"/>
      <c r="L10" s="23"/>
      <c r="M10" s="23"/>
      <c r="O10" s="24">
        <f t="shared" si="5"/>
        <v>144000000</v>
      </c>
      <c r="P10" s="9"/>
      <c r="Q10" s="9"/>
      <c r="R10" s="9"/>
      <c r="S10" s="9"/>
      <c r="T10" s="9"/>
      <c r="U10" s="15"/>
      <c r="V10" s="15"/>
      <c r="W10" s="15"/>
      <c r="X10" s="15"/>
      <c r="Y10" s="15"/>
      <c r="Z10" s="15"/>
    </row>
    <row r="11" ht="17.25" customHeight="1">
      <c r="A11" s="22" t="s">
        <v>73</v>
      </c>
      <c r="B11" s="25"/>
      <c r="C11" s="26">
        <v>0.13</v>
      </c>
      <c r="D11" s="26">
        <v>0.13</v>
      </c>
      <c r="E11" s="26">
        <v>0.13</v>
      </c>
      <c r="F11" s="26">
        <v>0.13</v>
      </c>
      <c r="G11" s="26">
        <v>0.13</v>
      </c>
      <c r="H11" s="26">
        <v>0.08</v>
      </c>
      <c r="I11" s="27"/>
      <c r="J11" s="27"/>
      <c r="K11" s="27"/>
      <c r="L11" s="27"/>
      <c r="M11" s="27"/>
      <c r="O11" s="17"/>
      <c r="P11" s="9"/>
      <c r="Q11" s="9"/>
      <c r="R11" s="9"/>
      <c r="S11" s="9"/>
      <c r="T11" s="9"/>
      <c r="U11" s="15"/>
      <c r="V11" s="15"/>
      <c r="W11" s="15"/>
      <c r="X11" s="15"/>
      <c r="Y11" s="15"/>
      <c r="Z11" s="15"/>
    </row>
    <row r="12" ht="17.25" customHeight="1">
      <c r="A12" s="22" t="s">
        <v>74</v>
      </c>
      <c r="B12" s="28"/>
      <c r="C12" s="29">
        <f t="shared" ref="C12:H12" si="6">C11/C7*C10</f>
        <v>31200</v>
      </c>
      <c r="D12" s="29">
        <f t="shared" si="6"/>
        <v>31200</v>
      </c>
      <c r="E12" s="29">
        <f t="shared" si="6"/>
        <v>31200</v>
      </c>
      <c r="F12" s="29">
        <f t="shared" si="6"/>
        <v>31200</v>
      </c>
      <c r="G12" s="29">
        <f t="shared" si="6"/>
        <v>31200</v>
      </c>
      <c r="H12" s="29">
        <f t="shared" si="6"/>
        <v>32000</v>
      </c>
      <c r="I12" s="27"/>
      <c r="J12" s="27"/>
      <c r="K12" s="27"/>
      <c r="L12" s="27"/>
      <c r="M12" s="27"/>
      <c r="O12" s="17"/>
      <c r="P12" s="9"/>
      <c r="Q12" s="9"/>
      <c r="R12" s="9"/>
      <c r="S12" s="9"/>
      <c r="T12" s="9"/>
      <c r="U12" s="15"/>
      <c r="V12" s="15"/>
      <c r="W12" s="15"/>
      <c r="X12" s="15"/>
      <c r="Y12" s="15"/>
      <c r="Z12" s="15"/>
    </row>
    <row r="13" ht="17.25" customHeight="1">
      <c r="A13" s="22" t="s">
        <v>10</v>
      </c>
      <c r="B13" s="30"/>
      <c r="C13" s="30">
        <f t="shared" ref="C13:H13" si="7">C10*C11</f>
        <v>3120000</v>
      </c>
      <c r="D13" s="30">
        <f t="shared" si="7"/>
        <v>3120000</v>
      </c>
      <c r="E13" s="30">
        <f t="shared" si="7"/>
        <v>3120000</v>
      </c>
      <c r="F13" s="30">
        <f t="shared" si="7"/>
        <v>3120000</v>
      </c>
      <c r="G13" s="30">
        <f t="shared" si="7"/>
        <v>3120000</v>
      </c>
      <c r="H13" s="30">
        <f t="shared" si="7"/>
        <v>1920000</v>
      </c>
      <c r="I13" s="30"/>
      <c r="J13" s="30"/>
      <c r="K13" s="30"/>
      <c r="L13" s="30"/>
      <c r="M13" s="30"/>
      <c r="O13" s="24">
        <f>SUM(B13:M13)</f>
        <v>17520000</v>
      </c>
      <c r="P13" s="9"/>
      <c r="Q13" s="9"/>
      <c r="R13" s="9"/>
      <c r="S13" s="9"/>
      <c r="T13" s="9"/>
      <c r="U13" s="15"/>
      <c r="V13" s="15"/>
      <c r="W13" s="15"/>
      <c r="X13" s="15"/>
      <c r="Y13" s="15"/>
      <c r="Z13" s="15"/>
    </row>
    <row r="14" ht="17.25" customHeight="1">
      <c r="A14" s="22" t="s">
        <v>11</v>
      </c>
      <c r="B14" s="28"/>
      <c r="C14" s="31">
        <v>0.016</v>
      </c>
      <c r="D14" s="31">
        <v>0.016</v>
      </c>
      <c r="E14" s="31">
        <v>0.015</v>
      </c>
      <c r="F14" s="31">
        <v>0.014</v>
      </c>
      <c r="G14" s="31">
        <v>0.017</v>
      </c>
      <c r="H14" s="31">
        <v>0.017</v>
      </c>
      <c r="I14" s="28"/>
      <c r="J14" s="28"/>
      <c r="K14" s="28"/>
      <c r="L14" s="28"/>
      <c r="M14" s="28"/>
      <c r="O14" s="17"/>
      <c r="P14" s="9"/>
      <c r="Q14" s="9"/>
      <c r="R14" s="9"/>
      <c r="S14" s="9"/>
      <c r="T14" s="9"/>
      <c r="U14" s="15"/>
      <c r="V14" s="15"/>
      <c r="W14" s="15"/>
      <c r="X14" s="15"/>
      <c r="Y14" s="15"/>
      <c r="Z14" s="15"/>
    </row>
    <row r="15" ht="17.25" customHeight="1">
      <c r="A15" s="22" t="s">
        <v>75</v>
      </c>
      <c r="B15" s="23"/>
      <c r="C15" s="32">
        <v>190.0</v>
      </c>
      <c r="D15" s="32">
        <v>190.0</v>
      </c>
      <c r="E15" s="32">
        <v>190.0</v>
      </c>
      <c r="F15" s="32">
        <v>190.0</v>
      </c>
      <c r="G15" s="32">
        <v>190.0</v>
      </c>
      <c r="H15" s="32">
        <v>190.0</v>
      </c>
      <c r="I15" s="23"/>
      <c r="J15" s="23"/>
      <c r="K15" s="23"/>
      <c r="L15" s="23"/>
      <c r="M15" s="23"/>
      <c r="O15" s="17"/>
      <c r="P15" s="9"/>
      <c r="Q15" s="9"/>
      <c r="R15" s="9"/>
      <c r="S15" s="9"/>
      <c r="T15" s="9"/>
      <c r="U15" s="15"/>
      <c r="V15" s="15"/>
      <c r="W15" s="15"/>
      <c r="X15" s="15"/>
      <c r="Y15" s="15"/>
      <c r="Z15" s="15"/>
    </row>
    <row r="16" ht="17.25" customHeight="1">
      <c r="A16" s="22" t="s">
        <v>76</v>
      </c>
      <c r="B16" s="23"/>
      <c r="C16" s="30">
        <f t="shared" ref="C16:H16" si="8">C13*C14</f>
        <v>49920</v>
      </c>
      <c r="D16" s="30">
        <f t="shared" si="8"/>
        <v>49920</v>
      </c>
      <c r="E16" s="30">
        <f t="shared" si="8"/>
        <v>46800</v>
      </c>
      <c r="F16" s="30">
        <f t="shared" si="8"/>
        <v>43680</v>
      </c>
      <c r="G16" s="30">
        <f t="shared" si="8"/>
        <v>53040</v>
      </c>
      <c r="H16" s="30">
        <f t="shared" si="8"/>
        <v>32640</v>
      </c>
      <c r="I16" s="30"/>
      <c r="J16" s="30"/>
      <c r="K16" s="30"/>
      <c r="L16" s="30"/>
      <c r="M16" s="30"/>
      <c r="O16" s="24">
        <f>SUM(B16:M16)</f>
        <v>276000</v>
      </c>
      <c r="P16" s="9"/>
      <c r="Q16" s="9"/>
      <c r="R16" s="9"/>
      <c r="S16" s="9"/>
      <c r="T16" s="9"/>
      <c r="U16" s="15"/>
      <c r="V16" s="15"/>
      <c r="W16" s="15"/>
      <c r="X16" s="15"/>
      <c r="Y16" s="15"/>
      <c r="Z16" s="15"/>
    </row>
    <row r="17" ht="17.25" customHeight="1">
      <c r="A17" s="22" t="s">
        <v>14</v>
      </c>
      <c r="B17" s="23"/>
      <c r="C17" s="33">
        <f t="shared" ref="C17:H17" si="9">C16/30</f>
        <v>1664</v>
      </c>
      <c r="D17" s="33">
        <f t="shared" si="9"/>
        <v>1664</v>
      </c>
      <c r="E17" s="33">
        <f t="shared" si="9"/>
        <v>1560</v>
      </c>
      <c r="F17" s="33">
        <f t="shared" si="9"/>
        <v>1456</v>
      </c>
      <c r="G17" s="33">
        <f t="shared" si="9"/>
        <v>1768</v>
      </c>
      <c r="H17" s="33">
        <f t="shared" si="9"/>
        <v>1088</v>
      </c>
      <c r="I17" s="23"/>
      <c r="J17" s="23"/>
      <c r="K17" s="23"/>
      <c r="L17" s="23"/>
      <c r="M17" s="23"/>
      <c r="O17" s="17"/>
      <c r="P17" s="9"/>
      <c r="Q17" s="9"/>
      <c r="R17" s="9"/>
      <c r="S17" s="9"/>
      <c r="T17" s="9"/>
      <c r="U17" s="15"/>
      <c r="V17" s="15"/>
      <c r="W17" s="15"/>
      <c r="X17" s="15"/>
      <c r="Y17" s="15"/>
      <c r="Z17" s="15"/>
    </row>
    <row r="18" ht="17.25" customHeight="1">
      <c r="A18" s="22" t="s">
        <v>15</v>
      </c>
      <c r="B18" s="34"/>
      <c r="C18" s="34">
        <f t="shared" ref="C18:H18" si="10">C17/C7</f>
        <v>16.64</v>
      </c>
      <c r="D18" s="34">
        <f t="shared" si="10"/>
        <v>16.64</v>
      </c>
      <c r="E18" s="34">
        <f t="shared" si="10"/>
        <v>15.6</v>
      </c>
      <c r="F18" s="34">
        <f t="shared" si="10"/>
        <v>14.56</v>
      </c>
      <c r="G18" s="34">
        <f t="shared" si="10"/>
        <v>17.68</v>
      </c>
      <c r="H18" s="34">
        <f t="shared" si="10"/>
        <v>18.13333333</v>
      </c>
      <c r="I18" s="34"/>
      <c r="J18" s="34"/>
      <c r="K18" s="34"/>
      <c r="L18" s="34"/>
      <c r="M18" s="34"/>
      <c r="O18" s="17"/>
      <c r="P18" s="9"/>
      <c r="Q18" s="9"/>
      <c r="R18" s="9"/>
      <c r="S18" s="9"/>
      <c r="T18" s="9"/>
      <c r="U18" s="15"/>
      <c r="V18" s="15"/>
      <c r="W18" s="15"/>
      <c r="X18" s="15"/>
      <c r="Y18" s="15"/>
      <c r="Z18" s="15"/>
    </row>
    <row r="19" ht="17.25" customHeight="1">
      <c r="A19" s="68" t="s">
        <v>77</v>
      </c>
      <c r="B19" s="69"/>
      <c r="C19" s="69"/>
      <c r="D19" s="69"/>
      <c r="E19" s="69"/>
      <c r="F19" s="69"/>
      <c r="G19" s="69"/>
      <c r="H19" s="69"/>
      <c r="I19" s="69">
        <f t="shared" ref="I19:M19" si="11">I6*5000</f>
        <v>300000</v>
      </c>
      <c r="J19" s="69">
        <f t="shared" si="11"/>
        <v>300000</v>
      </c>
      <c r="K19" s="69">
        <f t="shared" si="11"/>
        <v>300000</v>
      </c>
      <c r="L19" s="69">
        <f t="shared" si="11"/>
        <v>300000</v>
      </c>
      <c r="M19" s="69">
        <f t="shared" si="11"/>
        <v>300000</v>
      </c>
      <c r="O19" s="45">
        <f>SUM(B19:M19)</f>
        <v>1500000</v>
      </c>
      <c r="P19" s="70"/>
      <c r="Q19" s="70"/>
      <c r="R19" s="70"/>
      <c r="S19" s="70"/>
      <c r="T19" s="70"/>
      <c r="U19" s="71"/>
      <c r="V19" s="71"/>
      <c r="W19" s="71"/>
      <c r="X19" s="71"/>
      <c r="Y19" s="71"/>
      <c r="Z19" s="71"/>
    </row>
    <row r="20" ht="17.25" customHeight="1">
      <c r="A20" s="3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O20" s="24"/>
      <c r="P20" s="9"/>
      <c r="Q20" s="9"/>
      <c r="R20" s="9"/>
      <c r="S20" s="9"/>
      <c r="T20" s="9"/>
      <c r="U20" s="15"/>
      <c r="V20" s="15"/>
      <c r="W20" s="15"/>
      <c r="X20" s="15"/>
      <c r="Y20" s="15"/>
      <c r="Z20" s="15"/>
    </row>
    <row r="21" ht="17.25" customHeight="1">
      <c r="A21" s="36" t="s">
        <v>16</v>
      </c>
      <c r="B21" s="37">
        <f t="shared" ref="B21:M21" si="12">SUM(B22:B32)</f>
        <v>23120000</v>
      </c>
      <c r="C21" s="37">
        <f t="shared" si="12"/>
        <v>6414035.2</v>
      </c>
      <c r="D21" s="37">
        <f t="shared" si="12"/>
        <v>6114035.2</v>
      </c>
      <c r="E21" s="37">
        <f t="shared" si="12"/>
        <v>5759408</v>
      </c>
      <c r="F21" s="37">
        <f t="shared" si="12"/>
        <v>5504780.8</v>
      </c>
      <c r="G21" s="37">
        <f t="shared" si="12"/>
        <v>4668662.4</v>
      </c>
      <c r="H21" s="37">
        <f t="shared" si="12"/>
        <v>2757638.4</v>
      </c>
      <c r="I21" s="37">
        <f t="shared" si="12"/>
        <v>60000</v>
      </c>
      <c r="J21" s="37">
        <f t="shared" si="12"/>
        <v>60000</v>
      </c>
      <c r="K21" s="37">
        <f t="shared" si="12"/>
        <v>60000</v>
      </c>
      <c r="L21" s="37">
        <f t="shared" si="12"/>
        <v>60000</v>
      </c>
      <c r="M21" s="37">
        <f t="shared" si="12"/>
        <v>60000</v>
      </c>
      <c r="O21" s="37">
        <f>SUM(O22:O33)</f>
        <v>54638560</v>
      </c>
      <c r="P21" s="9"/>
      <c r="Q21" s="9"/>
      <c r="R21" s="9"/>
      <c r="S21" s="9"/>
      <c r="T21" s="9"/>
      <c r="U21" s="21"/>
      <c r="V21" s="21"/>
      <c r="W21" s="21"/>
      <c r="X21" s="21"/>
      <c r="Y21" s="21"/>
      <c r="Z21" s="21"/>
    </row>
    <row r="22" ht="17.25" customHeight="1">
      <c r="A22" s="22" t="s">
        <v>78</v>
      </c>
      <c r="B22" s="38">
        <f>C7*40*250</f>
        <v>1000000</v>
      </c>
      <c r="C22" s="39">
        <f t="shared" ref="C22:H22" si="13">C16/10*250</f>
        <v>1248000</v>
      </c>
      <c r="D22" s="39">
        <f t="shared" si="13"/>
        <v>1248000</v>
      </c>
      <c r="E22" s="39">
        <f t="shared" si="13"/>
        <v>1170000</v>
      </c>
      <c r="F22" s="39">
        <f t="shared" si="13"/>
        <v>1092000</v>
      </c>
      <c r="G22" s="39">
        <f t="shared" si="13"/>
        <v>1326000</v>
      </c>
      <c r="H22" s="39">
        <f t="shared" si="13"/>
        <v>816000</v>
      </c>
      <c r="I22" s="39">
        <f t="shared" ref="I22:M22" si="14">I16/10*240</f>
        <v>0</v>
      </c>
      <c r="J22" s="39">
        <f t="shared" si="14"/>
        <v>0</v>
      </c>
      <c r="K22" s="39">
        <f t="shared" si="14"/>
        <v>0</v>
      </c>
      <c r="L22" s="39">
        <f t="shared" si="14"/>
        <v>0</v>
      </c>
      <c r="M22" s="39">
        <f t="shared" si="14"/>
        <v>0</v>
      </c>
      <c r="O22" s="38">
        <f t="shared" ref="O22:O31" si="16">SUM(B22:M22)</f>
        <v>7900000</v>
      </c>
      <c r="P22" s="9"/>
      <c r="Q22" s="9"/>
      <c r="R22" s="9"/>
      <c r="S22" s="9"/>
      <c r="T22" s="9"/>
      <c r="U22" s="15"/>
      <c r="V22" s="15"/>
      <c r="W22" s="15"/>
      <c r="X22" s="15"/>
      <c r="Y22" s="15"/>
      <c r="Z22" s="15"/>
    </row>
    <row r="23" ht="17.25" customHeight="1">
      <c r="A23" s="22" t="s">
        <v>18</v>
      </c>
      <c r="B23" s="38">
        <f t="shared" ref="B23:M23" si="15">C5*20000</f>
        <v>800000</v>
      </c>
      <c r="C23" s="38">
        <f t="shared" si="15"/>
        <v>800000</v>
      </c>
      <c r="D23" s="38">
        <f t="shared" si="15"/>
        <v>800000</v>
      </c>
      <c r="E23" s="38">
        <f t="shared" si="15"/>
        <v>800000</v>
      </c>
      <c r="F23" s="38">
        <f t="shared" si="15"/>
        <v>800000</v>
      </c>
      <c r="G23" s="38">
        <f t="shared" si="15"/>
        <v>0</v>
      </c>
      <c r="H23" s="38">
        <f t="shared" si="15"/>
        <v>0</v>
      </c>
      <c r="I23" s="38">
        <f t="shared" si="15"/>
        <v>0</v>
      </c>
      <c r="J23" s="38">
        <f t="shared" si="15"/>
        <v>0</v>
      </c>
      <c r="K23" s="38">
        <f t="shared" si="15"/>
        <v>0</v>
      </c>
      <c r="L23" s="38">
        <f t="shared" si="15"/>
        <v>0</v>
      </c>
      <c r="M23" s="38">
        <f t="shared" si="15"/>
        <v>0</v>
      </c>
      <c r="O23" s="38">
        <f t="shared" si="16"/>
        <v>4000000</v>
      </c>
      <c r="P23" s="9"/>
      <c r="Q23" s="9"/>
      <c r="R23" s="9"/>
      <c r="S23" s="9"/>
      <c r="T23" s="9"/>
      <c r="U23" s="15"/>
      <c r="V23" s="15"/>
      <c r="W23" s="15"/>
      <c r="X23" s="15"/>
      <c r="Y23" s="15"/>
      <c r="Z23" s="15"/>
    </row>
    <row r="24" ht="17.25" customHeight="1">
      <c r="A24" s="22" t="s">
        <v>79</v>
      </c>
      <c r="B24" s="38">
        <f>B6*300000</f>
        <v>18000000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O24" s="38">
        <f t="shared" si="16"/>
        <v>18000000</v>
      </c>
      <c r="P24" s="9"/>
      <c r="Q24" s="9"/>
      <c r="R24" s="9"/>
      <c r="S24" s="9"/>
      <c r="T24" s="9"/>
      <c r="U24" s="15"/>
      <c r="V24" s="15"/>
      <c r="W24" s="15"/>
      <c r="X24" s="15"/>
      <c r="Y24" s="15"/>
      <c r="Z24" s="15"/>
    </row>
    <row r="25" ht="17.25" customHeight="1">
      <c r="A25" s="22" t="s">
        <v>80</v>
      </c>
      <c r="B25" s="41">
        <f t="shared" ref="B25:H25" si="17">90000*8</f>
        <v>720000</v>
      </c>
      <c r="C25" s="41">
        <f t="shared" si="17"/>
        <v>720000</v>
      </c>
      <c r="D25" s="41">
        <f t="shared" si="17"/>
        <v>720000</v>
      </c>
      <c r="E25" s="41">
        <f t="shared" si="17"/>
        <v>720000</v>
      </c>
      <c r="F25" s="41">
        <f t="shared" si="17"/>
        <v>720000</v>
      </c>
      <c r="G25" s="41">
        <f t="shared" si="17"/>
        <v>720000</v>
      </c>
      <c r="H25" s="41">
        <f t="shared" si="17"/>
        <v>720000</v>
      </c>
      <c r="I25" s="41">
        <f t="shared" ref="I25:M25" si="18">3*20000</f>
        <v>60000</v>
      </c>
      <c r="J25" s="41">
        <f t="shared" si="18"/>
        <v>60000</v>
      </c>
      <c r="K25" s="41">
        <f t="shared" si="18"/>
        <v>60000</v>
      </c>
      <c r="L25" s="41">
        <f t="shared" si="18"/>
        <v>60000</v>
      </c>
      <c r="M25" s="41">
        <f t="shared" si="18"/>
        <v>60000</v>
      </c>
      <c r="O25" s="38">
        <f t="shared" si="16"/>
        <v>5340000</v>
      </c>
      <c r="P25" s="9"/>
      <c r="Q25" s="9"/>
      <c r="R25" s="9"/>
      <c r="S25" s="9"/>
      <c r="T25" s="9"/>
      <c r="U25" s="15"/>
      <c r="V25" s="15"/>
      <c r="W25" s="15"/>
      <c r="X25" s="15"/>
      <c r="Y25" s="15"/>
      <c r="Z25" s="15"/>
    </row>
    <row r="26" ht="17.25" customHeight="1">
      <c r="A26" s="42" t="s">
        <v>20</v>
      </c>
      <c r="B26" s="41">
        <f t="shared" ref="B26:M26" si="19">IF(C19=0,C7*15000,C5*15000)</f>
        <v>1500000</v>
      </c>
      <c r="C26" s="41">
        <f t="shared" si="19"/>
        <v>1500000</v>
      </c>
      <c r="D26" s="41">
        <f t="shared" si="19"/>
        <v>1500000</v>
      </c>
      <c r="E26" s="41">
        <f t="shared" si="19"/>
        <v>1500000</v>
      </c>
      <c r="F26" s="41">
        <f t="shared" si="19"/>
        <v>1500000</v>
      </c>
      <c r="G26" s="41">
        <f t="shared" si="19"/>
        <v>900000</v>
      </c>
      <c r="H26" s="41">
        <f t="shared" si="19"/>
        <v>0</v>
      </c>
      <c r="I26" s="41">
        <f t="shared" si="19"/>
        <v>0</v>
      </c>
      <c r="J26" s="41">
        <f t="shared" si="19"/>
        <v>0</v>
      </c>
      <c r="K26" s="41">
        <f t="shared" si="19"/>
        <v>0</v>
      </c>
      <c r="L26" s="41">
        <f t="shared" si="19"/>
        <v>0</v>
      </c>
      <c r="M26" s="41">
        <f t="shared" si="19"/>
        <v>0</v>
      </c>
      <c r="O26" s="38">
        <f t="shared" si="16"/>
        <v>8400000</v>
      </c>
      <c r="P26" s="9"/>
      <c r="Q26" s="9"/>
      <c r="R26" s="9"/>
      <c r="S26" s="9"/>
      <c r="T26" s="9"/>
      <c r="U26" s="15"/>
      <c r="V26" s="15"/>
      <c r="W26" s="15"/>
      <c r="X26" s="15"/>
      <c r="Y26" s="15"/>
      <c r="Z26" s="15"/>
    </row>
    <row r="27" ht="17.25" customHeight="1">
      <c r="A27" s="43" t="s">
        <v>81</v>
      </c>
      <c r="B27" s="41">
        <v>1000000.0</v>
      </c>
      <c r="C27" s="41">
        <v>800000.0</v>
      </c>
      <c r="D27" s="41">
        <v>500000.0</v>
      </c>
      <c r="E27" s="41">
        <v>300000.0</v>
      </c>
      <c r="F27" s="41">
        <v>200000.0</v>
      </c>
      <c r="G27" s="41">
        <v>200000.0</v>
      </c>
      <c r="H27" s="41">
        <v>200000.0</v>
      </c>
      <c r="I27" s="41">
        <v>0.0</v>
      </c>
      <c r="J27" s="41">
        <v>0.0</v>
      </c>
      <c r="K27" s="41">
        <v>0.0</v>
      </c>
      <c r="L27" s="41">
        <v>0.0</v>
      </c>
      <c r="M27" s="41">
        <v>0.0</v>
      </c>
      <c r="O27" s="38">
        <f t="shared" si="16"/>
        <v>3200000</v>
      </c>
      <c r="P27" s="9"/>
      <c r="Q27" s="9"/>
      <c r="R27" s="9"/>
      <c r="S27" s="9"/>
      <c r="T27" s="9"/>
      <c r="U27" s="15"/>
      <c r="V27" s="15"/>
      <c r="W27" s="15"/>
      <c r="X27" s="15"/>
      <c r="Y27" s="15"/>
      <c r="Z27" s="15"/>
    </row>
    <row r="28" ht="17.25" customHeight="1">
      <c r="A28" s="43" t="s">
        <v>22</v>
      </c>
      <c r="B28" s="41">
        <f>B16/12*500</f>
        <v>0</v>
      </c>
      <c r="C28" s="41">
        <f t="shared" ref="C28:H28" si="20">C16/2*40</f>
        <v>998400</v>
      </c>
      <c r="D28" s="41">
        <f t="shared" si="20"/>
        <v>998400</v>
      </c>
      <c r="E28" s="41">
        <f t="shared" si="20"/>
        <v>936000</v>
      </c>
      <c r="F28" s="41">
        <f t="shared" si="20"/>
        <v>873600</v>
      </c>
      <c r="G28" s="41">
        <f t="shared" si="20"/>
        <v>1060800</v>
      </c>
      <c r="H28" s="41">
        <f t="shared" si="20"/>
        <v>652800</v>
      </c>
      <c r="I28" s="41">
        <f t="shared" ref="I28:M28" si="21">I16/12*500</f>
        <v>0</v>
      </c>
      <c r="J28" s="41">
        <f t="shared" si="21"/>
        <v>0</v>
      </c>
      <c r="K28" s="41">
        <f t="shared" si="21"/>
        <v>0</v>
      </c>
      <c r="L28" s="41">
        <f t="shared" si="21"/>
        <v>0</v>
      </c>
      <c r="M28" s="41">
        <f t="shared" si="21"/>
        <v>0</v>
      </c>
      <c r="O28" s="38">
        <f t="shared" si="16"/>
        <v>5520000</v>
      </c>
      <c r="P28" s="9"/>
      <c r="Q28" s="9"/>
      <c r="R28" s="9"/>
      <c r="S28" s="9"/>
      <c r="T28" s="9"/>
      <c r="U28" s="15"/>
      <c r="V28" s="15"/>
      <c r="W28" s="15"/>
      <c r="X28" s="15"/>
      <c r="Y28" s="15"/>
      <c r="Z28" s="15"/>
    </row>
    <row r="29" ht="17.25" customHeight="1">
      <c r="A29" s="44" t="s">
        <v>82</v>
      </c>
      <c r="B29" s="45">
        <f t="shared" ref="B29:M29" si="22">B16*B15*2.4%</f>
        <v>0</v>
      </c>
      <c r="C29" s="45">
        <f t="shared" si="22"/>
        <v>227635.2</v>
      </c>
      <c r="D29" s="45">
        <f t="shared" si="22"/>
        <v>227635.2</v>
      </c>
      <c r="E29" s="45">
        <f t="shared" si="22"/>
        <v>213408</v>
      </c>
      <c r="F29" s="45">
        <f t="shared" si="22"/>
        <v>199180.8</v>
      </c>
      <c r="G29" s="45">
        <f t="shared" si="22"/>
        <v>241862.4</v>
      </c>
      <c r="H29" s="45">
        <f t="shared" si="22"/>
        <v>148838.4</v>
      </c>
      <c r="I29" s="45">
        <f t="shared" si="22"/>
        <v>0</v>
      </c>
      <c r="J29" s="45">
        <f t="shared" si="22"/>
        <v>0</v>
      </c>
      <c r="K29" s="45">
        <f t="shared" si="22"/>
        <v>0</v>
      </c>
      <c r="L29" s="45">
        <f t="shared" si="22"/>
        <v>0</v>
      </c>
      <c r="M29" s="45">
        <f t="shared" si="22"/>
        <v>0</v>
      </c>
      <c r="O29" s="38">
        <f t="shared" si="16"/>
        <v>1258560</v>
      </c>
      <c r="P29" s="9"/>
      <c r="Q29" s="9"/>
      <c r="R29" s="9"/>
      <c r="S29" s="9"/>
      <c r="T29" s="9"/>
      <c r="U29" s="15"/>
      <c r="V29" s="15"/>
      <c r="W29" s="15"/>
      <c r="X29" s="15"/>
      <c r="Y29" s="15"/>
      <c r="Z29" s="15"/>
    </row>
    <row r="30" ht="17.25" customHeight="1">
      <c r="A30" s="44" t="s">
        <v>83</v>
      </c>
      <c r="B30" s="41">
        <v>100000.0</v>
      </c>
      <c r="C30" s="41"/>
      <c r="D30" s="45"/>
      <c r="E30" s="45"/>
      <c r="F30" s="45"/>
      <c r="G30" s="41">
        <v>100000.0</v>
      </c>
      <c r="H30" s="41">
        <v>100000.0</v>
      </c>
      <c r="I30" s="45"/>
      <c r="J30" s="45"/>
      <c r="K30" s="45"/>
      <c r="L30" s="45"/>
      <c r="M30" s="41"/>
      <c r="O30" s="38">
        <f t="shared" si="16"/>
        <v>300000</v>
      </c>
      <c r="P30" s="9"/>
      <c r="Q30" s="9"/>
      <c r="R30" s="9"/>
      <c r="S30" s="9"/>
      <c r="T30" s="9"/>
      <c r="U30" s="15"/>
      <c r="V30" s="15"/>
      <c r="W30" s="15"/>
      <c r="X30" s="15"/>
      <c r="Y30" s="15"/>
      <c r="Z30" s="15"/>
    </row>
    <row r="31" ht="17.25" customHeight="1">
      <c r="A31" s="43" t="s">
        <v>25</v>
      </c>
      <c r="B31" s="41"/>
      <c r="C31" s="41">
        <f t="shared" ref="C31:H31" si="23">1000*2*30*2</f>
        <v>120000</v>
      </c>
      <c r="D31" s="41">
        <f t="shared" si="23"/>
        <v>120000</v>
      </c>
      <c r="E31" s="41">
        <f t="shared" si="23"/>
        <v>120000</v>
      </c>
      <c r="F31" s="41">
        <f t="shared" si="23"/>
        <v>120000</v>
      </c>
      <c r="G31" s="41">
        <f t="shared" si="23"/>
        <v>120000</v>
      </c>
      <c r="H31" s="41">
        <f t="shared" si="23"/>
        <v>120000</v>
      </c>
      <c r="I31" s="41"/>
      <c r="J31" s="45"/>
      <c r="K31" s="45"/>
      <c r="L31" s="45"/>
      <c r="M31" s="41"/>
      <c r="O31" s="38">
        <f t="shared" si="16"/>
        <v>720000</v>
      </c>
      <c r="P31" s="9"/>
      <c r="Q31" s="9"/>
      <c r="R31" s="9"/>
      <c r="S31" s="9"/>
      <c r="T31" s="9"/>
      <c r="U31" s="15"/>
      <c r="V31" s="15"/>
      <c r="W31" s="15"/>
      <c r="X31" s="15"/>
      <c r="Y31" s="15"/>
      <c r="Z31" s="15"/>
    </row>
    <row r="32" ht="17.25" customHeight="1">
      <c r="A32" s="43" t="s">
        <v>84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O32" s="38">
        <f>IF((O9-SUM(O22:O31))*15% &lt; 0,0,(O9-SUM(O22:O31))*15%)</f>
        <v>0</v>
      </c>
      <c r="P32" s="9"/>
      <c r="Q32" s="9"/>
      <c r="R32" s="9"/>
      <c r="S32" s="9"/>
      <c r="T32" s="9"/>
      <c r="U32" s="15"/>
      <c r="V32" s="15"/>
      <c r="W32" s="15"/>
      <c r="X32" s="15"/>
      <c r="Y32" s="15"/>
      <c r="Z32" s="15"/>
    </row>
    <row r="33" ht="17.25" customHeight="1">
      <c r="A33" s="43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O33" s="38"/>
      <c r="P33" s="9"/>
      <c r="Q33" s="9"/>
      <c r="R33" s="9"/>
      <c r="S33" s="9"/>
      <c r="T33" s="9"/>
      <c r="U33" s="15"/>
      <c r="V33" s="15"/>
      <c r="W33" s="15"/>
      <c r="X33" s="15"/>
      <c r="Y33" s="15"/>
      <c r="Z33" s="15"/>
    </row>
    <row r="34" ht="17.25" customHeight="1">
      <c r="A34" s="36" t="s">
        <v>27</v>
      </c>
      <c r="B34" s="37">
        <f t="shared" ref="B34:M34" si="24">B23+B25+B26+B27+B30+B24</f>
        <v>22120000</v>
      </c>
      <c r="C34" s="37">
        <f t="shared" si="24"/>
        <v>3820000</v>
      </c>
      <c r="D34" s="37">
        <f t="shared" si="24"/>
        <v>3520000</v>
      </c>
      <c r="E34" s="37">
        <f t="shared" si="24"/>
        <v>3320000</v>
      </c>
      <c r="F34" s="37">
        <f t="shared" si="24"/>
        <v>3220000</v>
      </c>
      <c r="G34" s="37">
        <f t="shared" si="24"/>
        <v>1920000</v>
      </c>
      <c r="H34" s="37">
        <f t="shared" si="24"/>
        <v>1020000</v>
      </c>
      <c r="I34" s="37">
        <f t="shared" si="24"/>
        <v>60000</v>
      </c>
      <c r="J34" s="37">
        <f t="shared" si="24"/>
        <v>60000</v>
      </c>
      <c r="K34" s="37">
        <f t="shared" si="24"/>
        <v>60000</v>
      </c>
      <c r="L34" s="37">
        <f t="shared" si="24"/>
        <v>60000</v>
      </c>
      <c r="M34" s="37">
        <f t="shared" si="24"/>
        <v>60000</v>
      </c>
      <c r="O34" s="37">
        <f>SUM(B34:M34)</f>
        <v>39240000</v>
      </c>
      <c r="P34" s="9"/>
      <c r="Q34" s="9"/>
      <c r="R34" s="9"/>
      <c r="S34" s="9"/>
      <c r="T34" s="9"/>
      <c r="U34" s="15"/>
      <c r="V34" s="15"/>
      <c r="W34" s="15"/>
      <c r="X34" s="15"/>
      <c r="Y34" s="15"/>
      <c r="Z34" s="15"/>
    </row>
    <row r="35" ht="17.25" customHeight="1">
      <c r="A35" s="36" t="s">
        <v>28</v>
      </c>
      <c r="B35" s="37">
        <f t="shared" ref="B35:M35" si="25">IFERROR((B22+B28+B29+B31)/B16,0)</f>
        <v>0</v>
      </c>
      <c r="C35" s="37">
        <f t="shared" si="25"/>
        <v>51.96384615</v>
      </c>
      <c r="D35" s="37">
        <f t="shared" si="25"/>
        <v>51.96384615</v>
      </c>
      <c r="E35" s="37">
        <f t="shared" si="25"/>
        <v>52.12410256</v>
      </c>
      <c r="F35" s="37">
        <f t="shared" si="25"/>
        <v>52.30725275</v>
      </c>
      <c r="G35" s="37">
        <f t="shared" si="25"/>
        <v>51.82244344</v>
      </c>
      <c r="H35" s="37">
        <f t="shared" si="25"/>
        <v>53.23647059</v>
      </c>
      <c r="I35" s="37">
        <f t="shared" si="25"/>
        <v>0</v>
      </c>
      <c r="J35" s="37">
        <f t="shared" si="25"/>
        <v>0</v>
      </c>
      <c r="K35" s="37">
        <f t="shared" si="25"/>
        <v>0</v>
      </c>
      <c r="L35" s="37">
        <f t="shared" si="25"/>
        <v>0</v>
      </c>
      <c r="M35" s="37">
        <f t="shared" si="25"/>
        <v>0</v>
      </c>
      <c r="O35" s="37">
        <f>O21-O34</f>
        <v>15398560</v>
      </c>
      <c r="P35" s="9"/>
      <c r="Q35" s="9"/>
      <c r="R35" s="9"/>
      <c r="S35" s="9"/>
      <c r="T35" s="9"/>
      <c r="U35" s="15"/>
      <c r="V35" s="15"/>
      <c r="W35" s="15"/>
      <c r="X35" s="15"/>
      <c r="Y35" s="15"/>
      <c r="Z35" s="15"/>
    </row>
    <row r="36" ht="17.25" customHeight="1">
      <c r="A36" s="4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O36" s="24"/>
      <c r="P36" s="9"/>
      <c r="Q36" s="9"/>
      <c r="R36" s="9"/>
      <c r="S36" s="9"/>
      <c r="T36" s="9"/>
      <c r="U36" s="15"/>
      <c r="V36" s="15"/>
      <c r="W36" s="15"/>
      <c r="X36" s="15"/>
      <c r="Y36" s="15"/>
      <c r="Z36" s="15"/>
    </row>
    <row r="37" ht="17.25" customHeight="1">
      <c r="A37" s="48" t="s">
        <v>29</v>
      </c>
      <c r="B37" s="49">
        <f t="shared" ref="B37:M37" si="26">B9-B21</f>
        <v>-23120000</v>
      </c>
      <c r="C37" s="49">
        <f t="shared" si="26"/>
        <v>3070764.8</v>
      </c>
      <c r="D37" s="49">
        <f t="shared" si="26"/>
        <v>3370764.8</v>
      </c>
      <c r="E37" s="49">
        <f t="shared" si="26"/>
        <v>3132592</v>
      </c>
      <c r="F37" s="49">
        <f t="shared" si="26"/>
        <v>2794419.2</v>
      </c>
      <c r="G37" s="49">
        <f t="shared" si="26"/>
        <v>5408937.6</v>
      </c>
      <c r="H37" s="49">
        <f t="shared" si="26"/>
        <v>3443961.6</v>
      </c>
      <c r="I37" s="49">
        <f t="shared" si="26"/>
        <v>240000</v>
      </c>
      <c r="J37" s="49">
        <f t="shared" si="26"/>
        <v>240000</v>
      </c>
      <c r="K37" s="49">
        <f t="shared" si="26"/>
        <v>240000</v>
      </c>
      <c r="L37" s="50">
        <f t="shared" si="26"/>
        <v>240000</v>
      </c>
      <c r="M37" s="50">
        <f t="shared" si="26"/>
        <v>240000</v>
      </c>
      <c r="O37" s="50">
        <f>O9-O21</f>
        <v>-698560</v>
      </c>
      <c r="P37" s="9"/>
      <c r="Q37" s="9"/>
      <c r="R37" s="9"/>
      <c r="S37" s="9"/>
      <c r="T37" s="9"/>
      <c r="U37" s="51"/>
      <c r="V37" s="51"/>
      <c r="W37" s="51"/>
      <c r="X37" s="51"/>
      <c r="Y37" s="51"/>
      <c r="Z37" s="51"/>
    </row>
    <row r="38" ht="17.25" customHeight="1">
      <c r="A38" s="43" t="s">
        <v>85</v>
      </c>
      <c r="B38" s="52"/>
      <c r="C38" s="52">
        <f t="shared" ref="C38:M38" si="27">C37/C9*100%</f>
        <v>0.3237564103</v>
      </c>
      <c r="D38" s="52">
        <f t="shared" si="27"/>
        <v>0.3553859649</v>
      </c>
      <c r="E38" s="52">
        <f t="shared" si="27"/>
        <v>0.3522932973</v>
      </c>
      <c r="F38" s="52">
        <f t="shared" si="27"/>
        <v>0.336709466</v>
      </c>
      <c r="G38" s="52">
        <f t="shared" si="27"/>
        <v>0.5367287449</v>
      </c>
      <c r="H38" s="52">
        <f t="shared" si="27"/>
        <v>0.5553343653</v>
      </c>
      <c r="I38" s="52">
        <f t="shared" si="27"/>
        <v>0.8</v>
      </c>
      <c r="J38" s="52">
        <f t="shared" si="27"/>
        <v>0.8</v>
      </c>
      <c r="K38" s="52">
        <f t="shared" si="27"/>
        <v>0.8</v>
      </c>
      <c r="L38" s="52">
        <f t="shared" si="27"/>
        <v>0.8</v>
      </c>
      <c r="M38" s="52">
        <f t="shared" si="27"/>
        <v>0.8</v>
      </c>
      <c r="O38" s="52">
        <f>O37/O9*100%</f>
        <v>-0.01295068595</v>
      </c>
      <c r="P38" s="9"/>
      <c r="Q38" s="9"/>
      <c r="R38" s="9"/>
      <c r="S38" s="9"/>
      <c r="T38" s="9"/>
      <c r="U38" s="15"/>
      <c r="V38" s="15"/>
      <c r="W38" s="15"/>
      <c r="X38" s="15"/>
      <c r="Y38" s="15"/>
      <c r="Z38" s="15"/>
    </row>
    <row r="39" ht="17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O39" s="17"/>
      <c r="P39" s="9"/>
      <c r="Q39" s="9"/>
      <c r="R39" s="9"/>
      <c r="S39" s="9"/>
      <c r="T39" s="9"/>
      <c r="U39" s="15"/>
      <c r="V39" s="15"/>
      <c r="W39" s="15"/>
      <c r="X39" s="15"/>
      <c r="Y39" s="15"/>
      <c r="Z39" s="15"/>
    </row>
    <row r="40" ht="17.2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O40" s="53"/>
      <c r="P40" s="9"/>
      <c r="Q40" s="9"/>
      <c r="R40" s="9"/>
      <c r="S40" s="9"/>
      <c r="T40" s="9"/>
      <c r="U40" s="3"/>
      <c r="V40" s="3"/>
      <c r="W40" s="3"/>
      <c r="X40" s="3"/>
      <c r="Y40" s="3"/>
      <c r="Z40" s="3"/>
    </row>
    <row r="41" ht="17.25" customHeight="1">
      <c r="A41" s="54" t="s">
        <v>31</v>
      </c>
      <c r="B41" s="11">
        <f t="shared" ref="B41:M41" si="28">IFERROR(B34/(B15-B35)*B15,B34)</f>
        <v>22120000</v>
      </c>
      <c r="C41" s="11">
        <f t="shared" si="28"/>
        <v>5258042.765</v>
      </c>
      <c r="D41" s="11">
        <f t="shared" si="28"/>
        <v>4845107.469</v>
      </c>
      <c r="E41" s="11">
        <f t="shared" si="28"/>
        <v>4575128.878</v>
      </c>
      <c r="F41" s="11">
        <f t="shared" si="28"/>
        <v>4443226.039</v>
      </c>
      <c r="G41" s="11">
        <f t="shared" si="28"/>
        <v>2640081.422</v>
      </c>
      <c r="H41" s="11">
        <f t="shared" si="28"/>
        <v>1417044.448</v>
      </c>
      <c r="I41" s="11">
        <f t="shared" si="28"/>
        <v>60000</v>
      </c>
      <c r="J41" s="11">
        <f t="shared" si="28"/>
        <v>60000</v>
      </c>
      <c r="K41" s="11">
        <f t="shared" si="28"/>
        <v>60000</v>
      </c>
      <c r="L41" s="11">
        <f t="shared" si="28"/>
        <v>60000</v>
      </c>
      <c r="M41" s="11">
        <f t="shared" si="28"/>
        <v>60000</v>
      </c>
      <c r="O41" s="11">
        <f>SUM(B41:M41)</f>
        <v>45598631.02</v>
      </c>
      <c r="P41" s="9"/>
      <c r="Q41" s="9"/>
      <c r="R41" s="9"/>
      <c r="S41" s="9"/>
      <c r="T41" s="9"/>
      <c r="U41" s="3"/>
      <c r="V41" s="3"/>
      <c r="W41" s="3"/>
      <c r="X41" s="3"/>
      <c r="Y41" s="3"/>
      <c r="Z41" s="3"/>
    </row>
    <row r="42" ht="17.25" customHeight="1">
      <c r="A42" s="43" t="s">
        <v>32</v>
      </c>
      <c r="B42" s="55" t="str">
        <f t="shared" ref="B42:M42" si="29">B41/B15</f>
        <v>#DIV/0!</v>
      </c>
      <c r="C42" s="55">
        <f t="shared" si="29"/>
        <v>27673.90929</v>
      </c>
      <c r="D42" s="55">
        <f t="shared" si="29"/>
        <v>25500.56563</v>
      </c>
      <c r="E42" s="55">
        <f t="shared" si="29"/>
        <v>24079.62568</v>
      </c>
      <c r="F42" s="55">
        <f t="shared" si="29"/>
        <v>23385.40021</v>
      </c>
      <c r="G42" s="55">
        <f t="shared" si="29"/>
        <v>13895.16538</v>
      </c>
      <c r="H42" s="55">
        <f t="shared" si="29"/>
        <v>7458.128672</v>
      </c>
      <c r="I42" s="55" t="str">
        <f t="shared" si="29"/>
        <v>#DIV/0!</v>
      </c>
      <c r="J42" s="55" t="str">
        <f t="shared" si="29"/>
        <v>#DIV/0!</v>
      </c>
      <c r="K42" s="55" t="str">
        <f t="shared" si="29"/>
        <v>#DIV/0!</v>
      </c>
      <c r="L42" s="55" t="str">
        <f t="shared" si="29"/>
        <v>#DIV/0!</v>
      </c>
      <c r="M42" s="55" t="str">
        <f t="shared" si="29"/>
        <v>#DIV/0!</v>
      </c>
      <c r="O42" s="55" t="s">
        <v>33</v>
      </c>
      <c r="P42" s="55">
        <f>O41/AVERAGE(B15:M15)</f>
        <v>239992.7948</v>
      </c>
      <c r="Q42" s="9"/>
      <c r="R42" s="9"/>
      <c r="S42" s="9"/>
      <c r="T42" s="9"/>
      <c r="U42" s="3"/>
      <c r="V42" s="3"/>
      <c r="W42" s="3"/>
      <c r="X42" s="3"/>
      <c r="Y42" s="3"/>
      <c r="Z42" s="3"/>
    </row>
    <row r="43" ht="17.25" customHeight="1">
      <c r="A43" s="43" t="s">
        <v>34</v>
      </c>
      <c r="B43" s="55" t="str">
        <f t="shared" ref="B43:M43" si="30">B42/30</f>
        <v>#DIV/0!</v>
      </c>
      <c r="C43" s="55">
        <f t="shared" si="30"/>
        <v>922.4636429</v>
      </c>
      <c r="D43" s="55">
        <f t="shared" si="30"/>
        <v>850.0188542</v>
      </c>
      <c r="E43" s="55">
        <f t="shared" si="30"/>
        <v>802.6541892</v>
      </c>
      <c r="F43" s="55">
        <f t="shared" si="30"/>
        <v>779.5133402</v>
      </c>
      <c r="G43" s="55">
        <f t="shared" si="30"/>
        <v>463.1721793</v>
      </c>
      <c r="H43" s="55">
        <f t="shared" si="30"/>
        <v>248.6042891</v>
      </c>
      <c r="I43" s="55" t="str">
        <f t="shared" si="30"/>
        <v>#DIV/0!</v>
      </c>
      <c r="J43" s="55" t="str">
        <f t="shared" si="30"/>
        <v>#DIV/0!</v>
      </c>
      <c r="K43" s="55" t="str">
        <f t="shared" si="30"/>
        <v>#DIV/0!</v>
      </c>
      <c r="L43" s="55" t="str">
        <f t="shared" si="30"/>
        <v>#DIV/0!</v>
      </c>
      <c r="M43" s="55" t="str">
        <f t="shared" si="30"/>
        <v>#DIV/0!</v>
      </c>
      <c r="O43" s="55" t="s">
        <v>35</v>
      </c>
      <c r="P43" s="55">
        <f>P42/(DAYS(I2,C2))</f>
        <v>1304.308668</v>
      </c>
      <c r="Q43" s="9"/>
      <c r="R43" s="9"/>
      <c r="S43" s="9"/>
      <c r="T43" s="9"/>
      <c r="U43" s="3"/>
      <c r="V43" s="3"/>
      <c r="W43" s="3"/>
      <c r="X43" s="3"/>
      <c r="Y43" s="3"/>
      <c r="Z43" s="3"/>
    </row>
    <row r="44" ht="17.25" customHeight="1">
      <c r="A44" s="43" t="s">
        <v>36</v>
      </c>
      <c r="B44" s="55" t="str">
        <f t="shared" ref="B44:M44" si="31">B43/B7</f>
        <v>#DIV/0!</v>
      </c>
      <c r="C44" s="55">
        <f t="shared" si="31"/>
        <v>9.224636429</v>
      </c>
      <c r="D44" s="55">
        <f t="shared" si="31"/>
        <v>8.500188542</v>
      </c>
      <c r="E44" s="55">
        <f t="shared" si="31"/>
        <v>8.026541892</v>
      </c>
      <c r="F44" s="55">
        <f t="shared" si="31"/>
        <v>7.795133402</v>
      </c>
      <c r="G44" s="55">
        <f t="shared" si="31"/>
        <v>4.631721793</v>
      </c>
      <c r="H44" s="55">
        <f t="shared" si="31"/>
        <v>4.143404818</v>
      </c>
      <c r="I44" s="55" t="str">
        <f t="shared" si="31"/>
        <v>#DIV/0!</v>
      </c>
      <c r="J44" s="55" t="str">
        <f t="shared" si="31"/>
        <v>#DIV/0!</v>
      </c>
      <c r="K44" s="55" t="str">
        <f t="shared" si="31"/>
        <v>#DIV/0!</v>
      </c>
      <c r="L44" s="55" t="str">
        <f t="shared" si="31"/>
        <v>#DIV/0!</v>
      </c>
      <c r="M44" s="55" t="str">
        <f t="shared" si="31"/>
        <v>#DIV/0!</v>
      </c>
      <c r="O44" s="55" t="s">
        <v>37</v>
      </c>
      <c r="P44" s="55">
        <f>P43/AVERAGE(C5:H5)</f>
        <v>39.12926003</v>
      </c>
      <c r="Q44" s="9"/>
      <c r="R44" s="9"/>
      <c r="S44" s="9"/>
      <c r="T44" s="9"/>
      <c r="U44" s="3"/>
      <c r="V44" s="3"/>
      <c r="W44" s="3"/>
      <c r="X44" s="3"/>
      <c r="Y44" s="3"/>
      <c r="Z44" s="3"/>
    </row>
    <row r="45" ht="17.2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O45" s="55"/>
      <c r="P45" s="9"/>
      <c r="Q45" s="9"/>
      <c r="R45" s="9"/>
      <c r="S45" s="9"/>
      <c r="T45" s="9"/>
      <c r="U45" s="3"/>
      <c r="V45" s="3"/>
      <c r="W45" s="3"/>
      <c r="X45" s="3"/>
      <c r="Y45" s="3"/>
      <c r="Z45" s="3"/>
    </row>
    <row r="46" ht="17.25" customHeight="1">
      <c r="A46" s="10" t="s">
        <v>38</v>
      </c>
      <c r="B46" s="56"/>
      <c r="C46" s="56"/>
      <c r="D46" s="56"/>
      <c r="E46" s="57"/>
      <c r="F46" s="56"/>
      <c r="G46" s="56"/>
      <c r="H46" s="56"/>
      <c r="I46" s="56"/>
      <c r="J46" s="56"/>
      <c r="K46" s="56"/>
      <c r="L46" s="56"/>
      <c r="M46" s="56"/>
      <c r="O46" s="58"/>
      <c r="P46" s="9"/>
      <c r="Q46" s="9"/>
      <c r="R46" s="9"/>
      <c r="S46" s="9"/>
      <c r="T46" s="9"/>
      <c r="U46" s="15"/>
      <c r="V46" s="15"/>
      <c r="W46" s="15"/>
      <c r="X46" s="15"/>
      <c r="Y46" s="15"/>
      <c r="Z46" s="15"/>
    </row>
    <row r="47" ht="17.25" customHeight="1">
      <c r="A47" s="43" t="s">
        <v>86</v>
      </c>
      <c r="B47" s="39">
        <f>'Аренда автоматов (3 год)'!O44+B4</f>
        <v>28921524.51</v>
      </c>
      <c r="C47" s="39">
        <f t="shared" ref="C47:M47" si="32">B48</f>
        <v>5801524.51</v>
      </c>
      <c r="D47" s="39">
        <f t="shared" si="32"/>
        <v>8872289.31</v>
      </c>
      <c r="E47" s="39">
        <f t="shared" si="32"/>
        <v>12243054.11</v>
      </c>
      <c r="F47" s="39">
        <f t="shared" si="32"/>
        <v>15375646.11</v>
      </c>
      <c r="G47" s="39">
        <f t="shared" si="32"/>
        <v>18170065.31</v>
      </c>
      <c r="H47" s="59">
        <f t="shared" si="32"/>
        <v>23579002.91</v>
      </c>
      <c r="I47" s="39">
        <f t="shared" si="32"/>
        <v>27022964.51</v>
      </c>
      <c r="J47" s="39">
        <f t="shared" si="32"/>
        <v>27262964.51</v>
      </c>
      <c r="K47" s="39">
        <f t="shared" si="32"/>
        <v>27502964.51</v>
      </c>
      <c r="L47" s="39">
        <f t="shared" si="32"/>
        <v>27742964.51</v>
      </c>
      <c r="M47" s="39">
        <f t="shared" si="32"/>
        <v>27982964.51</v>
      </c>
      <c r="O47" s="45">
        <f>B47</f>
        <v>28921524.51</v>
      </c>
      <c r="P47" s="9"/>
      <c r="Q47" s="9"/>
      <c r="R47" s="9"/>
      <c r="S47" s="9"/>
      <c r="T47" s="9"/>
      <c r="U47" s="15"/>
      <c r="V47" s="15"/>
      <c r="W47" s="15"/>
      <c r="X47" s="15"/>
      <c r="Y47" s="15"/>
      <c r="Z47" s="15"/>
    </row>
    <row r="48" ht="17.25" customHeight="1">
      <c r="A48" s="43" t="s">
        <v>87</v>
      </c>
      <c r="B48" s="38">
        <f>B47+B37</f>
        <v>5801524.51</v>
      </c>
      <c r="C48" s="39">
        <f t="shared" ref="C48:M48" si="33">C47+C4+C37</f>
        <v>8872289.31</v>
      </c>
      <c r="D48" s="39">
        <f t="shared" si="33"/>
        <v>12243054.11</v>
      </c>
      <c r="E48" s="39">
        <f t="shared" si="33"/>
        <v>15375646.11</v>
      </c>
      <c r="F48" s="39">
        <f t="shared" si="33"/>
        <v>18170065.31</v>
      </c>
      <c r="G48" s="39">
        <f t="shared" si="33"/>
        <v>23579002.91</v>
      </c>
      <c r="H48" s="39">
        <f t="shared" si="33"/>
        <v>27022964.51</v>
      </c>
      <c r="I48" s="39">
        <f t="shared" si="33"/>
        <v>27262964.51</v>
      </c>
      <c r="J48" s="39">
        <f t="shared" si="33"/>
        <v>27502964.51</v>
      </c>
      <c r="K48" s="39">
        <f t="shared" si="33"/>
        <v>27742964.51</v>
      </c>
      <c r="L48" s="39">
        <f t="shared" si="33"/>
        <v>27982964.51</v>
      </c>
      <c r="M48" s="39">
        <f t="shared" si="33"/>
        <v>28222964.51</v>
      </c>
      <c r="O48" s="45">
        <f>M48-O32</f>
        <v>28222964.51</v>
      </c>
      <c r="P48" s="9"/>
      <c r="Q48" s="9"/>
      <c r="R48" s="9"/>
      <c r="S48" s="9"/>
      <c r="T48" s="9"/>
      <c r="U48" s="15"/>
      <c r="V48" s="15"/>
      <c r="W48" s="15"/>
      <c r="X48" s="15"/>
      <c r="Y48" s="15"/>
      <c r="Z48" s="15"/>
    </row>
    <row r="49" ht="17.25" customHeight="1">
      <c r="A49" s="43" t="s">
        <v>41</v>
      </c>
      <c r="B49" s="60">
        <f t="shared" ref="B49:M49" si="34">(B48-B47)/B47</f>
        <v>-0.7994046093</v>
      </c>
      <c r="C49" s="60">
        <f t="shared" si="34"/>
        <v>0.5293030814</v>
      </c>
      <c r="D49" s="60">
        <f t="shared" si="34"/>
        <v>0.3799205236</v>
      </c>
      <c r="E49" s="60">
        <f t="shared" si="34"/>
        <v>0.2558668754</v>
      </c>
      <c r="F49" s="60">
        <f t="shared" si="34"/>
        <v>0.1817432048</v>
      </c>
      <c r="G49" s="60">
        <f t="shared" si="34"/>
        <v>0.2976839933</v>
      </c>
      <c r="H49" s="60">
        <f t="shared" si="34"/>
        <v>0.1460605274</v>
      </c>
      <c r="I49" s="60">
        <f t="shared" si="34"/>
        <v>0.008881334981</v>
      </c>
      <c r="J49" s="60">
        <f t="shared" si="34"/>
        <v>0.008803151246</v>
      </c>
      <c r="K49" s="60">
        <f t="shared" si="34"/>
        <v>0.008726332026</v>
      </c>
      <c r="L49" s="60">
        <f t="shared" si="34"/>
        <v>0.008650841907</v>
      </c>
      <c r="M49" s="60">
        <f t="shared" si="34"/>
        <v>0.008576646692</v>
      </c>
      <c r="O49" s="61">
        <f>(O48-O47)/O47</f>
        <v>-0.02415363684</v>
      </c>
      <c r="P49" s="9"/>
      <c r="Q49" s="9"/>
      <c r="R49" s="9"/>
      <c r="S49" s="9"/>
      <c r="T49" s="9"/>
      <c r="U49" s="15"/>
      <c r="V49" s="15"/>
      <c r="W49" s="15"/>
      <c r="X49" s="15"/>
      <c r="Y49" s="15"/>
      <c r="Z49" s="15"/>
    </row>
    <row r="50" ht="17.2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9"/>
      <c r="Q50" s="9"/>
      <c r="R50" s="9"/>
      <c r="S50" s="9"/>
      <c r="T50" s="9"/>
      <c r="U50" s="3"/>
      <c r="V50" s="3"/>
      <c r="W50" s="3"/>
      <c r="X50" s="3"/>
      <c r="Y50" s="3"/>
      <c r="Z50" s="3"/>
    </row>
    <row r="51" ht="17.2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9"/>
      <c r="Q51" s="9"/>
      <c r="R51" s="9"/>
      <c r="S51" s="9"/>
      <c r="T51" s="9"/>
      <c r="U51" s="3"/>
      <c r="V51" s="3"/>
      <c r="W51" s="3"/>
      <c r="X51" s="3"/>
      <c r="Y51" s="3"/>
      <c r="Z51" s="3"/>
    </row>
    <row r="52" ht="17.2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9"/>
      <c r="Q53" s="9"/>
      <c r="R53" s="9"/>
      <c r="S53" s="9"/>
      <c r="T53" s="9"/>
      <c r="U53" s="3"/>
      <c r="V53" s="3"/>
      <c r="W53" s="3"/>
      <c r="X53" s="3"/>
      <c r="Y53" s="3"/>
      <c r="Z53" s="3"/>
    </row>
    <row r="54" ht="15.7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9"/>
      <c r="Q54" s="9"/>
      <c r="R54" s="9"/>
      <c r="S54" s="9"/>
      <c r="T54" s="9"/>
      <c r="U54" s="3"/>
      <c r="V54" s="3"/>
      <c r="W54" s="3"/>
      <c r="X54" s="3"/>
      <c r="Y54" s="3"/>
      <c r="Z54" s="3"/>
    </row>
    <row r="55" ht="15.7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9"/>
      <c r="Q55" s="9"/>
      <c r="R55" s="9"/>
      <c r="S55" s="9"/>
      <c r="T55" s="9"/>
      <c r="U55" s="3"/>
      <c r="V55" s="3"/>
      <c r="W55" s="3"/>
      <c r="X55" s="3"/>
      <c r="Y55" s="3"/>
      <c r="Z55" s="3"/>
    </row>
    <row r="56" ht="15.7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9"/>
      <c r="Q56" s="9"/>
      <c r="R56" s="9"/>
      <c r="S56" s="9"/>
      <c r="T56" s="9"/>
      <c r="U56" s="3"/>
      <c r="V56" s="3"/>
      <c r="W56" s="3"/>
      <c r="X56" s="3"/>
      <c r="Y56" s="3"/>
      <c r="Z56" s="3"/>
    </row>
    <row r="57" ht="15.7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9"/>
      <c r="Q57" s="9"/>
      <c r="R57" s="9"/>
      <c r="S57" s="9"/>
      <c r="T57" s="9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62"/>
      <c r="M61" s="6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64"/>
      <c r="M62" s="6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66"/>
      <c r="M63" s="6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67"/>
      <c r="M64" s="6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3">
    <mergeCell ref="D1:O1"/>
    <mergeCell ref="D3:M3"/>
    <mergeCell ref="N4:N49"/>
  </mergeCells>
  <conditionalFormatting sqref="E47:G47 I47:M47">
    <cfRule type="cellIs" dxfId="0" priority="1" operator="lessThan">
      <formula>0</formula>
    </cfRule>
  </conditionalFormatting>
  <conditionalFormatting sqref="B37:M37">
    <cfRule type="cellIs" dxfId="1" priority="2" operator="lessThan">
      <formula>0</formula>
    </cfRule>
  </conditionalFormatting>
  <conditionalFormatting sqref="B37:M37">
    <cfRule type="cellIs" dxfId="2" priority="3" operator="between">
      <formula>0</formula>
      <formula>20000</formula>
    </cfRule>
  </conditionalFormatting>
  <conditionalFormatting sqref="B37:M37">
    <cfRule type="cellIs" dxfId="3" priority="4" operator="greaterThan">
      <formula>20000</formula>
    </cfRule>
  </conditionalFormatting>
  <conditionalFormatting sqref="O22:O32">
    <cfRule type="colorScale" priority="5">
      <colorScale>
        <cfvo type="min"/>
        <cfvo type="max"/>
        <color rgb="FFFFFFFF"/>
        <color rgb="FFE67C73"/>
      </colorScale>
    </cfRule>
  </conditionalFormatting>
  <conditionalFormatting sqref="O49">
    <cfRule type="colorScale" priority="6">
      <colorScale>
        <cfvo type="formula" val="0%"/>
        <cfvo type="formula" val="20%"/>
        <cfvo type="formula" val="50%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6.71"/>
    <col customWidth="1" min="2" max="4" width="15.29"/>
    <col customWidth="1" min="5" max="13" width="13.71"/>
    <col customWidth="1" min="14" max="14" width="3.71"/>
    <col customWidth="1" min="15" max="15" width="27.0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46873.0</v>
      </c>
      <c r="C2" s="5">
        <f t="shared" ref="C2:M2" si="1">EDATE(B2,1)</f>
        <v>46903</v>
      </c>
      <c r="D2" s="5">
        <f t="shared" si="1"/>
        <v>46934</v>
      </c>
      <c r="E2" s="5">
        <f t="shared" si="1"/>
        <v>46964</v>
      </c>
      <c r="F2" s="5">
        <f t="shared" si="1"/>
        <v>46995</v>
      </c>
      <c r="G2" s="5">
        <f t="shared" si="1"/>
        <v>47026</v>
      </c>
      <c r="H2" s="5">
        <f t="shared" si="1"/>
        <v>47056</v>
      </c>
      <c r="I2" s="5">
        <f t="shared" si="1"/>
        <v>47087</v>
      </c>
      <c r="J2" s="5">
        <f t="shared" si="1"/>
        <v>47117</v>
      </c>
      <c r="K2" s="5">
        <f t="shared" si="1"/>
        <v>47148</v>
      </c>
      <c r="L2" s="5">
        <f t="shared" si="1"/>
        <v>47177</v>
      </c>
      <c r="M2" s="5">
        <f t="shared" si="1"/>
        <v>47205</v>
      </c>
      <c r="N2" s="6"/>
      <c r="O2" s="7" t="s">
        <v>2</v>
      </c>
      <c r="P2" s="72" t="s">
        <v>88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Q3" s="9"/>
      <c r="R3" s="9"/>
      <c r="S3" s="9"/>
      <c r="T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/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14"/>
      <c r="P4" s="14"/>
      <c r="Q4" s="9"/>
      <c r="R4" s="9"/>
      <c r="S4" s="9"/>
      <c r="T4" s="9"/>
      <c r="U4" s="15"/>
      <c r="V4" s="15"/>
      <c r="W4" s="15"/>
      <c r="X4" s="15"/>
      <c r="Y4" s="15"/>
      <c r="Z4" s="15"/>
    </row>
    <row r="5" ht="17.25" customHeight="1">
      <c r="A5" s="16" t="s">
        <v>4</v>
      </c>
      <c r="B5" s="16">
        <v>0.0</v>
      </c>
      <c r="C5" s="16">
        <v>40.0</v>
      </c>
      <c r="D5" s="16">
        <v>40.0</v>
      </c>
      <c r="E5" s="16">
        <v>40.0</v>
      </c>
      <c r="F5" s="16">
        <v>40.0</v>
      </c>
      <c r="G5" s="16">
        <v>40.0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O5" s="17"/>
      <c r="P5" s="9"/>
      <c r="Q5" s="9"/>
      <c r="R5" s="9"/>
      <c r="S5" s="9"/>
      <c r="T5" s="9"/>
      <c r="U5" s="15"/>
      <c r="V5" s="15"/>
      <c r="W5" s="15"/>
      <c r="X5" s="15"/>
      <c r="Y5" s="15"/>
      <c r="Z5" s="15"/>
    </row>
    <row r="6" ht="17.25" customHeight="1">
      <c r="A6" s="16" t="s">
        <v>70</v>
      </c>
      <c r="B6" s="16">
        <v>100.0</v>
      </c>
      <c r="C6" s="16">
        <v>100.0</v>
      </c>
      <c r="D6" s="16">
        <v>100.0</v>
      </c>
      <c r="E6" s="16">
        <v>100.0</v>
      </c>
      <c r="F6" s="16">
        <v>100.0</v>
      </c>
      <c r="G6" s="16">
        <v>100.0</v>
      </c>
      <c r="H6" s="16">
        <v>100.0</v>
      </c>
      <c r="I6" s="16">
        <v>100.0</v>
      </c>
      <c r="J6" s="16">
        <v>100.0</v>
      </c>
      <c r="K6" s="16">
        <v>100.0</v>
      </c>
      <c r="L6" s="16">
        <v>100.0</v>
      </c>
      <c r="M6" s="16">
        <v>100.0</v>
      </c>
      <c r="O6" s="17"/>
      <c r="P6" s="9"/>
      <c r="Q6" s="9"/>
      <c r="R6" s="9"/>
      <c r="S6" s="9"/>
      <c r="T6" s="9"/>
      <c r="U6" s="15"/>
      <c r="V6" s="15"/>
      <c r="W6" s="15"/>
      <c r="X6" s="15"/>
      <c r="Y6" s="15"/>
      <c r="Z6" s="15"/>
    </row>
    <row r="7" ht="17.25" customHeight="1">
      <c r="A7" s="16" t="s">
        <v>71</v>
      </c>
      <c r="B7" s="16">
        <f t="shared" ref="B7:M7" si="2">SUM(B5:B6)</f>
        <v>100</v>
      </c>
      <c r="C7" s="16">
        <f t="shared" si="2"/>
        <v>140</v>
      </c>
      <c r="D7" s="16">
        <f t="shared" si="2"/>
        <v>140</v>
      </c>
      <c r="E7" s="16">
        <f t="shared" si="2"/>
        <v>140</v>
      </c>
      <c r="F7" s="16">
        <f t="shared" si="2"/>
        <v>140</v>
      </c>
      <c r="G7" s="16">
        <f t="shared" si="2"/>
        <v>140</v>
      </c>
      <c r="H7" s="16">
        <f t="shared" si="2"/>
        <v>100</v>
      </c>
      <c r="I7" s="16">
        <f t="shared" si="2"/>
        <v>100</v>
      </c>
      <c r="J7" s="16">
        <f t="shared" si="2"/>
        <v>100</v>
      </c>
      <c r="K7" s="16">
        <f t="shared" si="2"/>
        <v>100</v>
      </c>
      <c r="L7" s="16">
        <f t="shared" si="2"/>
        <v>100</v>
      </c>
      <c r="M7" s="16">
        <f t="shared" si="2"/>
        <v>100</v>
      </c>
      <c r="O7" s="17"/>
      <c r="P7" s="9"/>
      <c r="Q7" s="9"/>
      <c r="R7" s="9"/>
      <c r="S7" s="9"/>
      <c r="T7" s="9"/>
      <c r="U7" s="15"/>
      <c r="V7" s="15"/>
      <c r="W7" s="15"/>
      <c r="X7" s="15"/>
      <c r="Y7" s="15"/>
      <c r="Z7" s="15"/>
    </row>
    <row r="8" ht="17.25" customHeight="1">
      <c r="A8" s="17"/>
      <c r="B8" s="17"/>
      <c r="C8" s="17"/>
      <c r="D8" s="17" t="s">
        <v>5</v>
      </c>
      <c r="E8" s="17"/>
      <c r="F8" s="17"/>
      <c r="G8" s="17"/>
      <c r="H8" s="17"/>
      <c r="I8" s="17"/>
      <c r="J8" s="17"/>
      <c r="K8" s="17"/>
      <c r="L8" s="17"/>
      <c r="M8" s="17"/>
      <c r="O8" s="17"/>
      <c r="P8" s="9"/>
      <c r="Q8" s="9"/>
      <c r="R8" s="9"/>
      <c r="S8" s="9"/>
      <c r="T8" s="9"/>
      <c r="U8" s="15"/>
      <c r="V8" s="15"/>
      <c r="W8" s="15"/>
      <c r="X8" s="15"/>
      <c r="Y8" s="15"/>
      <c r="Z8" s="15"/>
    </row>
    <row r="9" ht="17.25" customHeight="1">
      <c r="A9" s="18" t="s">
        <v>6</v>
      </c>
      <c r="B9" s="19">
        <v>0.0</v>
      </c>
      <c r="C9" s="20">
        <f t="shared" ref="C9:M9" si="3">C16*C15+C19</f>
        <v>12448800</v>
      </c>
      <c r="D9" s="20">
        <f t="shared" si="3"/>
        <v>12448800</v>
      </c>
      <c r="E9" s="20">
        <f t="shared" si="3"/>
        <v>11670750</v>
      </c>
      <c r="F9" s="20">
        <f t="shared" si="3"/>
        <v>10892700</v>
      </c>
      <c r="G9" s="20">
        <f t="shared" si="3"/>
        <v>13226850</v>
      </c>
      <c r="H9" s="20">
        <f t="shared" si="3"/>
        <v>9157050</v>
      </c>
      <c r="I9" s="20">
        <f t="shared" si="3"/>
        <v>500000</v>
      </c>
      <c r="J9" s="20">
        <f t="shared" si="3"/>
        <v>500000</v>
      </c>
      <c r="K9" s="20">
        <f t="shared" si="3"/>
        <v>500000</v>
      </c>
      <c r="L9" s="20">
        <f t="shared" si="3"/>
        <v>500000</v>
      </c>
      <c r="M9" s="20">
        <f t="shared" si="3"/>
        <v>500000</v>
      </c>
      <c r="O9" s="20">
        <f t="shared" ref="O9:O10" si="5">SUM(B9:M9)</f>
        <v>72344950</v>
      </c>
      <c r="P9" s="9"/>
      <c r="Q9" s="9"/>
      <c r="R9" s="9"/>
      <c r="S9" s="9"/>
      <c r="T9" s="9"/>
      <c r="U9" s="21"/>
      <c r="V9" s="21"/>
      <c r="W9" s="21"/>
      <c r="X9" s="21"/>
      <c r="Y9" s="21"/>
      <c r="Z9" s="21"/>
    </row>
    <row r="10" ht="17.25" customHeight="1">
      <c r="A10" s="22" t="s">
        <v>89</v>
      </c>
      <c r="B10" s="23"/>
      <c r="C10" s="23">
        <f t="shared" ref="C10:H10" si="4">300000*30*3.5</f>
        <v>31500000</v>
      </c>
      <c r="D10" s="23">
        <f t="shared" si="4"/>
        <v>31500000</v>
      </c>
      <c r="E10" s="23">
        <f t="shared" si="4"/>
        <v>31500000</v>
      </c>
      <c r="F10" s="23">
        <f t="shared" si="4"/>
        <v>31500000</v>
      </c>
      <c r="G10" s="23">
        <f t="shared" si="4"/>
        <v>31500000</v>
      </c>
      <c r="H10" s="23">
        <f t="shared" si="4"/>
        <v>31500000</v>
      </c>
      <c r="I10" s="23"/>
      <c r="J10" s="23"/>
      <c r="K10" s="23"/>
      <c r="L10" s="23"/>
      <c r="M10" s="23"/>
      <c r="O10" s="24">
        <f t="shared" si="5"/>
        <v>189000000</v>
      </c>
      <c r="P10" s="9"/>
      <c r="Q10" s="9"/>
      <c r="R10" s="9"/>
      <c r="S10" s="9"/>
      <c r="T10" s="9"/>
      <c r="U10" s="15"/>
      <c r="V10" s="15"/>
      <c r="W10" s="15"/>
      <c r="X10" s="15"/>
      <c r="Y10" s="15"/>
      <c r="Z10" s="15"/>
    </row>
    <row r="11" ht="17.25" customHeight="1">
      <c r="A11" s="22" t="s">
        <v>90</v>
      </c>
      <c r="B11" s="25"/>
      <c r="C11" s="26">
        <v>0.13</v>
      </c>
      <c r="D11" s="26">
        <v>0.13</v>
      </c>
      <c r="E11" s="26">
        <v>0.13</v>
      </c>
      <c r="F11" s="26">
        <v>0.13</v>
      </c>
      <c r="G11" s="26">
        <v>0.13</v>
      </c>
      <c r="H11" s="26">
        <v>0.09</v>
      </c>
      <c r="I11" s="27"/>
      <c r="J11" s="27"/>
      <c r="K11" s="27"/>
      <c r="L11" s="27"/>
      <c r="M11" s="27"/>
      <c r="O11" s="17"/>
      <c r="P11" s="9"/>
      <c r="Q11" s="9"/>
      <c r="R11" s="9"/>
      <c r="S11" s="9"/>
      <c r="T11" s="9"/>
      <c r="U11" s="15"/>
      <c r="V11" s="15"/>
      <c r="W11" s="15"/>
      <c r="X11" s="15"/>
      <c r="Y11" s="15"/>
      <c r="Z11" s="15"/>
    </row>
    <row r="12" ht="17.25" customHeight="1">
      <c r="A12" s="22" t="s">
        <v>91</v>
      </c>
      <c r="B12" s="28"/>
      <c r="C12" s="29">
        <f t="shared" ref="C12:H12" si="6">C11/C7*C10</f>
        <v>29250</v>
      </c>
      <c r="D12" s="29">
        <f t="shared" si="6"/>
        <v>29250</v>
      </c>
      <c r="E12" s="29">
        <f t="shared" si="6"/>
        <v>29250</v>
      </c>
      <c r="F12" s="29">
        <f t="shared" si="6"/>
        <v>29250</v>
      </c>
      <c r="G12" s="29">
        <f t="shared" si="6"/>
        <v>29250</v>
      </c>
      <c r="H12" s="29">
        <f t="shared" si="6"/>
        <v>28350</v>
      </c>
      <c r="I12" s="27"/>
      <c r="J12" s="27"/>
      <c r="K12" s="27"/>
      <c r="L12" s="27"/>
      <c r="M12" s="27"/>
      <c r="O12" s="17"/>
      <c r="P12" s="9"/>
      <c r="Q12" s="9"/>
      <c r="R12" s="9"/>
      <c r="S12" s="9"/>
      <c r="T12" s="9"/>
      <c r="U12" s="15"/>
      <c r="V12" s="15"/>
      <c r="W12" s="15"/>
      <c r="X12" s="15"/>
      <c r="Y12" s="15"/>
      <c r="Z12" s="15"/>
    </row>
    <row r="13" ht="17.25" customHeight="1">
      <c r="A13" s="22" t="s">
        <v>10</v>
      </c>
      <c r="B13" s="30"/>
      <c r="C13" s="30">
        <f t="shared" ref="C13:H13" si="7">C10*C11</f>
        <v>4095000</v>
      </c>
      <c r="D13" s="30">
        <f t="shared" si="7"/>
        <v>4095000</v>
      </c>
      <c r="E13" s="30">
        <f t="shared" si="7"/>
        <v>4095000</v>
      </c>
      <c r="F13" s="30">
        <f t="shared" si="7"/>
        <v>4095000</v>
      </c>
      <c r="G13" s="30">
        <f t="shared" si="7"/>
        <v>4095000</v>
      </c>
      <c r="H13" s="30">
        <f t="shared" si="7"/>
        <v>2835000</v>
      </c>
      <c r="I13" s="30"/>
      <c r="J13" s="30"/>
      <c r="K13" s="30"/>
      <c r="L13" s="30"/>
      <c r="M13" s="30"/>
      <c r="O13" s="24">
        <f>SUM(B13:M13)</f>
        <v>23310000</v>
      </c>
      <c r="P13" s="9"/>
      <c r="Q13" s="9"/>
      <c r="R13" s="9"/>
      <c r="S13" s="9"/>
      <c r="T13" s="9"/>
      <c r="U13" s="15"/>
      <c r="V13" s="15"/>
      <c r="W13" s="15"/>
      <c r="X13" s="15"/>
      <c r="Y13" s="15"/>
      <c r="Z13" s="15"/>
    </row>
    <row r="14" ht="17.25" customHeight="1">
      <c r="A14" s="22" t="s">
        <v>11</v>
      </c>
      <c r="B14" s="28"/>
      <c r="C14" s="31">
        <v>0.016</v>
      </c>
      <c r="D14" s="31">
        <v>0.016</v>
      </c>
      <c r="E14" s="31">
        <v>0.015</v>
      </c>
      <c r="F14" s="31">
        <v>0.014</v>
      </c>
      <c r="G14" s="31">
        <v>0.017</v>
      </c>
      <c r="H14" s="31">
        <v>0.017</v>
      </c>
      <c r="I14" s="28"/>
      <c r="J14" s="28"/>
      <c r="K14" s="28"/>
      <c r="L14" s="28"/>
      <c r="M14" s="28"/>
      <c r="O14" s="17"/>
      <c r="P14" s="9"/>
      <c r="Q14" s="9"/>
      <c r="R14" s="9"/>
      <c r="S14" s="9"/>
      <c r="T14" s="9"/>
      <c r="U14" s="15"/>
      <c r="V14" s="15"/>
      <c r="W14" s="15"/>
      <c r="X14" s="15"/>
      <c r="Y14" s="15"/>
      <c r="Z14" s="15"/>
    </row>
    <row r="15" ht="17.25" customHeight="1">
      <c r="A15" s="22" t="s">
        <v>92</v>
      </c>
      <c r="B15" s="23"/>
      <c r="C15" s="32">
        <v>190.0</v>
      </c>
      <c r="D15" s="32">
        <v>190.0</v>
      </c>
      <c r="E15" s="32">
        <v>190.0</v>
      </c>
      <c r="F15" s="32">
        <v>190.0</v>
      </c>
      <c r="G15" s="32">
        <v>190.0</v>
      </c>
      <c r="H15" s="32">
        <v>190.0</v>
      </c>
      <c r="I15" s="23"/>
      <c r="J15" s="23"/>
      <c r="K15" s="23"/>
      <c r="L15" s="23"/>
      <c r="M15" s="23"/>
      <c r="O15" s="17"/>
      <c r="P15" s="9"/>
      <c r="Q15" s="9"/>
      <c r="R15" s="9"/>
      <c r="S15" s="9"/>
      <c r="T15" s="9"/>
      <c r="U15" s="15"/>
      <c r="V15" s="15"/>
      <c r="W15" s="15"/>
      <c r="X15" s="15"/>
      <c r="Y15" s="15"/>
      <c r="Z15" s="15"/>
    </row>
    <row r="16" ht="17.25" customHeight="1">
      <c r="A16" s="22" t="s">
        <v>93</v>
      </c>
      <c r="B16" s="23"/>
      <c r="C16" s="30">
        <f t="shared" ref="C16:H16" si="8">C13*C14</f>
        <v>65520</v>
      </c>
      <c r="D16" s="30">
        <f t="shared" si="8"/>
        <v>65520</v>
      </c>
      <c r="E16" s="30">
        <f t="shared" si="8"/>
        <v>61425</v>
      </c>
      <c r="F16" s="30">
        <f t="shared" si="8"/>
        <v>57330</v>
      </c>
      <c r="G16" s="30">
        <f t="shared" si="8"/>
        <v>69615</v>
      </c>
      <c r="H16" s="30">
        <f t="shared" si="8"/>
        <v>48195</v>
      </c>
      <c r="I16" s="30"/>
      <c r="J16" s="30"/>
      <c r="K16" s="30"/>
      <c r="L16" s="30"/>
      <c r="M16" s="30"/>
      <c r="O16" s="24">
        <f>SUM(B16:M16)</f>
        <v>367605</v>
      </c>
      <c r="P16" s="9"/>
      <c r="Q16" s="9"/>
      <c r="R16" s="9"/>
      <c r="S16" s="9"/>
      <c r="T16" s="9"/>
      <c r="U16" s="15"/>
      <c r="V16" s="15"/>
      <c r="W16" s="15"/>
      <c r="X16" s="15"/>
      <c r="Y16" s="15"/>
      <c r="Z16" s="15"/>
    </row>
    <row r="17" ht="17.25" customHeight="1">
      <c r="A17" s="22" t="s">
        <v>14</v>
      </c>
      <c r="B17" s="23"/>
      <c r="C17" s="33">
        <f t="shared" ref="C17:H17" si="9">C16/30</f>
        <v>2184</v>
      </c>
      <c r="D17" s="33">
        <f t="shared" si="9"/>
        <v>2184</v>
      </c>
      <c r="E17" s="33">
        <f t="shared" si="9"/>
        <v>2047.5</v>
      </c>
      <c r="F17" s="33">
        <f t="shared" si="9"/>
        <v>1911</v>
      </c>
      <c r="G17" s="33">
        <f t="shared" si="9"/>
        <v>2320.5</v>
      </c>
      <c r="H17" s="33">
        <f t="shared" si="9"/>
        <v>1606.5</v>
      </c>
      <c r="I17" s="23"/>
      <c r="J17" s="23"/>
      <c r="K17" s="23"/>
      <c r="L17" s="23"/>
      <c r="M17" s="23"/>
      <c r="O17" s="17"/>
      <c r="P17" s="9"/>
      <c r="Q17" s="9"/>
      <c r="R17" s="9"/>
      <c r="S17" s="9"/>
      <c r="T17" s="9"/>
      <c r="U17" s="15"/>
      <c r="V17" s="15"/>
      <c r="W17" s="15"/>
      <c r="X17" s="15"/>
      <c r="Y17" s="15"/>
      <c r="Z17" s="15"/>
    </row>
    <row r="18" ht="17.25" customHeight="1">
      <c r="A18" s="22" t="s">
        <v>15</v>
      </c>
      <c r="B18" s="34"/>
      <c r="C18" s="34">
        <f t="shared" ref="C18:H18" si="10">C17/C7</f>
        <v>15.6</v>
      </c>
      <c r="D18" s="34">
        <f t="shared" si="10"/>
        <v>15.6</v>
      </c>
      <c r="E18" s="34">
        <f t="shared" si="10"/>
        <v>14.625</v>
      </c>
      <c r="F18" s="34">
        <f t="shared" si="10"/>
        <v>13.65</v>
      </c>
      <c r="G18" s="34">
        <f t="shared" si="10"/>
        <v>16.575</v>
      </c>
      <c r="H18" s="34">
        <f t="shared" si="10"/>
        <v>16.065</v>
      </c>
      <c r="I18" s="34"/>
      <c r="J18" s="34"/>
      <c r="K18" s="34"/>
      <c r="L18" s="34"/>
      <c r="M18" s="34"/>
      <c r="O18" s="17"/>
      <c r="P18" s="9"/>
      <c r="Q18" s="9"/>
      <c r="R18" s="9"/>
      <c r="S18" s="9"/>
      <c r="T18" s="9"/>
      <c r="U18" s="15"/>
      <c r="V18" s="15"/>
      <c r="W18" s="15"/>
      <c r="X18" s="15"/>
      <c r="Y18" s="15"/>
      <c r="Z18" s="15"/>
    </row>
    <row r="19" ht="17.25" customHeight="1">
      <c r="A19" s="68" t="s">
        <v>77</v>
      </c>
      <c r="B19" s="69"/>
      <c r="C19" s="69"/>
      <c r="D19" s="69"/>
      <c r="E19" s="69"/>
      <c r="F19" s="69"/>
      <c r="G19" s="69"/>
      <c r="H19" s="69"/>
      <c r="I19" s="69">
        <f t="shared" ref="I19:M19" si="11">I6*5000</f>
        <v>500000</v>
      </c>
      <c r="J19" s="69">
        <f t="shared" si="11"/>
        <v>500000</v>
      </c>
      <c r="K19" s="69">
        <f t="shared" si="11"/>
        <v>500000</v>
      </c>
      <c r="L19" s="69">
        <f t="shared" si="11"/>
        <v>500000</v>
      </c>
      <c r="M19" s="69">
        <f t="shared" si="11"/>
        <v>500000</v>
      </c>
      <c r="O19" s="45">
        <f>SUM(B19:M19)</f>
        <v>2500000</v>
      </c>
      <c r="P19" s="70"/>
      <c r="Q19" s="70"/>
      <c r="R19" s="70"/>
      <c r="S19" s="70"/>
      <c r="T19" s="70"/>
      <c r="U19" s="71"/>
      <c r="V19" s="71"/>
      <c r="W19" s="71"/>
      <c r="X19" s="71"/>
      <c r="Y19" s="71"/>
      <c r="Z19" s="71"/>
    </row>
    <row r="20" ht="17.25" customHeight="1">
      <c r="A20" s="3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O20" s="24"/>
      <c r="P20" s="38"/>
      <c r="Q20" s="9"/>
      <c r="R20" s="9"/>
      <c r="S20" s="9"/>
      <c r="T20" s="9"/>
      <c r="U20" s="15"/>
      <c r="V20" s="15"/>
      <c r="W20" s="15"/>
      <c r="X20" s="15"/>
      <c r="Y20" s="15"/>
      <c r="Z20" s="15"/>
    </row>
    <row r="21" ht="17.25" customHeight="1">
      <c r="A21" s="36" t="s">
        <v>16</v>
      </c>
      <c r="B21" s="37">
        <f t="shared" ref="B21:M21" si="12">SUM(B22:B32)</f>
        <v>18580000</v>
      </c>
      <c r="C21" s="37">
        <f t="shared" si="12"/>
        <v>8147171.2</v>
      </c>
      <c r="D21" s="37">
        <f t="shared" si="12"/>
        <v>7847171.2</v>
      </c>
      <c r="E21" s="37">
        <f t="shared" si="12"/>
        <v>7444223</v>
      </c>
      <c r="F21" s="37">
        <f t="shared" si="12"/>
        <v>7141274.8</v>
      </c>
      <c r="G21" s="37">
        <f t="shared" si="12"/>
        <v>6550119.4</v>
      </c>
      <c r="H21" s="37">
        <f t="shared" si="12"/>
        <v>3988544.2</v>
      </c>
      <c r="I21" s="37">
        <f t="shared" si="12"/>
        <v>60000</v>
      </c>
      <c r="J21" s="37">
        <f t="shared" si="12"/>
        <v>60000</v>
      </c>
      <c r="K21" s="37">
        <f t="shared" si="12"/>
        <v>60000</v>
      </c>
      <c r="L21" s="37">
        <f t="shared" si="12"/>
        <v>60000</v>
      </c>
      <c r="M21" s="37">
        <f t="shared" si="12"/>
        <v>60000</v>
      </c>
      <c r="O21" s="37">
        <f>SUM(O22:O33)</f>
        <v>61850470.73</v>
      </c>
      <c r="P21" s="60">
        <f t="shared" ref="P21:P32" si="15">O21/$O$21</f>
        <v>1</v>
      </c>
      <c r="Q21" s="9"/>
      <c r="R21" s="9"/>
      <c r="S21" s="9"/>
      <c r="T21" s="9"/>
      <c r="U21" s="21"/>
      <c r="V21" s="21"/>
      <c r="W21" s="21"/>
      <c r="X21" s="21"/>
      <c r="Y21" s="21"/>
      <c r="Z21" s="21"/>
    </row>
    <row r="22" ht="17.25" customHeight="1">
      <c r="A22" s="22" t="s">
        <v>94</v>
      </c>
      <c r="B22" s="38">
        <f>C7*40*250</f>
        <v>1400000</v>
      </c>
      <c r="C22" s="39">
        <f t="shared" ref="C22:H22" si="13">C16/10*250</f>
        <v>1638000</v>
      </c>
      <c r="D22" s="39">
        <f t="shared" si="13"/>
        <v>1638000</v>
      </c>
      <c r="E22" s="39">
        <f t="shared" si="13"/>
        <v>1535625</v>
      </c>
      <c r="F22" s="39">
        <f t="shared" si="13"/>
        <v>1433250</v>
      </c>
      <c r="G22" s="39">
        <f t="shared" si="13"/>
        <v>1740375</v>
      </c>
      <c r="H22" s="39">
        <f t="shared" si="13"/>
        <v>1204875</v>
      </c>
      <c r="I22" s="39">
        <f t="shared" ref="I22:M22" si="14">I16/10*240</f>
        <v>0</v>
      </c>
      <c r="J22" s="39">
        <f t="shared" si="14"/>
        <v>0</v>
      </c>
      <c r="K22" s="39">
        <f t="shared" si="14"/>
        <v>0</v>
      </c>
      <c r="L22" s="39">
        <f t="shared" si="14"/>
        <v>0</v>
      </c>
      <c r="M22" s="39">
        <f t="shared" si="14"/>
        <v>0</v>
      </c>
      <c r="O22" s="38">
        <f t="shared" ref="O22:O31" si="17">SUM(B22:M22)</f>
        <v>10590125</v>
      </c>
      <c r="P22" s="60">
        <f t="shared" si="15"/>
        <v>0.1712214131</v>
      </c>
      <c r="Q22" s="9"/>
      <c r="R22" s="9"/>
      <c r="S22" s="9"/>
      <c r="T22" s="9"/>
      <c r="U22" s="15"/>
      <c r="V22" s="15"/>
      <c r="W22" s="15"/>
      <c r="X22" s="15"/>
      <c r="Y22" s="15"/>
      <c r="Z22" s="15"/>
    </row>
    <row r="23" ht="17.25" customHeight="1">
      <c r="A23" s="22" t="s">
        <v>18</v>
      </c>
      <c r="B23" s="38">
        <f t="shared" ref="B23:M23" si="16">C5*20000</f>
        <v>800000</v>
      </c>
      <c r="C23" s="38">
        <f t="shared" si="16"/>
        <v>800000</v>
      </c>
      <c r="D23" s="38">
        <f t="shared" si="16"/>
        <v>800000</v>
      </c>
      <c r="E23" s="38">
        <f t="shared" si="16"/>
        <v>800000</v>
      </c>
      <c r="F23" s="38">
        <f t="shared" si="16"/>
        <v>800000</v>
      </c>
      <c r="G23" s="38">
        <f t="shared" si="16"/>
        <v>0</v>
      </c>
      <c r="H23" s="38">
        <f t="shared" si="16"/>
        <v>0</v>
      </c>
      <c r="I23" s="38">
        <f t="shared" si="16"/>
        <v>0</v>
      </c>
      <c r="J23" s="38">
        <f t="shared" si="16"/>
        <v>0</v>
      </c>
      <c r="K23" s="38">
        <f t="shared" si="16"/>
        <v>0</v>
      </c>
      <c r="L23" s="38">
        <f t="shared" si="16"/>
        <v>0</v>
      </c>
      <c r="M23" s="38">
        <f t="shared" si="16"/>
        <v>0</v>
      </c>
      <c r="O23" s="38">
        <f t="shared" si="17"/>
        <v>4000000</v>
      </c>
      <c r="P23" s="60">
        <f t="shared" si="15"/>
        <v>0.06467210278</v>
      </c>
      <c r="Q23" s="9"/>
      <c r="R23" s="9"/>
      <c r="S23" s="9"/>
      <c r="T23" s="9"/>
      <c r="U23" s="15"/>
      <c r="V23" s="15"/>
      <c r="W23" s="15"/>
      <c r="X23" s="15"/>
      <c r="Y23" s="15"/>
      <c r="Z23" s="15"/>
    </row>
    <row r="24" ht="17.25" customHeight="1">
      <c r="A24" s="22" t="s">
        <v>79</v>
      </c>
      <c r="B24" s="38">
        <f>(B6-60)*300000</f>
        <v>12000000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O24" s="38">
        <f t="shared" si="17"/>
        <v>12000000</v>
      </c>
      <c r="P24" s="60">
        <f t="shared" si="15"/>
        <v>0.1940163083</v>
      </c>
      <c r="Q24" s="9"/>
      <c r="R24" s="9"/>
      <c r="S24" s="9"/>
      <c r="T24" s="9"/>
      <c r="U24" s="15"/>
      <c r="V24" s="15"/>
      <c r="W24" s="15"/>
      <c r="X24" s="15"/>
      <c r="Y24" s="15"/>
      <c r="Z24" s="15"/>
    </row>
    <row r="25" ht="17.25" customHeight="1">
      <c r="A25" s="22" t="s">
        <v>95</v>
      </c>
      <c r="B25" s="41">
        <f t="shared" ref="B25:H25" si="18">90000*12</f>
        <v>1080000</v>
      </c>
      <c r="C25" s="41">
        <f t="shared" si="18"/>
        <v>1080000</v>
      </c>
      <c r="D25" s="41">
        <f t="shared" si="18"/>
        <v>1080000</v>
      </c>
      <c r="E25" s="41">
        <f t="shared" si="18"/>
        <v>1080000</v>
      </c>
      <c r="F25" s="41">
        <f t="shared" si="18"/>
        <v>1080000</v>
      </c>
      <c r="G25" s="41">
        <f t="shared" si="18"/>
        <v>1080000</v>
      </c>
      <c r="H25" s="41">
        <f t="shared" si="18"/>
        <v>1080000</v>
      </c>
      <c r="I25" s="41">
        <f t="shared" ref="I25:M25" si="19">3*20000</f>
        <v>60000</v>
      </c>
      <c r="J25" s="41">
        <f t="shared" si="19"/>
        <v>60000</v>
      </c>
      <c r="K25" s="41">
        <f t="shared" si="19"/>
        <v>60000</v>
      </c>
      <c r="L25" s="41">
        <f t="shared" si="19"/>
        <v>60000</v>
      </c>
      <c r="M25" s="41">
        <f t="shared" si="19"/>
        <v>60000</v>
      </c>
      <c r="O25" s="38">
        <f t="shared" si="17"/>
        <v>7860000</v>
      </c>
      <c r="P25" s="60">
        <f t="shared" si="15"/>
        <v>0.127080682</v>
      </c>
      <c r="Q25" s="9"/>
      <c r="R25" s="9"/>
      <c r="S25" s="9"/>
      <c r="T25" s="9"/>
      <c r="U25" s="15"/>
      <c r="V25" s="15"/>
      <c r="W25" s="15"/>
      <c r="X25" s="15"/>
      <c r="Y25" s="15"/>
      <c r="Z25" s="15"/>
    </row>
    <row r="26" ht="17.25" customHeight="1">
      <c r="A26" s="42" t="s">
        <v>20</v>
      </c>
      <c r="B26" s="41">
        <f t="shared" ref="B26:M26" si="20">IF(C19=0,C7*15000,C5*15000)</f>
        <v>2100000</v>
      </c>
      <c r="C26" s="41">
        <f t="shared" si="20"/>
        <v>2100000</v>
      </c>
      <c r="D26" s="41">
        <f t="shared" si="20"/>
        <v>2100000</v>
      </c>
      <c r="E26" s="41">
        <f t="shared" si="20"/>
        <v>2100000</v>
      </c>
      <c r="F26" s="41">
        <f t="shared" si="20"/>
        <v>2100000</v>
      </c>
      <c r="G26" s="41">
        <f t="shared" si="20"/>
        <v>1500000</v>
      </c>
      <c r="H26" s="41">
        <f t="shared" si="20"/>
        <v>0</v>
      </c>
      <c r="I26" s="41">
        <f t="shared" si="20"/>
        <v>0</v>
      </c>
      <c r="J26" s="41">
        <f t="shared" si="20"/>
        <v>0</v>
      </c>
      <c r="K26" s="41">
        <f t="shared" si="20"/>
        <v>0</v>
      </c>
      <c r="L26" s="41">
        <f t="shared" si="20"/>
        <v>0</v>
      </c>
      <c r="M26" s="41">
        <f t="shared" si="20"/>
        <v>0</v>
      </c>
      <c r="O26" s="38">
        <f t="shared" si="17"/>
        <v>12000000</v>
      </c>
      <c r="P26" s="60">
        <f t="shared" si="15"/>
        <v>0.1940163083</v>
      </c>
      <c r="Q26" s="9"/>
      <c r="R26" s="9"/>
      <c r="S26" s="9"/>
      <c r="T26" s="9"/>
      <c r="U26" s="15"/>
      <c r="V26" s="15"/>
      <c r="W26" s="15"/>
      <c r="X26" s="15"/>
      <c r="Y26" s="15"/>
      <c r="Z26" s="15"/>
    </row>
    <row r="27" ht="17.25" customHeight="1">
      <c r="A27" s="43" t="s">
        <v>96</v>
      </c>
      <c r="B27" s="41">
        <v>1000000.0</v>
      </c>
      <c r="C27" s="41">
        <v>800000.0</v>
      </c>
      <c r="D27" s="41">
        <v>500000.0</v>
      </c>
      <c r="E27" s="41">
        <v>300000.0</v>
      </c>
      <c r="F27" s="41">
        <v>200000.0</v>
      </c>
      <c r="G27" s="41">
        <v>200000.0</v>
      </c>
      <c r="H27" s="41">
        <v>200000.0</v>
      </c>
      <c r="I27" s="41">
        <v>0.0</v>
      </c>
      <c r="J27" s="41">
        <v>0.0</v>
      </c>
      <c r="K27" s="41">
        <v>0.0</v>
      </c>
      <c r="L27" s="41">
        <v>0.0</v>
      </c>
      <c r="M27" s="41">
        <v>0.0</v>
      </c>
      <c r="O27" s="38">
        <f t="shared" si="17"/>
        <v>3200000</v>
      </c>
      <c r="P27" s="60">
        <f t="shared" si="15"/>
        <v>0.05173768222</v>
      </c>
      <c r="Q27" s="9"/>
      <c r="R27" s="9"/>
      <c r="S27" s="9"/>
      <c r="T27" s="9"/>
      <c r="U27" s="15"/>
      <c r="V27" s="15"/>
      <c r="W27" s="15"/>
      <c r="X27" s="15"/>
      <c r="Y27" s="15"/>
      <c r="Z27" s="15"/>
    </row>
    <row r="28" ht="17.25" customHeight="1">
      <c r="A28" s="43" t="s">
        <v>22</v>
      </c>
      <c r="B28" s="41">
        <f>B16/12*500</f>
        <v>0</v>
      </c>
      <c r="C28" s="41">
        <f t="shared" ref="C28:H28" si="21">C16/2*40</f>
        <v>1310400</v>
      </c>
      <c r="D28" s="41">
        <f t="shared" si="21"/>
        <v>1310400</v>
      </c>
      <c r="E28" s="41">
        <f t="shared" si="21"/>
        <v>1228500</v>
      </c>
      <c r="F28" s="41">
        <f t="shared" si="21"/>
        <v>1146600</v>
      </c>
      <c r="G28" s="41">
        <f t="shared" si="21"/>
        <v>1392300</v>
      </c>
      <c r="H28" s="41">
        <f t="shared" si="21"/>
        <v>963900</v>
      </c>
      <c r="I28" s="41">
        <f t="shared" ref="I28:M28" si="22">I16/12*500</f>
        <v>0</v>
      </c>
      <c r="J28" s="41">
        <f t="shared" si="22"/>
        <v>0</v>
      </c>
      <c r="K28" s="41">
        <f t="shared" si="22"/>
        <v>0</v>
      </c>
      <c r="L28" s="41">
        <f t="shared" si="22"/>
        <v>0</v>
      </c>
      <c r="M28" s="41">
        <f t="shared" si="22"/>
        <v>0</v>
      </c>
      <c r="O28" s="38">
        <f t="shared" si="17"/>
        <v>7352100</v>
      </c>
      <c r="P28" s="60">
        <f t="shared" si="15"/>
        <v>0.1188689417</v>
      </c>
      <c r="Q28" s="9"/>
      <c r="R28" s="9"/>
      <c r="S28" s="9"/>
      <c r="T28" s="9"/>
      <c r="U28" s="15"/>
      <c r="V28" s="15"/>
      <c r="W28" s="15"/>
      <c r="X28" s="15"/>
      <c r="Y28" s="15"/>
      <c r="Z28" s="15"/>
    </row>
    <row r="29" ht="17.25" customHeight="1">
      <c r="A29" s="44" t="s">
        <v>97</v>
      </c>
      <c r="B29" s="45">
        <f t="shared" ref="B29:M29" si="23">B16*B15*2.4%</f>
        <v>0</v>
      </c>
      <c r="C29" s="45">
        <f t="shared" si="23"/>
        <v>298771.2</v>
      </c>
      <c r="D29" s="45">
        <f t="shared" si="23"/>
        <v>298771.2</v>
      </c>
      <c r="E29" s="45">
        <f t="shared" si="23"/>
        <v>280098</v>
      </c>
      <c r="F29" s="45">
        <f t="shared" si="23"/>
        <v>261424.8</v>
      </c>
      <c r="G29" s="45">
        <f t="shared" si="23"/>
        <v>317444.4</v>
      </c>
      <c r="H29" s="45">
        <f t="shared" si="23"/>
        <v>219769.2</v>
      </c>
      <c r="I29" s="45">
        <f t="shared" si="23"/>
        <v>0</v>
      </c>
      <c r="J29" s="45">
        <f t="shared" si="23"/>
        <v>0</v>
      </c>
      <c r="K29" s="45">
        <f t="shared" si="23"/>
        <v>0</v>
      </c>
      <c r="L29" s="45">
        <f t="shared" si="23"/>
        <v>0</v>
      </c>
      <c r="M29" s="45">
        <f t="shared" si="23"/>
        <v>0</v>
      </c>
      <c r="O29" s="38">
        <f t="shared" si="17"/>
        <v>1676278.8</v>
      </c>
      <c r="P29" s="60">
        <f t="shared" si="15"/>
        <v>0.02710211871</v>
      </c>
      <c r="Q29" s="9"/>
      <c r="R29" s="9"/>
      <c r="S29" s="9"/>
      <c r="T29" s="9"/>
      <c r="U29" s="15"/>
      <c r="V29" s="15"/>
      <c r="W29" s="15"/>
      <c r="X29" s="15"/>
      <c r="Y29" s="15"/>
      <c r="Z29" s="15"/>
    </row>
    <row r="30" ht="17.25" customHeight="1">
      <c r="A30" s="44" t="s">
        <v>98</v>
      </c>
      <c r="B30" s="41">
        <v>200000.0</v>
      </c>
      <c r="C30" s="41"/>
      <c r="D30" s="45"/>
      <c r="E30" s="45"/>
      <c r="F30" s="45"/>
      <c r="G30" s="41">
        <v>200000.0</v>
      </c>
      <c r="H30" s="41">
        <v>200000.0</v>
      </c>
      <c r="I30" s="45"/>
      <c r="J30" s="45"/>
      <c r="K30" s="45"/>
      <c r="L30" s="45"/>
      <c r="M30" s="41"/>
      <c r="O30" s="38">
        <f t="shared" si="17"/>
        <v>600000</v>
      </c>
      <c r="P30" s="60">
        <f t="shared" si="15"/>
        <v>0.009700815417</v>
      </c>
      <c r="Q30" s="9"/>
      <c r="R30" s="9"/>
      <c r="S30" s="9"/>
      <c r="T30" s="9"/>
      <c r="U30" s="15"/>
      <c r="V30" s="15"/>
      <c r="W30" s="15"/>
      <c r="X30" s="15"/>
      <c r="Y30" s="15"/>
      <c r="Z30" s="15"/>
    </row>
    <row r="31" ht="17.25" customHeight="1">
      <c r="A31" s="43" t="s">
        <v>25</v>
      </c>
      <c r="B31" s="41"/>
      <c r="C31" s="41">
        <f t="shared" ref="C31:H31" si="24">1000*2*30*2</f>
        <v>120000</v>
      </c>
      <c r="D31" s="41">
        <f t="shared" si="24"/>
        <v>120000</v>
      </c>
      <c r="E31" s="41">
        <f t="shared" si="24"/>
        <v>120000</v>
      </c>
      <c r="F31" s="41">
        <f t="shared" si="24"/>
        <v>120000</v>
      </c>
      <c r="G31" s="41">
        <f t="shared" si="24"/>
        <v>120000</v>
      </c>
      <c r="H31" s="41">
        <f t="shared" si="24"/>
        <v>120000</v>
      </c>
      <c r="I31" s="41"/>
      <c r="J31" s="45"/>
      <c r="K31" s="45"/>
      <c r="L31" s="45"/>
      <c r="M31" s="41"/>
      <c r="O31" s="38">
        <f t="shared" si="17"/>
        <v>720000</v>
      </c>
      <c r="P31" s="60">
        <f t="shared" si="15"/>
        <v>0.0116409785</v>
      </c>
      <c r="Q31" s="9"/>
      <c r="R31" s="9"/>
      <c r="S31" s="9"/>
      <c r="T31" s="9"/>
      <c r="U31" s="15"/>
      <c r="V31" s="15"/>
      <c r="W31" s="15"/>
      <c r="X31" s="15"/>
      <c r="Y31" s="15"/>
      <c r="Z31" s="15"/>
    </row>
    <row r="32" ht="17.25" customHeight="1">
      <c r="A32" s="43" t="s">
        <v>99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O32" s="38">
        <f>IF((O9-SUM(O22:O31))*15% &lt; 0,0,(O9-SUM(O22:O31))*15%)</f>
        <v>1851966.93</v>
      </c>
      <c r="P32" s="60">
        <f t="shared" si="15"/>
        <v>0.02994264891</v>
      </c>
      <c r="Q32" s="9"/>
      <c r="R32" s="9"/>
      <c r="S32" s="9"/>
      <c r="T32" s="9"/>
      <c r="U32" s="15"/>
      <c r="V32" s="15"/>
      <c r="W32" s="15"/>
      <c r="X32" s="15"/>
      <c r="Y32" s="15"/>
      <c r="Z32" s="15"/>
    </row>
    <row r="33" ht="17.25" customHeight="1">
      <c r="A33" s="43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O33" s="38"/>
      <c r="P33" s="9"/>
      <c r="Q33" s="9"/>
      <c r="R33" s="9"/>
      <c r="S33" s="9"/>
      <c r="T33" s="9"/>
      <c r="U33" s="15"/>
      <c r="V33" s="15"/>
      <c r="W33" s="15"/>
      <c r="X33" s="15"/>
      <c r="Y33" s="15"/>
      <c r="Z33" s="15"/>
    </row>
    <row r="34" ht="17.25" customHeight="1">
      <c r="A34" s="36" t="s">
        <v>27</v>
      </c>
      <c r="B34" s="37">
        <f t="shared" ref="B34:M34" si="25">B23+B25+B26+B27+B30+B24</f>
        <v>17180000</v>
      </c>
      <c r="C34" s="37">
        <f t="shared" si="25"/>
        <v>4780000</v>
      </c>
      <c r="D34" s="37">
        <f t="shared" si="25"/>
        <v>4480000</v>
      </c>
      <c r="E34" s="37">
        <f t="shared" si="25"/>
        <v>4280000</v>
      </c>
      <c r="F34" s="37">
        <f t="shared" si="25"/>
        <v>4180000</v>
      </c>
      <c r="G34" s="37">
        <f t="shared" si="25"/>
        <v>2980000</v>
      </c>
      <c r="H34" s="37">
        <f t="shared" si="25"/>
        <v>1480000</v>
      </c>
      <c r="I34" s="37">
        <f t="shared" si="25"/>
        <v>60000</v>
      </c>
      <c r="J34" s="37">
        <f t="shared" si="25"/>
        <v>60000</v>
      </c>
      <c r="K34" s="37">
        <f t="shared" si="25"/>
        <v>60000</v>
      </c>
      <c r="L34" s="37">
        <f t="shared" si="25"/>
        <v>60000</v>
      </c>
      <c r="M34" s="37">
        <f t="shared" si="25"/>
        <v>60000</v>
      </c>
      <c r="O34" s="37">
        <f>SUM(B34:M34)</f>
        <v>39660000</v>
      </c>
      <c r="P34" s="9"/>
      <c r="Q34" s="9"/>
      <c r="R34" s="9"/>
      <c r="S34" s="9"/>
      <c r="T34" s="9"/>
      <c r="U34" s="15"/>
      <c r="V34" s="15"/>
      <c r="W34" s="15"/>
      <c r="X34" s="15"/>
      <c r="Y34" s="15"/>
      <c r="Z34" s="15"/>
    </row>
    <row r="35" ht="17.25" customHeight="1">
      <c r="A35" s="36" t="s">
        <v>28</v>
      </c>
      <c r="B35" s="37">
        <f t="shared" ref="B35:M35" si="26">IFERROR((B22+B28+B29+B31)/B16,0)</f>
        <v>0</v>
      </c>
      <c r="C35" s="37">
        <f t="shared" si="26"/>
        <v>51.39150183</v>
      </c>
      <c r="D35" s="37">
        <f t="shared" si="26"/>
        <v>51.39150183</v>
      </c>
      <c r="E35" s="37">
        <f t="shared" si="26"/>
        <v>51.51360195</v>
      </c>
      <c r="F35" s="37">
        <f t="shared" si="26"/>
        <v>51.65314495</v>
      </c>
      <c r="G35" s="37">
        <f t="shared" si="26"/>
        <v>51.28376643</v>
      </c>
      <c r="H35" s="37">
        <f t="shared" si="26"/>
        <v>52.04988484</v>
      </c>
      <c r="I35" s="37">
        <f t="shared" si="26"/>
        <v>0</v>
      </c>
      <c r="J35" s="37">
        <f t="shared" si="26"/>
        <v>0</v>
      </c>
      <c r="K35" s="37">
        <f t="shared" si="26"/>
        <v>0</v>
      </c>
      <c r="L35" s="37">
        <f t="shared" si="26"/>
        <v>0</v>
      </c>
      <c r="M35" s="37">
        <f t="shared" si="26"/>
        <v>0</v>
      </c>
      <c r="O35" s="37">
        <f>O21-O34</f>
        <v>22190470.73</v>
      </c>
      <c r="P35" s="9"/>
      <c r="Q35" s="9"/>
      <c r="R35" s="9"/>
      <c r="S35" s="9"/>
      <c r="T35" s="9"/>
      <c r="U35" s="15"/>
      <c r="V35" s="15"/>
      <c r="W35" s="15"/>
      <c r="X35" s="15"/>
      <c r="Y35" s="15"/>
      <c r="Z35" s="15"/>
    </row>
    <row r="36" ht="17.25" customHeight="1">
      <c r="A36" s="4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O36" s="24"/>
      <c r="P36" s="9"/>
      <c r="Q36" s="9"/>
      <c r="R36" s="9"/>
      <c r="S36" s="9"/>
      <c r="T36" s="9"/>
      <c r="U36" s="15"/>
      <c r="V36" s="15"/>
      <c r="W36" s="15"/>
      <c r="X36" s="15"/>
      <c r="Y36" s="15"/>
      <c r="Z36" s="15"/>
    </row>
    <row r="37" ht="17.25" customHeight="1">
      <c r="A37" s="48" t="s">
        <v>29</v>
      </c>
      <c r="B37" s="49">
        <f t="shared" ref="B37:M37" si="27">B9-B21</f>
        <v>-18580000</v>
      </c>
      <c r="C37" s="49">
        <f t="shared" si="27"/>
        <v>4301628.8</v>
      </c>
      <c r="D37" s="49">
        <f t="shared" si="27"/>
        <v>4601628.8</v>
      </c>
      <c r="E37" s="49">
        <f t="shared" si="27"/>
        <v>4226527</v>
      </c>
      <c r="F37" s="49">
        <f t="shared" si="27"/>
        <v>3751425.2</v>
      </c>
      <c r="G37" s="49">
        <f t="shared" si="27"/>
        <v>6676730.6</v>
      </c>
      <c r="H37" s="49">
        <f t="shared" si="27"/>
        <v>5168505.8</v>
      </c>
      <c r="I37" s="49">
        <f t="shared" si="27"/>
        <v>440000</v>
      </c>
      <c r="J37" s="49">
        <f t="shared" si="27"/>
        <v>440000</v>
      </c>
      <c r="K37" s="49">
        <f t="shared" si="27"/>
        <v>440000</v>
      </c>
      <c r="L37" s="50">
        <f t="shared" si="27"/>
        <v>440000</v>
      </c>
      <c r="M37" s="50">
        <f t="shared" si="27"/>
        <v>440000</v>
      </c>
      <c r="O37" s="50">
        <f>O9-O21</f>
        <v>10494479.27</v>
      </c>
      <c r="P37" s="9"/>
      <c r="Q37" s="9"/>
      <c r="R37" s="9"/>
      <c r="S37" s="9"/>
      <c r="T37" s="9"/>
      <c r="U37" s="51"/>
      <c r="V37" s="51"/>
      <c r="W37" s="51"/>
      <c r="X37" s="51"/>
      <c r="Y37" s="51"/>
      <c r="Z37" s="51"/>
    </row>
    <row r="38" ht="17.25" customHeight="1">
      <c r="A38" s="43" t="s">
        <v>100</v>
      </c>
      <c r="B38" s="52"/>
      <c r="C38" s="52">
        <f t="shared" ref="C38:M38" si="28">C37/C9*100%</f>
        <v>0.345545659</v>
      </c>
      <c r="D38" s="52">
        <f t="shared" si="28"/>
        <v>0.3696443673</v>
      </c>
      <c r="E38" s="52">
        <f t="shared" si="28"/>
        <v>0.3621469914</v>
      </c>
      <c r="F38" s="52">
        <f t="shared" si="28"/>
        <v>0.3443981015</v>
      </c>
      <c r="G38" s="52">
        <f t="shared" si="28"/>
        <v>0.5047861433</v>
      </c>
      <c r="H38" s="52">
        <f t="shared" si="28"/>
        <v>0.5644291338</v>
      </c>
      <c r="I38" s="52">
        <f t="shared" si="28"/>
        <v>0.88</v>
      </c>
      <c r="J38" s="52">
        <f t="shared" si="28"/>
        <v>0.88</v>
      </c>
      <c r="K38" s="52">
        <f t="shared" si="28"/>
        <v>0.88</v>
      </c>
      <c r="L38" s="52">
        <f t="shared" si="28"/>
        <v>0.88</v>
      </c>
      <c r="M38" s="52">
        <f t="shared" si="28"/>
        <v>0.88</v>
      </c>
      <c r="O38" s="52">
        <f>O37/O9*100%</f>
        <v>0.1450616701</v>
      </c>
      <c r="P38" s="9"/>
      <c r="Q38" s="9"/>
      <c r="R38" s="9"/>
      <c r="S38" s="9"/>
      <c r="T38" s="9"/>
      <c r="U38" s="15"/>
      <c r="V38" s="15"/>
      <c r="W38" s="15"/>
      <c r="X38" s="15"/>
      <c r="Y38" s="15"/>
      <c r="Z38" s="15"/>
    </row>
    <row r="39" ht="17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O39" s="17"/>
      <c r="P39" s="9"/>
      <c r="Q39" s="9"/>
      <c r="R39" s="9"/>
      <c r="S39" s="9"/>
      <c r="T39" s="9"/>
      <c r="U39" s="15"/>
      <c r="V39" s="15"/>
      <c r="W39" s="15"/>
      <c r="X39" s="15"/>
      <c r="Y39" s="15"/>
      <c r="Z39" s="15"/>
    </row>
    <row r="40" ht="17.2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O40" s="53"/>
      <c r="P40" s="9"/>
      <c r="Q40" s="9"/>
      <c r="R40" s="9"/>
      <c r="S40" s="9"/>
      <c r="T40" s="9"/>
      <c r="U40" s="3"/>
      <c r="V40" s="3"/>
      <c r="W40" s="3"/>
      <c r="X40" s="3"/>
      <c r="Y40" s="3"/>
      <c r="Z40" s="3"/>
    </row>
    <row r="41" ht="17.25" customHeight="1">
      <c r="A41" s="54" t="s">
        <v>31</v>
      </c>
      <c r="B41" s="11">
        <f t="shared" ref="B41:M41" si="29">IFERROR(B34/(B15-B35)*B15,B34)</f>
        <v>17180000</v>
      </c>
      <c r="C41" s="11">
        <f t="shared" si="29"/>
        <v>6552267.805</v>
      </c>
      <c r="D41" s="11">
        <f t="shared" si="29"/>
        <v>6141037.608</v>
      </c>
      <c r="E41" s="11">
        <f t="shared" si="29"/>
        <v>5872056.834</v>
      </c>
      <c r="F41" s="11">
        <f t="shared" si="29"/>
        <v>5740643.687</v>
      </c>
      <c r="G41" s="11">
        <f t="shared" si="29"/>
        <v>4081714.053</v>
      </c>
      <c r="H41" s="11">
        <f t="shared" si="29"/>
        <v>2038418.016</v>
      </c>
      <c r="I41" s="11">
        <f t="shared" si="29"/>
        <v>60000</v>
      </c>
      <c r="J41" s="11">
        <f t="shared" si="29"/>
        <v>60000</v>
      </c>
      <c r="K41" s="11">
        <f t="shared" si="29"/>
        <v>60000</v>
      </c>
      <c r="L41" s="11">
        <f t="shared" si="29"/>
        <v>60000</v>
      </c>
      <c r="M41" s="11">
        <f t="shared" si="29"/>
        <v>60000</v>
      </c>
      <c r="O41" s="11">
        <f>SUM(B41:M41)</f>
        <v>47906138</v>
      </c>
      <c r="P41" s="9"/>
      <c r="Q41" s="9"/>
      <c r="R41" s="9"/>
      <c r="S41" s="9"/>
      <c r="T41" s="9"/>
      <c r="U41" s="3"/>
      <c r="V41" s="3"/>
      <c r="W41" s="3"/>
      <c r="X41" s="3"/>
      <c r="Y41" s="3"/>
      <c r="Z41" s="3"/>
    </row>
    <row r="42" ht="17.25" customHeight="1">
      <c r="A42" s="43" t="s">
        <v>32</v>
      </c>
      <c r="B42" s="55" t="str">
        <f t="shared" ref="B42:M42" si="30">B41/B15</f>
        <v>#DIV/0!</v>
      </c>
      <c r="C42" s="55">
        <f t="shared" si="30"/>
        <v>34485.62002</v>
      </c>
      <c r="D42" s="55">
        <f t="shared" si="30"/>
        <v>32321.25057</v>
      </c>
      <c r="E42" s="55">
        <f t="shared" si="30"/>
        <v>30905.56228</v>
      </c>
      <c r="F42" s="55">
        <f t="shared" si="30"/>
        <v>30213.91414</v>
      </c>
      <c r="G42" s="55">
        <f t="shared" si="30"/>
        <v>21482.70554</v>
      </c>
      <c r="H42" s="55">
        <f t="shared" si="30"/>
        <v>10728.51587</v>
      </c>
      <c r="I42" s="55" t="str">
        <f t="shared" si="30"/>
        <v>#DIV/0!</v>
      </c>
      <c r="J42" s="55" t="str">
        <f t="shared" si="30"/>
        <v>#DIV/0!</v>
      </c>
      <c r="K42" s="55" t="str">
        <f t="shared" si="30"/>
        <v>#DIV/0!</v>
      </c>
      <c r="L42" s="55" t="str">
        <f t="shared" si="30"/>
        <v>#DIV/0!</v>
      </c>
      <c r="M42" s="55" t="str">
        <f t="shared" si="30"/>
        <v>#DIV/0!</v>
      </c>
      <c r="O42" s="55" t="s">
        <v>33</v>
      </c>
      <c r="P42" s="55">
        <f>O41/AVERAGE(B15:M15)</f>
        <v>252137.5684</v>
      </c>
      <c r="Q42" s="9"/>
      <c r="R42" s="9"/>
      <c r="S42" s="9"/>
      <c r="T42" s="9"/>
      <c r="U42" s="3"/>
      <c r="V42" s="3"/>
      <c r="W42" s="3"/>
      <c r="X42" s="3"/>
      <c r="Y42" s="3"/>
      <c r="Z42" s="3"/>
    </row>
    <row r="43" ht="17.25" customHeight="1">
      <c r="A43" s="43" t="s">
        <v>34</v>
      </c>
      <c r="B43" s="55" t="str">
        <f t="shared" ref="B43:M43" si="31">B42/30</f>
        <v>#DIV/0!</v>
      </c>
      <c r="C43" s="55">
        <f t="shared" si="31"/>
        <v>1149.520667</v>
      </c>
      <c r="D43" s="55">
        <f t="shared" si="31"/>
        <v>1077.375019</v>
      </c>
      <c r="E43" s="55">
        <f t="shared" si="31"/>
        <v>1030.185409</v>
      </c>
      <c r="F43" s="55">
        <f t="shared" si="31"/>
        <v>1007.130471</v>
      </c>
      <c r="G43" s="55">
        <f t="shared" si="31"/>
        <v>716.0901848</v>
      </c>
      <c r="H43" s="55">
        <f t="shared" si="31"/>
        <v>357.6171957</v>
      </c>
      <c r="I43" s="55" t="str">
        <f t="shared" si="31"/>
        <v>#DIV/0!</v>
      </c>
      <c r="J43" s="55" t="str">
        <f t="shared" si="31"/>
        <v>#DIV/0!</v>
      </c>
      <c r="K43" s="55" t="str">
        <f t="shared" si="31"/>
        <v>#DIV/0!</v>
      </c>
      <c r="L43" s="55" t="str">
        <f t="shared" si="31"/>
        <v>#DIV/0!</v>
      </c>
      <c r="M43" s="55" t="str">
        <f t="shared" si="31"/>
        <v>#DIV/0!</v>
      </c>
      <c r="O43" s="55" t="s">
        <v>35</v>
      </c>
      <c r="P43" s="55">
        <f>P42/(DAYS(I2,C2))</f>
        <v>1370.312872</v>
      </c>
      <c r="Q43" s="9"/>
      <c r="R43" s="9"/>
      <c r="S43" s="9"/>
      <c r="T43" s="9"/>
      <c r="U43" s="3"/>
      <c r="V43" s="3"/>
      <c r="W43" s="3"/>
      <c r="X43" s="3"/>
      <c r="Y43" s="3"/>
      <c r="Z43" s="3"/>
    </row>
    <row r="44" ht="17.25" customHeight="1">
      <c r="A44" s="43" t="s">
        <v>36</v>
      </c>
      <c r="B44" s="55" t="str">
        <f t="shared" ref="B44:M44" si="32">B43/B7</f>
        <v>#DIV/0!</v>
      </c>
      <c r="C44" s="55">
        <f t="shared" si="32"/>
        <v>8.210861911</v>
      </c>
      <c r="D44" s="55">
        <f t="shared" si="32"/>
        <v>7.695535849</v>
      </c>
      <c r="E44" s="55">
        <f t="shared" si="32"/>
        <v>7.35846721</v>
      </c>
      <c r="F44" s="55">
        <f t="shared" si="32"/>
        <v>7.193789081</v>
      </c>
      <c r="G44" s="55">
        <f t="shared" si="32"/>
        <v>5.114929891</v>
      </c>
      <c r="H44" s="55">
        <f t="shared" si="32"/>
        <v>3.576171957</v>
      </c>
      <c r="I44" s="55" t="str">
        <f t="shared" si="32"/>
        <v>#DIV/0!</v>
      </c>
      <c r="J44" s="55" t="str">
        <f t="shared" si="32"/>
        <v>#DIV/0!</v>
      </c>
      <c r="K44" s="55" t="str">
        <f t="shared" si="32"/>
        <v>#DIV/0!</v>
      </c>
      <c r="L44" s="55" t="str">
        <f t="shared" si="32"/>
        <v>#DIV/0!</v>
      </c>
      <c r="M44" s="55" t="str">
        <f t="shared" si="32"/>
        <v>#DIV/0!</v>
      </c>
      <c r="O44" s="55" t="s">
        <v>37</v>
      </c>
      <c r="P44" s="55">
        <f>P43/AVERAGE(C5:H5)</f>
        <v>41.10938616</v>
      </c>
      <c r="Q44" s="9"/>
      <c r="R44" s="9"/>
      <c r="S44" s="9"/>
      <c r="T44" s="9"/>
      <c r="U44" s="3"/>
      <c r="V44" s="3"/>
      <c r="W44" s="3"/>
      <c r="X44" s="3"/>
      <c r="Y44" s="3"/>
      <c r="Z44" s="3"/>
    </row>
    <row r="45" ht="17.2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O45" s="55"/>
      <c r="P45" s="9"/>
      <c r="Q45" s="9"/>
      <c r="R45" s="9"/>
      <c r="S45" s="9"/>
      <c r="T45" s="9"/>
      <c r="U45" s="3"/>
      <c r="V45" s="3"/>
      <c r="W45" s="3"/>
      <c r="X45" s="3"/>
      <c r="Y45" s="3"/>
      <c r="Z45" s="3"/>
    </row>
    <row r="46" ht="17.25" customHeight="1">
      <c r="A46" s="10" t="s">
        <v>38</v>
      </c>
      <c r="B46" s="56"/>
      <c r="C46" s="56"/>
      <c r="D46" s="56"/>
      <c r="E46" s="57"/>
      <c r="F46" s="56"/>
      <c r="G46" s="56"/>
      <c r="H46" s="56"/>
      <c r="I46" s="56"/>
      <c r="J46" s="56"/>
      <c r="K46" s="56"/>
      <c r="L46" s="56"/>
      <c r="M46" s="56"/>
      <c r="O46" s="58"/>
      <c r="P46" s="9"/>
      <c r="Q46" s="9"/>
      <c r="R46" s="9"/>
      <c r="S46" s="9"/>
      <c r="T46" s="9"/>
      <c r="U46" s="15"/>
      <c r="V46" s="15"/>
      <c r="W46" s="15"/>
      <c r="X46" s="15"/>
      <c r="Y46" s="15"/>
      <c r="Z46" s="15"/>
    </row>
    <row r="47" ht="17.25" customHeight="1">
      <c r="A47" s="43" t="s">
        <v>101</v>
      </c>
      <c r="B47" s="39">
        <f>'Инвестиции (4 год)'!O48+B4</f>
        <v>28222964.51</v>
      </c>
      <c r="C47" s="39">
        <f t="shared" ref="C47:M47" si="33">B48</f>
        <v>9642964.51</v>
      </c>
      <c r="D47" s="39">
        <f t="shared" si="33"/>
        <v>13944593.31</v>
      </c>
      <c r="E47" s="39">
        <f t="shared" si="33"/>
        <v>18546222.11</v>
      </c>
      <c r="F47" s="39">
        <f t="shared" si="33"/>
        <v>22772749.11</v>
      </c>
      <c r="G47" s="39">
        <f t="shared" si="33"/>
        <v>26524174.31</v>
      </c>
      <c r="H47" s="59">
        <f t="shared" si="33"/>
        <v>33200904.91</v>
      </c>
      <c r="I47" s="39">
        <f t="shared" si="33"/>
        <v>38369410.71</v>
      </c>
      <c r="J47" s="39">
        <f t="shared" si="33"/>
        <v>38809410.71</v>
      </c>
      <c r="K47" s="39">
        <f t="shared" si="33"/>
        <v>39249410.71</v>
      </c>
      <c r="L47" s="39">
        <f t="shared" si="33"/>
        <v>39689410.71</v>
      </c>
      <c r="M47" s="39">
        <f t="shared" si="33"/>
        <v>40129410.71</v>
      </c>
      <c r="O47" s="45">
        <f>B47</f>
        <v>28222964.51</v>
      </c>
      <c r="P47" s="9"/>
      <c r="Q47" s="9"/>
      <c r="R47" s="9"/>
      <c r="S47" s="9"/>
      <c r="T47" s="9"/>
      <c r="U47" s="15"/>
      <c r="V47" s="15"/>
      <c r="W47" s="15"/>
      <c r="X47" s="15"/>
      <c r="Y47" s="15"/>
      <c r="Z47" s="15"/>
    </row>
    <row r="48" ht="17.25" customHeight="1">
      <c r="A48" s="43" t="s">
        <v>102</v>
      </c>
      <c r="B48" s="38">
        <f>B47+B37</f>
        <v>9642964.51</v>
      </c>
      <c r="C48" s="39">
        <f t="shared" ref="C48:M48" si="34">C47+C4+C37</f>
        <v>13944593.31</v>
      </c>
      <c r="D48" s="39">
        <f t="shared" si="34"/>
        <v>18546222.11</v>
      </c>
      <c r="E48" s="39">
        <f t="shared" si="34"/>
        <v>22772749.11</v>
      </c>
      <c r="F48" s="39">
        <f t="shared" si="34"/>
        <v>26524174.31</v>
      </c>
      <c r="G48" s="39">
        <f t="shared" si="34"/>
        <v>33200904.91</v>
      </c>
      <c r="H48" s="39">
        <f t="shared" si="34"/>
        <v>38369410.71</v>
      </c>
      <c r="I48" s="39">
        <f t="shared" si="34"/>
        <v>38809410.71</v>
      </c>
      <c r="J48" s="39">
        <f t="shared" si="34"/>
        <v>39249410.71</v>
      </c>
      <c r="K48" s="39">
        <f t="shared" si="34"/>
        <v>39689410.71</v>
      </c>
      <c r="L48" s="39">
        <f t="shared" si="34"/>
        <v>40129410.71</v>
      </c>
      <c r="M48" s="39">
        <f t="shared" si="34"/>
        <v>40569410.71</v>
      </c>
      <c r="O48" s="45">
        <f>M48-O32</f>
        <v>38717443.78</v>
      </c>
      <c r="P48" s="9"/>
      <c r="Q48" s="9"/>
      <c r="R48" s="9"/>
      <c r="S48" s="9"/>
      <c r="T48" s="9"/>
      <c r="U48" s="15"/>
      <c r="V48" s="15"/>
      <c r="W48" s="15"/>
      <c r="X48" s="15"/>
      <c r="Y48" s="15"/>
      <c r="Z48" s="15"/>
    </row>
    <row r="49" ht="17.25" customHeight="1">
      <c r="A49" s="43" t="s">
        <v>41</v>
      </c>
      <c r="B49" s="60">
        <f t="shared" ref="B49:M49" si="35">(B48-B47)/B47</f>
        <v>-0.6583291416</v>
      </c>
      <c r="C49" s="60">
        <f t="shared" si="35"/>
        <v>0.4460898716</v>
      </c>
      <c r="D49" s="60">
        <f t="shared" si="35"/>
        <v>0.3299937616</v>
      </c>
      <c r="E49" s="60">
        <f t="shared" si="35"/>
        <v>0.2278915336</v>
      </c>
      <c r="F49" s="60">
        <f t="shared" si="35"/>
        <v>0.1647330843</v>
      </c>
      <c r="G49" s="60">
        <f t="shared" si="35"/>
        <v>0.2517224673</v>
      </c>
      <c r="H49" s="60">
        <f t="shared" si="35"/>
        <v>0.1556736425</v>
      </c>
      <c r="I49" s="60">
        <f t="shared" si="35"/>
        <v>0.01146746827</v>
      </c>
      <c r="J49" s="60">
        <f t="shared" si="35"/>
        <v>0.01133745635</v>
      </c>
      <c r="K49" s="60">
        <f t="shared" si="35"/>
        <v>0.01121035939</v>
      </c>
      <c r="L49" s="60">
        <f t="shared" si="35"/>
        <v>0.01108608045</v>
      </c>
      <c r="M49" s="60">
        <f t="shared" si="35"/>
        <v>0.01096452682</v>
      </c>
      <c r="O49" s="61">
        <f>(O48-O47)/O47</f>
        <v>0.3718418477</v>
      </c>
      <c r="P49" s="9"/>
      <c r="Q49" s="9"/>
      <c r="R49" s="9"/>
      <c r="S49" s="9"/>
      <c r="T49" s="9"/>
      <c r="U49" s="15"/>
      <c r="V49" s="15"/>
      <c r="W49" s="15"/>
      <c r="X49" s="15"/>
      <c r="Y49" s="15"/>
      <c r="Z49" s="15"/>
    </row>
    <row r="50" ht="17.2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9"/>
      <c r="Q50" s="9"/>
      <c r="R50" s="9"/>
      <c r="S50" s="9"/>
      <c r="T50" s="9"/>
      <c r="U50" s="3"/>
      <c r="V50" s="3"/>
      <c r="W50" s="3"/>
      <c r="X50" s="3"/>
      <c r="Y50" s="3"/>
      <c r="Z50" s="3"/>
    </row>
    <row r="51" ht="17.2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9"/>
      <c r="Q51" s="9"/>
      <c r="R51" s="9"/>
      <c r="S51" s="9"/>
      <c r="T51" s="9"/>
      <c r="U51" s="3"/>
      <c r="V51" s="3"/>
      <c r="W51" s="3"/>
      <c r="X51" s="3"/>
      <c r="Y51" s="3"/>
      <c r="Z51" s="3"/>
    </row>
    <row r="52" ht="17.2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9"/>
      <c r="Q53" s="9"/>
      <c r="R53" s="9"/>
      <c r="S53" s="9"/>
      <c r="T53" s="9"/>
      <c r="U53" s="3"/>
      <c r="V53" s="3"/>
      <c r="W53" s="3"/>
      <c r="X53" s="3"/>
      <c r="Y53" s="3"/>
      <c r="Z53" s="3"/>
    </row>
    <row r="54" ht="15.7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9"/>
      <c r="Q54" s="9"/>
      <c r="R54" s="9"/>
      <c r="S54" s="9"/>
      <c r="T54" s="9"/>
      <c r="U54" s="3"/>
      <c r="V54" s="3"/>
      <c r="W54" s="3"/>
      <c r="X54" s="3"/>
      <c r="Y54" s="3"/>
      <c r="Z54" s="3"/>
    </row>
    <row r="55" ht="15.7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9"/>
      <c r="Q55" s="9"/>
      <c r="R55" s="9"/>
      <c r="S55" s="9"/>
      <c r="T55" s="9"/>
      <c r="U55" s="3"/>
      <c r="V55" s="3"/>
      <c r="W55" s="3"/>
      <c r="X55" s="3"/>
      <c r="Y55" s="3"/>
      <c r="Z55" s="3"/>
    </row>
    <row r="56" ht="15.7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9"/>
      <c r="Q56" s="9"/>
      <c r="R56" s="9"/>
      <c r="S56" s="9"/>
      <c r="T56" s="9"/>
      <c r="U56" s="3"/>
      <c r="V56" s="3"/>
      <c r="W56" s="3"/>
      <c r="X56" s="3"/>
      <c r="Y56" s="3"/>
      <c r="Z56" s="3"/>
    </row>
    <row r="57" ht="15.7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9"/>
      <c r="Q57" s="9"/>
      <c r="R57" s="9"/>
      <c r="S57" s="9"/>
      <c r="T57" s="9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62"/>
      <c r="M61" s="6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64"/>
      <c r="M62" s="6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66"/>
      <c r="M63" s="6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67"/>
      <c r="M64" s="6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3">
    <mergeCell ref="D1:O1"/>
    <mergeCell ref="D3:M3"/>
    <mergeCell ref="N4:N49"/>
  </mergeCells>
  <conditionalFormatting sqref="E47:G47 I47:M47">
    <cfRule type="cellIs" dxfId="0" priority="1" operator="lessThan">
      <formula>0</formula>
    </cfRule>
  </conditionalFormatting>
  <conditionalFormatting sqref="B37:M37">
    <cfRule type="cellIs" dxfId="1" priority="2" operator="lessThan">
      <formula>0</formula>
    </cfRule>
  </conditionalFormatting>
  <conditionalFormatting sqref="B37:M37">
    <cfRule type="cellIs" dxfId="2" priority="3" operator="between">
      <formula>0</formula>
      <formula>20000</formula>
    </cfRule>
  </conditionalFormatting>
  <conditionalFormatting sqref="B37:M37">
    <cfRule type="cellIs" dxfId="3" priority="4" operator="greaterThan">
      <formula>20000</formula>
    </cfRule>
  </conditionalFormatting>
  <conditionalFormatting sqref="P20:P32 O22:O32">
    <cfRule type="colorScale" priority="5">
      <colorScale>
        <cfvo type="min"/>
        <cfvo type="max"/>
        <color rgb="FFFFFFFF"/>
        <color rgb="FFE67C73"/>
      </colorScale>
    </cfRule>
  </conditionalFormatting>
  <conditionalFormatting sqref="O49">
    <cfRule type="colorScale" priority="6">
      <colorScale>
        <cfvo type="formula" val="0%"/>
        <cfvo type="formula" val="20%"/>
        <cfvo type="formula" val="50%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6.71"/>
    <col customWidth="1" min="2" max="4" width="15.29"/>
    <col customWidth="1" min="5" max="13" width="13.71"/>
    <col customWidth="1" min="14" max="14" width="3.71"/>
    <col customWidth="1" min="15" max="15" width="27.0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45412.0</v>
      </c>
      <c r="C2" s="5">
        <f t="shared" ref="C2:M2" si="1">EDATE(B2,1)</f>
        <v>45442</v>
      </c>
      <c r="D2" s="5">
        <f t="shared" si="1"/>
        <v>45473</v>
      </c>
      <c r="E2" s="5">
        <f t="shared" si="1"/>
        <v>45503</v>
      </c>
      <c r="F2" s="5">
        <f t="shared" si="1"/>
        <v>45534</v>
      </c>
      <c r="G2" s="5">
        <f t="shared" si="1"/>
        <v>45565</v>
      </c>
      <c r="H2" s="5">
        <f t="shared" si="1"/>
        <v>45595</v>
      </c>
      <c r="I2" s="5">
        <f t="shared" si="1"/>
        <v>45626</v>
      </c>
      <c r="J2" s="5">
        <f t="shared" si="1"/>
        <v>45656</v>
      </c>
      <c r="K2" s="5">
        <f t="shared" si="1"/>
        <v>45687</v>
      </c>
      <c r="L2" s="5">
        <f t="shared" si="1"/>
        <v>45716</v>
      </c>
      <c r="M2" s="5">
        <f t="shared" si="1"/>
        <v>45744</v>
      </c>
      <c r="N2" s="6"/>
      <c r="O2" s="7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Q3" s="9"/>
      <c r="R3" s="9"/>
      <c r="S3" s="9"/>
      <c r="T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>
        <v>5200000.0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14"/>
      <c r="P4" s="9"/>
      <c r="Q4" s="9"/>
      <c r="R4" s="9"/>
      <c r="S4" s="9"/>
      <c r="T4" s="9"/>
      <c r="U4" s="15"/>
      <c r="V4" s="15"/>
      <c r="W4" s="15"/>
      <c r="X4" s="15"/>
      <c r="Y4" s="15"/>
      <c r="Z4" s="15"/>
    </row>
    <row r="5" ht="17.25" customHeight="1">
      <c r="A5" s="16" t="s">
        <v>103</v>
      </c>
      <c r="B5" s="16">
        <v>0.0</v>
      </c>
      <c r="C5" s="16">
        <v>15.0</v>
      </c>
      <c r="D5" s="16">
        <v>15.0</v>
      </c>
      <c r="E5" s="16">
        <v>15.0</v>
      </c>
      <c r="F5" s="16">
        <v>15.0</v>
      </c>
      <c r="G5" s="16">
        <v>15.0</v>
      </c>
      <c r="H5" s="16">
        <v>15.0</v>
      </c>
      <c r="I5" s="16">
        <v>15.0</v>
      </c>
      <c r="J5" s="16">
        <v>15.0</v>
      </c>
      <c r="K5" s="16">
        <v>15.0</v>
      </c>
      <c r="L5" s="16">
        <v>15.0</v>
      </c>
      <c r="M5" s="16">
        <v>15.0</v>
      </c>
      <c r="O5" s="17"/>
      <c r="P5" s="9"/>
      <c r="Q5" s="9"/>
      <c r="R5" s="9"/>
      <c r="S5" s="9"/>
      <c r="T5" s="9"/>
      <c r="U5" s="15"/>
      <c r="V5" s="15"/>
      <c r="W5" s="15"/>
      <c r="X5" s="15"/>
      <c r="Y5" s="15"/>
      <c r="Z5" s="15"/>
    </row>
    <row r="6" ht="17.25" customHeight="1">
      <c r="A6" s="17"/>
      <c r="B6" s="17"/>
      <c r="C6" s="17"/>
      <c r="D6" s="17" t="s">
        <v>5</v>
      </c>
      <c r="E6" s="17"/>
      <c r="F6" s="17"/>
      <c r="G6" s="17"/>
      <c r="H6" s="17"/>
      <c r="I6" s="17"/>
      <c r="J6" s="17"/>
      <c r="K6" s="17"/>
      <c r="L6" s="17"/>
      <c r="M6" s="17"/>
      <c r="O6" s="17"/>
      <c r="P6" s="9"/>
      <c r="Q6" s="9"/>
      <c r="R6" s="9"/>
      <c r="S6" s="9"/>
      <c r="T6" s="9"/>
      <c r="U6" s="15"/>
      <c r="V6" s="15"/>
      <c r="W6" s="15"/>
      <c r="X6" s="15"/>
      <c r="Y6" s="15"/>
      <c r="Z6" s="15"/>
    </row>
    <row r="7" ht="17.25" customHeight="1">
      <c r="A7" s="18" t="s">
        <v>6</v>
      </c>
      <c r="B7" s="19">
        <v>0.0</v>
      </c>
      <c r="C7" s="20">
        <f t="shared" ref="C7:M7" si="2">C14*C13+C17</f>
        <v>1824000</v>
      </c>
      <c r="D7" s="20">
        <f t="shared" si="2"/>
        <v>1824000</v>
      </c>
      <c r="E7" s="20">
        <f t="shared" si="2"/>
        <v>1710000</v>
      </c>
      <c r="F7" s="20">
        <f t="shared" si="2"/>
        <v>1596000</v>
      </c>
      <c r="G7" s="20">
        <f t="shared" si="2"/>
        <v>1938000</v>
      </c>
      <c r="H7" s="20">
        <f t="shared" si="2"/>
        <v>1938000</v>
      </c>
      <c r="I7" s="20">
        <f t="shared" si="2"/>
        <v>75000</v>
      </c>
      <c r="J7" s="20">
        <f t="shared" si="2"/>
        <v>75000</v>
      </c>
      <c r="K7" s="20">
        <f t="shared" si="2"/>
        <v>75000</v>
      </c>
      <c r="L7" s="20">
        <f t="shared" si="2"/>
        <v>75000</v>
      </c>
      <c r="M7" s="20">
        <f t="shared" si="2"/>
        <v>75000</v>
      </c>
      <c r="O7" s="20">
        <f t="shared" ref="O7:O8" si="4">SUM(B7:M7)</f>
        <v>11205000</v>
      </c>
      <c r="P7" s="9"/>
      <c r="Q7" s="9"/>
      <c r="R7" s="9"/>
      <c r="S7" s="9"/>
      <c r="T7" s="9"/>
      <c r="U7" s="21"/>
      <c r="V7" s="21"/>
      <c r="W7" s="21"/>
      <c r="X7" s="21"/>
      <c r="Y7" s="21"/>
      <c r="Z7" s="21"/>
    </row>
    <row r="8" ht="17.25" customHeight="1">
      <c r="A8" s="22" t="s">
        <v>104</v>
      </c>
      <c r="B8" s="23"/>
      <c r="C8" s="23">
        <f t="shared" ref="C8:H8" si="3">200000*30</f>
        <v>6000000</v>
      </c>
      <c r="D8" s="23">
        <f t="shared" si="3"/>
        <v>6000000</v>
      </c>
      <c r="E8" s="23">
        <f t="shared" si="3"/>
        <v>6000000</v>
      </c>
      <c r="F8" s="23">
        <f t="shared" si="3"/>
        <v>6000000</v>
      </c>
      <c r="G8" s="23">
        <f t="shared" si="3"/>
        <v>6000000</v>
      </c>
      <c r="H8" s="23">
        <f t="shared" si="3"/>
        <v>6000000</v>
      </c>
      <c r="I8" s="23"/>
      <c r="J8" s="23"/>
      <c r="K8" s="23"/>
      <c r="L8" s="23"/>
      <c r="M8" s="23"/>
      <c r="O8" s="24">
        <f t="shared" si="4"/>
        <v>36000000</v>
      </c>
      <c r="P8" s="9"/>
      <c r="Q8" s="9"/>
      <c r="R8" s="9"/>
      <c r="S8" s="9"/>
      <c r="T8" s="9"/>
      <c r="U8" s="15"/>
      <c r="V8" s="15"/>
      <c r="W8" s="15"/>
      <c r="X8" s="15"/>
      <c r="Y8" s="15"/>
      <c r="Z8" s="15"/>
    </row>
    <row r="9" ht="17.25" customHeight="1">
      <c r="A9" s="22" t="s">
        <v>105</v>
      </c>
      <c r="B9" s="25"/>
      <c r="C9" s="26">
        <v>0.1</v>
      </c>
      <c r="D9" s="26">
        <v>0.1</v>
      </c>
      <c r="E9" s="26">
        <v>0.1</v>
      </c>
      <c r="F9" s="26">
        <v>0.1</v>
      </c>
      <c r="G9" s="26">
        <v>0.1</v>
      </c>
      <c r="H9" s="26">
        <v>0.1</v>
      </c>
      <c r="I9" s="27"/>
      <c r="J9" s="27"/>
      <c r="K9" s="27"/>
      <c r="L9" s="27"/>
      <c r="M9" s="27"/>
      <c r="O9" s="17"/>
      <c r="P9" s="9"/>
      <c r="Q9" s="9"/>
      <c r="R9" s="9"/>
      <c r="S9" s="9"/>
      <c r="T9" s="9"/>
      <c r="U9" s="15"/>
      <c r="V9" s="15"/>
      <c r="W9" s="15"/>
      <c r="X9" s="15"/>
      <c r="Y9" s="15"/>
      <c r="Z9" s="15"/>
    </row>
    <row r="10" ht="17.25" customHeight="1">
      <c r="A10" s="22" t="s">
        <v>106</v>
      </c>
      <c r="B10" s="28"/>
      <c r="C10" s="29">
        <f t="shared" ref="C10:H10" si="5">C9/C5*C8</f>
        <v>40000</v>
      </c>
      <c r="D10" s="29">
        <f t="shared" si="5"/>
        <v>40000</v>
      </c>
      <c r="E10" s="29">
        <f t="shared" si="5"/>
        <v>40000</v>
      </c>
      <c r="F10" s="29">
        <f t="shared" si="5"/>
        <v>40000</v>
      </c>
      <c r="G10" s="29">
        <f t="shared" si="5"/>
        <v>40000</v>
      </c>
      <c r="H10" s="29">
        <f t="shared" si="5"/>
        <v>40000</v>
      </c>
      <c r="I10" s="27"/>
      <c r="J10" s="27"/>
      <c r="K10" s="27"/>
      <c r="L10" s="27"/>
      <c r="M10" s="27"/>
      <c r="O10" s="17"/>
      <c r="P10" s="9"/>
      <c r="Q10" s="9"/>
      <c r="R10" s="9"/>
      <c r="S10" s="9"/>
      <c r="T10" s="9"/>
      <c r="U10" s="15"/>
      <c r="V10" s="15"/>
      <c r="W10" s="15"/>
      <c r="X10" s="15"/>
      <c r="Y10" s="15"/>
      <c r="Z10" s="15"/>
    </row>
    <row r="11" ht="17.25" customHeight="1">
      <c r="A11" s="22" t="s">
        <v>10</v>
      </c>
      <c r="B11" s="30"/>
      <c r="C11" s="30">
        <f t="shared" ref="C11:H11" si="6">C8*C9</f>
        <v>600000</v>
      </c>
      <c r="D11" s="30">
        <f t="shared" si="6"/>
        <v>600000</v>
      </c>
      <c r="E11" s="30">
        <f t="shared" si="6"/>
        <v>600000</v>
      </c>
      <c r="F11" s="30">
        <f t="shared" si="6"/>
        <v>600000</v>
      </c>
      <c r="G11" s="30">
        <f t="shared" si="6"/>
        <v>600000</v>
      </c>
      <c r="H11" s="30">
        <f t="shared" si="6"/>
        <v>600000</v>
      </c>
      <c r="I11" s="30"/>
      <c r="J11" s="30"/>
      <c r="K11" s="30"/>
      <c r="L11" s="30"/>
      <c r="M11" s="30"/>
      <c r="O11" s="24">
        <f>SUM(B11:M11)</f>
        <v>3600000</v>
      </c>
      <c r="P11" s="9"/>
      <c r="Q11" s="9"/>
      <c r="R11" s="9"/>
      <c r="S11" s="9"/>
      <c r="T11" s="9"/>
      <c r="U11" s="15"/>
      <c r="V11" s="15"/>
      <c r="W11" s="15"/>
      <c r="X11" s="15"/>
      <c r="Y11" s="15"/>
      <c r="Z11" s="15"/>
    </row>
    <row r="12" ht="17.25" customHeight="1">
      <c r="A12" s="22" t="s">
        <v>11</v>
      </c>
      <c r="B12" s="28"/>
      <c r="C12" s="31">
        <v>0.016</v>
      </c>
      <c r="D12" s="31">
        <v>0.016</v>
      </c>
      <c r="E12" s="31">
        <v>0.015</v>
      </c>
      <c r="F12" s="31">
        <v>0.014</v>
      </c>
      <c r="G12" s="31">
        <v>0.017</v>
      </c>
      <c r="H12" s="31">
        <v>0.017</v>
      </c>
      <c r="I12" s="28"/>
      <c r="J12" s="28"/>
      <c r="K12" s="28"/>
      <c r="L12" s="28"/>
      <c r="M12" s="28"/>
      <c r="O12" s="17"/>
      <c r="P12" s="9"/>
      <c r="Q12" s="9"/>
      <c r="R12" s="9"/>
      <c r="S12" s="9"/>
      <c r="T12" s="9"/>
      <c r="U12" s="15"/>
      <c r="V12" s="15"/>
      <c r="W12" s="15"/>
      <c r="X12" s="15"/>
      <c r="Y12" s="15"/>
      <c r="Z12" s="15"/>
    </row>
    <row r="13" ht="17.25" customHeight="1">
      <c r="A13" s="22" t="s">
        <v>107</v>
      </c>
      <c r="B13" s="23"/>
      <c r="C13" s="32">
        <v>190.0</v>
      </c>
      <c r="D13" s="32">
        <v>190.0</v>
      </c>
      <c r="E13" s="32">
        <v>190.0</v>
      </c>
      <c r="F13" s="32">
        <v>190.0</v>
      </c>
      <c r="G13" s="32">
        <v>190.0</v>
      </c>
      <c r="H13" s="32">
        <v>190.0</v>
      </c>
      <c r="I13" s="23"/>
      <c r="J13" s="23"/>
      <c r="K13" s="23"/>
      <c r="L13" s="23"/>
      <c r="M13" s="23"/>
      <c r="O13" s="17"/>
      <c r="P13" s="9"/>
      <c r="Q13" s="9"/>
      <c r="R13" s="9"/>
      <c r="S13" s="9"/>
      <c r="T13" s="9"/>
      <c r="U13" s="15"/>
      <c r="V13" s="15"/>
      <c r="W13" s="15"/>
      <c r="X13" s="15"/>
      <c r="Y13" s="15"/>
      <c r="Z13" s="15"/>
    </row>
    <row r="14" ht="17.25" customHeight="1">
      <c r="A14" s="22" t="s">
        <v>108</v>
      </c>
      <c r="B14" s="23"/>
      <c r="C14" s="30">
        <f t="shared" ref="C14:H14" si="7">C11*C12</f>
        <v>9600</v>
      </c>
      <c r="D14" s="30">
        <f t="shared" si="7"/>
        <v>9600</v>
      </c>
      <c r="E14" s="30">
        <f t="shared" si="7"/>
        <v>9000</v>
      </c>
      <c r="F14" s="30">
        <f t="shared" si="7"/>
        <v>8400</v>
      </c>
      <c r="G14" s="30">
        <f t="shared" si="7"/>
        <v>10200</v>
      </c>
      <c r="H14" s="30">
        <f t="shared" si="7"/>
        <v>10200</v>
      </c>
      <c r="I14" s="30"/>
      <c r="J14" s="30"/>
      <c r="K14" s="30"/>
      <c r="L14" s="30"/>
      <c r="M14" s="30"/>
      <c r="O14" s="24">
        <f>SUM(B14:M14)</f>
        <v>57000</v>
      </c>
      <c r="P14" s="9"/>
      <c r="Q14" s="9"/>
      <c r="R14" s="9"/>
      <c r="S14" s="9"/>
      <c r="T14" s="9"/>
      <c r="U14" s="15"/>
      <c r="V14" s="15"/>
      <c r="W14" s="15"/>
      <c r="X14" s="15"/>
      <c r="Y14" s="15"/>
      <c r="Z14" s="15"/>
    </row>
    <row r="15" ht="17.25" customHeight="1">
      <c r="A15" s="22" t="s">
        <v>14</v>
      </c>
      <c r="B15" s="23"/>
      <c r="C15" s="33">
        <f t="shared" ref="C15:H15" si="8">C14/30</f>
        <v>320</v>
      </c>
      <c r="D15" s="33">
        <f t="shared" si="8"/>
        <v>320</v>
      </c>
      <c r="E15" s="33">
        <f t="shared" si="8"/>
        <v>300</v>
      </c>
      <c r="F15" s="33">
        <f t="shared" si="8"/>
        <v>280</v>
      </c>
      <c r="G15" s="33">
        <f t="shared" si="8"/>
        <v>340</v>
      </c>
      <c r="H15" s="33">
        <f t="shared" si="8"/>
        <v>340</v>
      </c>
      <c r="I15" s="23"/>
      <c r="J15" s="23"/>
      <c r="K15" s="23"/>
      <c r="L15" s="23"/>
      <c r="M15" s="23"/>
      <c r="O15" s="17"/>
      <c r="P15" s="9"/>
      <c r="Q15" s="9"/>
      <c r="R15" s="9"/>
      <c r="S15" s="9"/>
      <c r="T15" s="9"/>
      <c r="U15" s="15"/>
      <c r="V15" s="15"/>
      <c r="W15" s="15"/>
      <c r="X15" s="15"/>
      <c r="Y15" s="15"/>
      <c r="Z15" s="15"/>
    </row>
    <row r="16" ht="17.25" customHeight="1">
      <c r="A16" s="22" t="s">
        <v>15</v>
      </c>
      <c r="B16" s="34"/>
      <c r="C16" s="34">
        <f t="shared" ref="C16:H16" si="9">C15/C5</f>
        <v>21.33333333</v>
      </c>
      <c r="D16" s="34">
        <f t="shared" si="9"/>
        <v>21.33333333</v>
      </c>
      <c r="E16" s="34">
        <f t="shared" si="9"/>
        <v>20</v>
      </c>
      <c r="F16" s="34">
        <f t="shared" si="9"/>
        <v>18.66666667</v>
      </c>
      <c r="G16" s="34">
        <f t="shared" si="9"/>
        <v>22.66666667</v>
      </c>
      <c r="H16" s="34">
        <f t="shared" si="9"/>
        <v>22.66666667</v>
      </c>
      <c r="I16" s="34"/>
      <c r="J16" s="34"/>
      <c r="K16" s="34"/>
      <c r="L16" s="34"/>
      <c r="M16" s="34"/>
      <c r="O16" s="17"/>
      <c r="P16" s="9"/>
      <c r="Q16" s="9"/>
      <c r="R16" s="9"/>
      <c r="S16" s="9"/>
      <c r="T16" s="9"/>
      <c r="U16" s="15"/>
      <c r="V16" s="15"/>
      <c r="W16" s="15"/>
      <c r="X16" s="15"/>
      <c r="Y16" s="15"/>
      <c r="Z16" s="15"/>
    </row>
    <row r="17" ht="17.25" customHeight="1">
      <c r="A17" s="68" t="s">
        <v>77</v>
      </c>
      <c r="B17" s="69"/>
      <c r="C17" s="69"/>
      <c r="D17" s="69"/>
      <c r="E17" s="69"/>
      <c r="F17" s="69"/>
      <c r="G17" s="69"/>
      <c r="H17" s="69"/>
      <c r="I17" s="69">
        <f t="shared" ref="I17:M17" si="10">I5*5000</f>
        <v>75000</v>
      </c>
      <c r="J17" s="69">
        <f t="shared" si="10"/>
        <v>75000</v>
      </c>
      <c r="K17" s="69">
        <f t="shared" si="10"/>
        <v>75000</v>
      </c>
      <c r="L17" s="69">
        <f t="shared" si="10"/>
        <v>75000</v>
      </c>
      <c r="M17" s="69">
        <f t="shared" si="10"/>
        <v>75000</v>
      </c>
      <c r="O17" s="45">
        <f>SUM(B17:M17)</f>
        <v>375000</v>
      </c>
      <c r="P17" s="70"/>
      <c r="Q17" s="70"/>
      <c r="R17" s="70"/>
      <c r="S17" s="70"/>
      <c r="T17" s="70"/>
      <c r="U17" s="71"/>
      <c r="V17" s="71"/>
      <c r="W17" s="71"/>
      <c r="X17" s="71"/>
      <c r="Y17" s="71"/>
      <c r="Z17" s="71"/>
    </row>
    <row r="18" ht="17.25" customHeight="1">
      <c r="A18" s="3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O18" s="24"/>
      <c r="P18" s="9"/>
      <c r="Q18" s="9"/>
      <c r="R18" s="9"/>
      <c r="S18" s="9"/>
      <c r="T18" s="9"/>
      <c r="U18" s="15"/>
      <c r="V18" s="15"/>
      <c r="W18" s="15"/>
      <c r="X18" s="15"/>
      <c r="Y18" s="15"/>
      <c r="Z18" s="15"/>
    </row>
    <row r="19" ht="17.25" customHeight="1">
      <c r="A19" s="36" t="s">
        <v>16</v>
      </c>
      <c r="B19" s="37">
        <f t="shared" ref="B19:M19" si="11">SUM(B20:B29)</f>
        <v>5195000</v>
      </c>
      <c r="C19" s="37">
        <f t="shared" si="11"/>
        <v>1061176</v>
      </c>
      <c r="D19" s="37">
        <f t="shared" si="11"/>
        <v>1094776</v>
      </c>
      <c r="E19" s="37">
        <f t="shared" si="11"/>
        <v>1063540</v>
      </c>
      <c r="F19" s="37">
        <f t="shared" si="11"/>
        <v>1032304</v>
      </c>
      <c r="G19" s="37">
        <f t="shared" si="11"/>
        <v>1126012</v>
      </c>
      <c r="H19" s="37">
        <f t="shared" si="11"/>
        <v>921012</v>
      </c>
      <c r="I19" s="37">
        <f t="shared" si="11"/>
        <v>60000</v>
      </c>
      <c r="J19" s="37">
        <f t="shared" si="11"/>
        <v>60000</v>
      </c>
      <c r="K19" s="37">
        <f t="shared" si="11"/>
        <v>60000</v>
      </c>
      <c r="L19" s="37">
        <f t="shared" si="11"/>
        <v>60000</v>
      </c>
      <c r="M19" s="37">
        <f t="shared" si="11"/>
        <v>60000</v>
      </c>
      <c r="O19" s="37">
        <f>SUM(O20:O30)</f>
        <v>11793820</v>
      </c>
      <c r="P19" s="9"/>
      <c r="Q19" s="9"/>
      <c r="R19" s="9"/>
      <c r="S19" s="9"/>
      <c r="T19" s="9"/>
      <c r="U19" s="21"/>
      <c r="V19" s="21"/>
      <c r="W19" s="21"/>
      <c r="X19" s="21"/>
      <c r="Y19" s="21"/>
      <c r="Z19" s="21"/>
    </row>
    <row r="20" ht="17.25" customHeight="1">
      <c r="A20" s="22" t="s">
        <v>109</v>
      </c>
      <c r="B20" s="38">
        <f>C5*40*250</f>
        <v>150000</v>
      </c>
      <c r="C20" s="39">
        <f>C14/10*240</f>
        <v>230400</v>
      </c>
      <c r="D20" s="39">
        <f t="shared" ref="D20:H20" si="12">D14/2*55</f>
        <v>264000</v>
      </c>
      <c r="E20" s="39">
        <f t="shared" si="12"/>
        <v>247500</v>
      </c>
      <c r="F20" s="39">
        <f t="shared" si="12"/>
        <v>231000</v>
      </c>
      <c r="G20" s="39">
        <f t="shared" si="12"/>
        <v>280500</v>
      </c>
      <c r="H20" s="39">
        <f t="shared" si="12"/>
        <v>280500</v>
      </c>
      <c r="I20" s="39">
        <f t="shared" ref="I20:M20" si="13">I14/10*240</f>
        <v>0</v>
      </c>
      <c r="J20" s="39">
        <f t="shared" si="13"/>
        <v>0</v>
      </c>
      <c r="K20" s="39">
        <f t="shared" si="13"/>
        <v>0</v>
      </c>
      <c r="L20" s="39">
        <f t="shared" si="13"/>
        <v>0</v>
      </c>
      <c r="M20" s="39">
        <f t="shared" si="13"/>
        <v>0</v>
      </c>
      <c r="O20" s="38">
        <f t="shared" ref="O20:O28" si="14">SUM(B20:M20)</f>
        <v>1683900</v>
      </c>
      <c r="P20" s="9"/>
      <c r="Q20" s="9"/>
      <c r="R20" s="9"/>
      <c r="S20" s="9"/>
      <c r="T20" s="9"/>
      <c r="U20" s="15"/>
      <c r="V20" s="15"/>
      <c r="W20" s="15"/>
      <c r="X20" s="15"/>
      <c r="Y20" s="15"/>
      <c r="Z20" s="15"/>
    </row>
    <row r="21" ht="17.25" customHeight="1">
      <c r="A21" s="22" t="s">
        <v>79</v>
      </c>
      <c r="B21" s="38">
        <f>C5*300000</f>
        <v>4500000</v>
      </c>
      <c r="C21" s="38">
        <v>0.0</v>
      </c>
      <c r="D21" s="38">
        <v>0.0</v>
      </c>
      <c r="E21" s="38">
        <v>0.0</v>
      </c>
      <c r="F21" s="38">
        <v>0.0</v>
      </c>
      <c r="G21" s="38">
        <v>0.0</v>
      </c>
      <c r="H21" s="38">
        <v>0.0</v>
      </c>
      <c r="I21" s="38">
        <v>0.0</v>
      </c>
      <c r="J21" s="38">
        <v>0.0</v>
      </c>
      <c r="K21" s="38">
        <v>0.0</v>
      </c>
      <c r="L21" s="38">
        <v>0.0</v>
      </c>
      <c r="M21" s="38">
        <v>0.0</v>
      </c>
      <c r="O21" s="38">
        <f t="shared" si="14"/>
        <v>4500000</v>
      </c>
      <c r="P21" s="9"/>
      <c r="Q21" s="9"/>
      <c r="R21" s="9"/>
      <c r="S21" s="9"/>
      <c r="T21" s="9"/>
      <c r="U21" s="15"/>
      <c r="V21" s="15"/>
      <c r="W21" s="15"/>
      <c r="X21" s="15"/>
      <c r="Y21" s="15"/>
      <c r="Z21" s="15"/>
    </row>
    <row r="22" ht="17.25" customHeight="1">
      <c r="A22" s="22" t="s">
        <v>110</v>
      </c>
      <c r="B22" s="41">
        <v>200000.0</v>
      </c>
      <c r="C22" s="41">
        <f t="shared" ref="C22:H22" si="15">90000*3</f>
        <v>270000</v>
      </c>
      <c r="D22" s="41">
        <f t="shared" si="15"/>
        <v>270000</v>
      </c>
      <c r="E22" s="41">
        <f t="shared" si="15"/>
        <v>270000</v>
      </c>
      <c r="F22" s="41">
        <f t="shared" si="15"/>
        <v>270000</v>
      </c>
      <c r="G22" s="41">
        <f t="shared" si="15"/>
        <v>270000</v>
      </c>
      <c r="H22" s="41">
        <f t="shared" si="15"/>
        <v>270000</v>
      </c>
      <c r="I22" s="41">
        <f t="shared" ref="I22:M22" si="16">3*20000</f>
        <v>60000</v>
      </c>
      <c r="J22" s="41">
        <f t="shared" si="16"/>
        <v>60000</v>
      </c>
      <c r="K22" s="41">
        <f t="shared" si="16"/>
        <v>60000</v>
      </c>
      <c r="L22" s="41">
        <f t="shared" si="16"/>
        <v>60000</v>
      </c>
      <c r="M22" s="41">
        <f t="shared" si="16"/>
        <v>60000</v>
      </c>
      <c r="O22" s="38">
        <f t="shared" si="14"/>
        <v>2120000</v>
      </c>
      <c r="P22" s="9"/>
      <c r="Q22" s="9"/>
      <c r="R22" s="9"/>
      <c r="S22" s="9"/>
      <c r="T22" s="9"/>
      <c r="U22" s="15"/>
      <c r="V22" s="15"/>
      <c r="W22" s="15"/>
      <c r="X22" s="15"/>
      <c r="Y22" s="15"/>
      <c r="Z22" s="15"/>
    </row>
    <row r="23" ht="17.25" customHeight="1">
      <c r="A23" s="42" t="s">
        <v>20</v>
      </c>
      <c r="B23" s="41">
        <f t="shared" ref="B23:M23" si="17">IF(C17=0,C5*15000,0)</f>
        <v>225000</v>
      </c>
      <c r="C23" s="41">
        <f t="shared" si="17"/>
        <v>225000</v>
      </c>
      <c r="D23" s="41">
        <f t="shared" si="17"/>
        <v>225000</v>
      </c>
      <c r="E23" s="41">
        <f t="shared" si="17"/>
        <v>225000</v>
      </c>
      <c r="F23" s="41">
        <f t="shared" si="17"/>
        <v>225000</v>
      </c>
      <c r="G23" s="41">
        <f t="shared" si="17"/>
        <v>225000</v>
      </c>
      <c r="H23" s="41">
        <f t="shared" si="17"/>
        <v>0</v>
      </c>
      <c r="I23" s="41">
        <f t="shared" si="17"/>
        <v>0</v>
      </c>
      <c r="J23" s="41">
        <f t="shared" si="17"/>
        <v>0</v>
      </c>
      <c r="K23" s="41">
        <f t="shared" si="17"/>
        <v>0</v>
      </c>
      <c r="L23" s="41">
        <f t="shared" si="17"/>
        <v>0</v>
      </c>
      <c r="M23" s="41">
        <f t="shared" si="17"/>
        <v>0</v>
      </c>
      <c r="O23" s="38">
        <f t="shared" si="14"/>
        <v>1350000</v>
      </c>
      <c r="P23" s="9"/>
      <c r="Q23" s="9"/>
      <c r="R23" s="9"/>
      <c r="S23" s="9"/>
      <c r="T23" s="9"/>
      <c r="U23" s="15"/>
      <c r="V23" s="15"/>
      <c r="W23" s="15"/>
      <c r="X23" s="15"/>
      <c r="Y23" s="15"/>
      <c r="Z23" s="15"/>
    </row>
    <row r="24" ht="17.25" customHeight="1">
      <c r="A24" s="43" t="s">
        <v>111</v>
      </c>
      <c r="B24" s="41">
        <v>100000.0</v>
      </c>
      <c r="C24" s="41">
        <v>40000.0</v>
      </c>
      <c r="D24" s="41">
        <v>40000.0</v>
      </c>
      <c r="E24" s="41">
        <v>40000.0</v>
      </c>
      <c r="F24" s="41">
        <v>40000.0</v>
      </c>
      <c r="G24" s="41">
        <v>40000.0</v>
      </c>
      <c r="H24" s="41">
        <v>40000.0</v>
      </c>
      <c r="I24" s="41">
        <v>0.0</v>
      </c>
      <c r="J24" s="41">
        <v>0.0</v>
      </c>
      <c r="K24" s="41">
        <v>0.0</v>
      </c>
      <c r="L24" s="41">
        <v>0.0</v>
      </c>
      <c r="M24" s="41">
        <v>0.0</v>
      </c>
      <c r="O24" s="38">
        <f t="shared" si="14"/>
        <v>340000</v>
      </c>
      <c r="P24" s="9"/>
      <c r="Q24" s="9"/>
      <c r="R24" s="9"/>
      <c r="S24" s="9"/>
      <c r="T24" s="9"/>
      <c r="U24" s="15"/>
      <c r="V24" s="15"/>
      <c r="W24" s="15"/>
      <c r="X24" s="15"/>
      <c r="Y24" s="15"/>
      <c r="Z24" s="15"/>
    </row>
    <row r="25" ht="17.25" customHeight="1">
      <c r="A25" s="43" t="s">
        <v>22</v>
      </c>
      <c r="B25" s="41">
        <f>B14/12*500</f>
        <v>0</v>
      </c>
      <c r="C25" s="41">
        <f t="shared" ref="C25:H25" si="18">C14/2*40</f>
        <v>192000</v>
      </c>
      <c r="D25" s="41">
        <f t="shared" si="18"/>
        <v>192000</v>
      </c>
      <c r="E25" s="41">
        <f t="shared" si="18"/>
        <v>180000</v>
      </c>
      <c r="F25" s="41">
        <f t="shared" si="18"/>
        <v>168000</v>
      </c>
      <c r="G25" s="41">
        <f t="shared" si="18"/>
        <v>204000</v>
      </c>
      <c r="H25" s="41">
        <f t="shared" si="18"/>
        <v>204000</v>
      </c>
      <c r="I25" s="41">
        <f t="shared" ref="I25:M25" si="19">I14/12*500</f>
        <v>0</v>
      </c>
      <c r="J25" s="41">
        <f t="shared" si="19"/>
        <v>0</v>
      </c>
      <c r="K25" s="41">
        <f t="shared" si="19"/>
        <v>0</v>
      </c>
      <c r="L25" s="41">
        <f t="shared" si="19"/>
        <v>0</v>
      </c>
      <c r="M25" s="41">
        <f t="shared" si="19"/>
        <v>0</v>
      </c>
      <c r="O25" s="38">
        <f t="shared" si="14"/>
        <v>1140000</v>
      </c>
      <c r="P25" s="9"/>
      <c r="Q25" s="9"/>
      <c r="R25" s="9"/>
      <c r="S25" s="9"/>
      <c r="T25" s="9"/>
      <c r="U25" s="15"/>
      <c r="V25" s="15"/>
      <c r="W25" s="15"/>
      <c r="X25" s="15"/>
      <c r="Y25" s="15"/>
      <c r="Z25" s="15"/>
    </row>
    <row r="26" ht="17.25" customHeight="1">
      <c r="A26" s="44" t="s">
        <v>112</v>
      </c>
      <c r="B26" s="45">
        <f t="shared" ref="B26:M26" si="20">B14*B13*2.4%</f>
        <v>0</v>
      </c>
      <c r="C26" s="45">
        <f t="shared" si="20"/>
        <v>43776</v>
      </c>
      <c r="D26" s="45">
        <f t="shared" si="20"/>
        <v>43776</v>
      </c>
      <c r="E26" s="45">
        <f t="shared" si="20"/>
        <v>41040</v>
      </c>
      <c r="F26" s="45">
        <f t="shared" si="20"/>
        <v>38304</v>
      </c>
      <c r="G26" s="45">
        <f t="shared" si="20"/>
        <v>46512</v>
      </c>
      <c r="H26" s="45">
        <f t="shared" si="20"/>
        <v>46512</v>
      </c>
      <c r="I26" s="45">
        <f t="shared" si="20"/>
        <v>0</v>
      </c>
      <c r="J26" s="45">
        <f t="shared" si="20"/>
        <v>0</v>
      </c>
      <c r="K26" s="45">
        <f t="shared" si="20"/>
        <v>0</v>
      </c>
      <c r="L26" s="45">
        <f t="shared" si="20"/>
        <v>0</v>
      </c>
      <c r="M26" s="45">
        <f t="shared" si="20"/>
        <v>0</v>
      </c>
      <c r="O26" s="38">
        <f t="shared" si="14"/>
        <v>259920</v>
      </c>
      <c r="P26" s="9"/>
      <c r="Q26" s="9"/>
      <c r="R26" s="9"/>
      <c r="S26" s="9"/>
      <c r="T26" s="9"/>
      <c r="U26" s="15"/>
      <c r="V26" s="15"/>
      <c r="W26" s="15"/>
      <c r="X26" s="15"/>
      <c r="Y26" s="15"/>
      <c r="Z26" s="15"/>
    </row>
    <row r="27" ht="17.25" customHeight="1">
      <c r="A27" s="44" t="s">
        <v>113</v>
      </c>
      <c r="B27" s="41">
        <v>20000.0</v>
      </c>
      <c r="C27" s="41"/>
      <c r="D27" s="45"/>
      <c r="E27" s="45"/>
      <c r="F27" s="45"/>
      <c r="G27" s="41"/>
      <c r="H27" s="41">
        <v>20000.0</v>
      </c>
      <c r="I27" s="45"/>
      <c r="J27" s="45"/>
      <c r="K27" s="45"/>
      <c r="L27" s="45"/>
      <c r="M27" s="41"/>
      <c r="O27" s="38">
        <f t="shared" si="14"/>
        <v>40000</v>
      </c>
      <c r="P27" s="9"/>
      <c r="Q27" s="9"/>
      <c r="R27" s="9"/>
      <c r="S27" s="9"/>
      <c r="T27" s="9"/>
      <c r="U27" s="15"/>
      <c r="V27" s="15"/>
      <c r="W27" s="15"/>
      <c r="X27" s="15"/>
      <c r="Y27" s="15"/>
      <c r="Z27" s="15"/>
    </row>
    <row r="28" ht="17.25" customHeight="1">
      <c r="A28" s="43" t="s">
        <v>25</v>
      </c>
      <c r="B28" s="41"/>
      <c r="C28" s="41">
        <f t="shared" ref="C28:H28" si="21">1000*2*30</f>
        <v>60000</v>
      </c>
      <c r="D28" s="41">
        <f t="shared" si="21"/>
        <v>60000</v>
      </c>
      <c r="E28" s="41">
        <f t="shared" si="21"/>
        <v>60000</v>
      </c>
      <c r="F28" s="41">
        <f t="shared" si="21"/>
        <v>60000</v>
      </c>
      <c r="G28" s="41">
        <f t="shared" si="21"/>
        <v>60000</v>
      </c>
      <c r="H28" s="41">
        <f t="shared" si="21"/>
        <v>60000</v>
      </c>
      <c r="I28" s="41"/>
      <c r="J28" s="45"/>
      <c r="K28" s="45"/>
      <c r="L28" s="45"/>
      <c r="M28" s="41"/>
      <c r="O28" s="38">
        <f t="shared" si="14"/>
        <v>360000</v>
      </c>
      <c r="P28" s="9"/>
      <c r="Q28" s="9"/>
      <c r="R28" s="9"/>
      <c r="S28" s="9"/>
      <c r="T28" s="9"/>
      <c r="U28" s="15"/>
      <c r="V28" s="15"/>
      <c r="W28" s="15"/>
      <c r="X28" s="15"/>
      <c r="Y28" s="15"/>
      <c r="Z28" s="15"/>
    </row>
    <row r="29" ht="17.25" customHeight="1">
      <c r="A29" s="43" t="s">
        <v>114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O29" s="38">
        <f>IF((O7-SUM(O20:O28))*15% &lt;0,0,(O7-SUM(O20:O28))*15%)</f>
        <v>0</v>
      </c>
      <c r="P29" s="9"/>
      <c r="Q29" s="9"/>
      <c r="R29" s="9"/>
      <c r="S29" s="9"/>
      <c r="T29" s="9"/>
      <c r="U29" s="15"/>
      <c r="V29" s="15"/>
      <c r="W29" s="15"/>
      <c r="X29" s="15"/>
      <c r="Y29" s="15"/>
      <c r="Z29" s="15"/>
    </row>
    <row r="30" ht="17.25" customHeight="1">
      <c r="A30" s="43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O30" s="38"/>
      <c r="P30" s="9"/>
      <c r="Q30" s="9"/>
      <c r="R30" s="9"/>
      <c r="S30" s="9"/>
      <c r="T30" s="9"/>
      <c r="U30" s="15"/>
      <c r="V30" s="15"/>
      <c r="W30" s="15"/>
      <c r="X30" s="15"/>
      <c r="Y30" s="15"/>
      <c r="Z30" s="15"/>
    </row>
    <row r="31" ht="17.25" customHeight="1">
      <c r="A31" s="36" t="s">
        <v>27</v>
      </c>
      <c r="B31" s="37">
        <f t="shared" ref="B31:M31" si="22">B21+B22+B23+B24+B27</f>
        <v>5045000</v>
      </c>
      <c r="C31" s="37">
        <f t="shared" si="22"/>
        <v>535000</v>
      </c>
      <c r="D31" s="37">
        <f t="shared" si="22"/>
        <v>535000</v>
      </c>
      <c r="E31" s="37">
        <f t="shared" si="22"/>
        <v>535000</v>
      </c>
      <c r="F31" s="37">
        <f t="shared" si="22"/>
        <v>535000</v>
      </c>
      <c r="G31" s="37">
        <f t="shared" si="22"/>
        <v>535000</v>
      </c>
      <c r="H31" s="37">
        <f t="shared" si="22"/>
        <v>330000</v>
      </c>
      <c r="I31" s="37">
        <f t="shared" si="22"/>
        <v>60000</v>
      </c>
      <c r="J31" s="37">
        <f t="shared" si="22"/>
        <v>60000</v>
      </c>
      <c r="K31" s="37">
        <f t="shared" si="22"/>
        <v>60000</v>
      </c>
      <c r="L31" s="37">
        <f t="shared" si="22"/>
        <v>60000</v>
      </c>
      <c r="M31" s="37">
        <f t="shared" si="22"/>
        <v>60000</v>
      </c>
      <c r="O31" s="37">
        <f>SUM(B31:M31)</f>
        <v>8350000</v>
      </c>
      <c r="P31" s="9"/>
      <c r="Q31" s="9"/>
      <c r="R31" s="9"/>
      <c r="S31" s="9"/>
      <c r="T31" s="9"/>
      <c r="U31" s="15"/>
      <c r="V31" s="15"/>
      <c r="W31" s="15"/>
      <c r="X31" s="15"/>
      <c r="Y31" s="15"/>
      <c r="Z31" s="15"/>
    </row>
    <row r="32" ht="17.25" customHeight="1">
      <c r="A32" s="36" t="s">
        <v>28</v>
      </c>
      <c r="B32" s="37">
        <f t="shared" ref="B32:M32" si="23">IFERROR((B20+B25+B26+B28)/B14,0)</f>
        <v>0</v>
      </c>
      <c r="C32" s="37">
        <f t="shared" si="23"/>
        <v>54.81</v>
      </c>
      <c r="D32" s="37">
        <f t="shared" si="23"/>
        <v>58.31</v>
      </c>
      <c r="E32" s="37">
        <f t="shared" si="23"/>
        <v>58.72666667</v>
      </c>
      <c r="F32" s="37">
        <f t="shared" si="23"/>
        <v>59.20285714</v>
      </c>
      <c r="G32" s="37">
        <f t="shared" si="23"/>
        <v>57.94235294</v>
      </c>
      <c r="H32" s="37">
        <f t="shared" si="23"/>
        <v>57.94235294</v>
      </c>
      <c r="I32" s="37">
        <f t="shared" si="23"/>
        <v>0</v>
      </c>
      <c r="J32" s="37">
        <f t="shared" si="23"/>
        <v>0</v>
      </c>
      <c r="K32" s="37">
        <f t="shared" si="23"/>
        <v>0</v>
      </c>
      <c r="L32" s="37">
        <f t="shared" si="23"/>
        <v>0</v>
      </c>
      <c r="M32" s="37">
        <f t="shared" si="23"/>
        <v>0</v>
      </c>
      <c r="O32" s="37">
        <f>O19-O31</f>
        <v>3443820</v>
      </c>
      <c r="P32" s="9"/>
      <c r="Q32" s="9"/>
      <c r="R32" s="9"/>
      <c r="S32" s="9"/>
      <c r="T32" s="9"/>
      <c r="U32" s="15"/>
      <c r="V32" s="15"/>
      <c r="W32" s="15"/>
      <c r="X32" s="15"/>
      <c r="Y32" s="15"/>
      <c r="Z32" s="15"/>
    </row>
    <row r="33" ht="17.25" customHeight="1">
      <c r="A33" s="47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O33" s="24"/>
      <c r="P33" s="9"/>
      <c r="Q33" s="9"/>
      <c r="R33" s="9"/>
      <c r="S33" s="9"/>
      <c r="T33" s="9"/>
      <c r="U33" s="15"/>
      <c r="V33" s="15"/>
      <c r="W33" s="15"/>
      <c r="X33" s="15"/>
      <c r="Y33" s="15"/>
      <c r="Z33" s="15"/>
    </row>
    <row r="34" ht="17.25" customHeight="1">
      <c r="A34" s="48" t="s">
        <v>29</v>
      </c>
      <c r="B34" s="49">
        <f t="shared" ref="B34:M34" si="24">B7-B19</f>
        <v>-5195000</v>
      </c>
      <c r="C34" s="49">
        <f t="shared" si="24"/>
        <v>762824</v>
      </c>
      <c r="D34" s="49">
        <f t="shared" si="24"/>
        <v>729224</v>
      </c>
      <c r="E34" s="49">
        <f t="shared" si="24"/>
        <v>646460</v>
      </c>
      <c r="F34" s="49">
        <f t="shared" si="24"/>
        <v>563696</v>
      </c>
      <c r="G34" s="49">
        <f t="shared" si="24"/>
        <v>811988</v>
      </c>
      <c r="H34" s="49">
        <f t="shared" si="24"/>
        <v>1016988</v>
      </c>
      <c r="I34" s="49">
        <f t="shared" si="24"/>
        <v>15000</v>
      </c>
      <c r="J34" s="49">
        <f t="shared" si="24"/>
        <v>15000</v>
      </c>
      <c r="K34" s="49">
        <f t="shared" si="24"/>
        <v>15000</v>
      </c>
      <c r="L34" s="50">
        <f t="shared" si="24"/>
        <v>15000</v>
      </c>
      <c r="M34" s="50">
        <f t="shared" si="24"/>
        <v>15000</v>
      </c>
      <c r="O34" s="50">
        <f>O7-O19</f>
        <v>-588820</v>
      </c>
      <c r="P34" s="9"/>
      <c r="Q34" s="9"/>
      <c r="R34" s="9"/>
      <c r="S34" s="9"/>
      <c r="T34" s="9"/>
      <c r="U34" s="51"/>
      <c r="V34" s="51"/>
      <c r="W34" s="51"/>
      <c r="X34" s="51"/>
      <c r="Y34" s="51"/>
      <c r="Z34" s="51"/>
    </row>
    <row r="35" ht="17.25" customHeight="1">
      <c r="A35" s="43" t="s">
        <v>115</v>
      </c>
      <c r="B35" s="52"/>
      <c r="C35" s="52">
        <f t="shared" ref="C35:M35" si="25">C34/C7*100%</f>
        <v>0.4182149123</v>
      </c>
      <c r="D35" s="52">
        <f t="shared" si="25"/>
        <v>0.3997938596</v>
      </c>
      <c r="E35" s="52">
        <f t="shared" si="25"/>
        <v>0.3780467836</v>
      </c>
      <c r="F35" s="52">
        <f t="shared" si="25"/>
        <v>0.3531929825</v>
      </c>
      <c r="G35" s="52">
        <f t="shared" si="25"/>
        <v>0.4189824561</v>
      </c>
      <c r="H35" s="52">
        <f t="shared" si="25"/>
        <v>0.5247616099</v>
      </c>
      <c r="I35" s="52">
        <f t="shared" si="25"/>
        <v>0.2</v>
      </c>
      <c r="J35" s="52">
        <f t="shared" si="25"/>
        <v>0.2</v>
      </c>
      <c r="K35" s="52">
        <f t="shared" si="25"/>
        <v>0.2</v>
      </c>
      <c r="L35" s="52">
        <f t="shared" si="25"/>
        <v>0.2</v>
      </c>
      <c r="M35" s="52">
        <f t="shared" si="25"/>
        <v>0.2</v>
      </c>
      <c r="O35" s="52">
        <f>O34/O7*100%</f>
        <v>-0.05254975457</v>
      </c>
      <c r="P35" s="9"/>
      <c r="Q35" s="9"/>
      <c r="R35" s="9"/>
      <c r="S35" s="9"/>
      <c r="T35" s="9"/>
      <c r="U35" s="15"/>
      <c r="V35" s="15"/>
      <c r="W35" s="15"/>
      <c r="X35" s="15"/>
      <c r="Y35" s="15"/>
      <c r="Z35" s="15"/>
    </row>
    <row r="36" ht="17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O36" s="17"/>
      <c r="P36" s="9"/>
      <c r="Q36" s="9"/>
      <c r="R36" s="9"/>
      <c r="S36" s="9"/>
      <c r="T36" s="9"/>
      <c r="U36" s="15"/>
      <c r="V36" s="15"/>
      <c r="W36" s="15"/>
      <c r="X36" s="15"/>
      <c r="Y36" s="15"/>
      <c r="Z36" s="15"/>
    </row>
    <row r="37" ht="17.2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O37" s="53"/>
      <c r="P37" s="9"/>
      <c r="Q37" s="9"/>
      <c r="R37" s="9"/>
      <c r="S37" s="9"/>
      <c r="T37" s="9"/>
      <c r="U37" s="3"/>
      <c r="V37" s="3"/>
      <c r="W37" s="3"/>
      <c r="X37" s="3"/>
      <c r="Y37" s="3"/>
      <c r="Z37" s="3"/>
    </row>
    <row r="38" ht="17.25" customHeight="1">
      <c r="A38" s="54" t="s">
        <v>31</v>
      </c>
      <c r="B38" s="11">
        <f t="shared" ref="B38:M38" si="26">IFERROR(B31/(B13-B32)*B13,B31)</f>
        <v>5045000</v>
      </c>
      <c r="C38" s="11">
        <f t="shared" si="26"/>
        <v>751904.7267</v>
      </c>
      <c r="D38" s="11">
        <f t="shared" si="26"/>
        <v>771888.5261</v>
      </c>
      <c r="E38" s="11">
        <f t="shared" si="26"/>
        <v>774338.5303</v>
      </c>
      <c r="F38" s="11">
        <f t="shared" si="26"/>
        <v>777157.6487</v>
      </c>
      <c r="G38" s="11">
        <f t="shared" si="26"/>
        <v>769739.5968</v>
      </c>
      <c r="H38" s="11">
        <f t="shared" si="26"/>
        <v>474792.6485</v>
      </c>
      <c r="I38" s="11">
        <f t="shared" si="26"/>
        <v>60000</v>
      </c>
      <c r="J38" s="11">
        <f t="shared" si="26"/>
        <v>60000</v>
      </c>
      <c r="K38" s="11">
        <f t="shared" si="26"/>
        <v>60000</v>
      </c>
      <c r="L38" s="11">
        <f t="shared" si="26"/>
        <v>60000</v>
      </c>
      <c r="M38" s="11">
        <f t="shared" si="26"/>
        <v>60000</v>
      </c>
      <c r="O38" s="11">
        <f>SUM(B38:M38)</f>
        <v>9664821.677</v>
      </c>
      <c r="P38" s="9"/>
      <c r="Q38" s="9"/>
      <c r="R38" s="9"/>
      <c r="S38" s="9"/>
      <c r="T38" s="9"/>
      <c r="U38" s="3"/>
      <c r="V38" s="3"/>
      <c r="W38" s="3"/>
      <c r="X38" s="3"/>
      <c r="Y38" s="3"/>
      <c r="Z38" s="3"/>
    </row>
    <row r="39" ht="17.25" customHeight="1">
      <c r="A39" s="43" t="s">
        <v>32</v>
      </c>
      <c r="B39" s="55" t="str">
        <f t="shared" ref="B39:M39" si="27">B38/B13</f>
        <v>#DIV/0!</v>
      </c>
      <c r="C39" s="55">
        <f t="shared" si="27"/>
        <v>3957.393298</v>
      </c>
      <c r="D39" s="55">
        <f t="shared" si="27"/>
        <v>4062.57119</v>
      </c>
      <c r="E39" s="55">
        <f t="shared" si="27"/>
        <v>4075.465949</v>
      </c>
      <c r="F39" s="55">
        <f t="shared" si="27"/>
        <v>4090.303414</v>
      </c>
      <c r="G39" s="55">
        <f t="shared" si="27"/>
        <v>4051.261036</v>
      </c>
      <c r="H39" s="55">
        <f t="shared" si="27"/>
        <v>2498.908676</v>
      </c>
      <c r="I39" s="55" t="str">
        <f t="shared" si="27"/>
        <v>#DIV/0!</v>
      </c>
      <c r="J39" s="55" t="str">
        <f t="shared" si="27"/>
        <v>#DIV/0!</v>
      </c>
      <c r="K39" s="55" t="str">
        <f t="shared" si="27"/>
        <v>#DIV/0!</v>
      </c>
      <c r="L39" s="55" t="str">
        <f t="shared" si="27"/>
        <v>#DIV/0!</v>
      </c>
      <c r="M39" s="55" t="str">
        <f t="shared" si="27"/>
        <v>#DIV/0!</v>
      </c>
      <c r="O39" s="55" t="s">
        <v>33</v>
      </c>
      <c r="P39" s="55">
        <f>O38/AVERAGE(B13:M13)</f>
        <v>50867.48251</v>
      </c>
      <c r="Q39" s="9"/>
      <c r="R39" s="9"/>
      <c r="S39" s="9"/>
      <c r="T39" s="9"/>
      <c r="U39" s="3"/>
      <c r="V39" s="3"/>
      <c r="W39" s="3"/>
      <c r="X39" s="3"/>
      <c r="Y39" s="3"/>
      <c r="Z39" s="3"/>
    </row>
    <row r="40" ht="17.25" customHeight="1">
      <c r="A40" s="43" t="s">
        <v>34</v>
      </c>
      <c r="B40" s="55" t="str">
        <f t="shared" ref="B40:M40" si="28">B39/30</f>
        <v>#DIV/0!</v>
      </c>
      <c r="C40" s="55">
        <f t="shared" si="28"/>
        <v>131.9131099</v>
      </c>
      <c r="D40" s="55">
        <f t="shared" si="28"/>
        <v>135.4190397</v>
      </c>
      <c r="E40" s="55">
        <f t="shared" si="28"/>
        <v>135.848865</v>
      </c>
      <c r="F40" s="55">
        <f t="shared" si="28"/>
        <v>136.3434471</v>
      </c>
      <c r="G40" s="55">
        <f t="shared" si="28"/>
        <v>135.0420345</v>
      </c>
      <c r="H40" s="55">
        <f t="shared" si="28"/>
        <v>83.29695587</v>
      </c>
      <c r="I40" s="55" t="str">
        <f t="shared" si="28"/>
        <v>#DIV/0!</v>
      </c>
      <c r="J40" s="55" t="str">
        <f t="shared" si="28"/>
        <v>#DIV/0!</v>
      </c>
      <c r="K40" s="55" t="str">
        <f t="shared" si="28"/>
        <v>#DIV/0!</v>
      </c>
      <c r="L40" s="55" t="str">
        <f t="shared" si="28"/>
        <v>#DIV/0!</v>
      </c>
      <c r="M40" s="55" t="str">
        <f t="shared" si="28"/>
        <v>#DIV/0!</v>
      </c>
      <c r="O40" s="55" t="s">
        <v>35</v>
      </c>
      <c r="P40" s="55">
        <f>P39/(DAYS(I2,C2))</f>
        <v>276.4537093</v>
      </c>
      <c r="Q40" s="9"/>
      <c r="R40" s="9"/>
      <c r="S40" s="9"/>
      <c r="T40" s="9"/>
      <c r="U40" s="3"/>
      <c r="V40" s="3"/>
      <c r="W40" s="3"/>
      <c r="X40" s="3"/>
      <c r="Y40" s="3"/>
      <c r="Z40" s="3"/>
    </row>
    <row r="41" ht="17.25" customHeight="1">
      <c r="A41" s="43" t="s">
        <v>36</v>
      </c>
      <c r="B41" s="55" t="str">
        <f t="shared" ref="B41:M41" si="29">B40/B5</f>
        <v>#DIV/0!</v>
      </c>
      <c r="C41" s="55">
        <f t="shared" si="29"/>
        <v>8.79420733</v>
      </c>
      <c r="D41" s="55">
        <f t="shared" si="29"/>
        <v>9.027935978</v>
      </c>
      <c r="E41" s="55">
        <f t="shared" si="29"/>
        <v>9.056590998</v>
      </c>
      <c r="F41" s="55">
        <f t="shared" si="29"/>
        <v>9.089563143</v>
      </c>
      <c r="G41" s="55">
        <f t="shared" si="29"/>
        <v>9.002802302</v>
      </c>
      <c r="H41" s="55">
        <f t="shared" si="29"/>
        <v>5.553130392</v>
      </c>
      <c r="I41" s="55" t="str">
        <f t="shared" si="29"/>
        <v>#DIV/0!</v>
      </c>
      <c r="J41" s="55" t="str">
        <f t="shared" si="29"/>
        <v>#DIV/0!</v>
      </c>
      <c r="K41" s="55" t="str">
        <f t="shared" si="29"/>
        <v>#DIV/0!</v>
      </c>
      <c r="L41" s="55" t="str">
        <f t="shared" si="29"/>
        <v>#DIV/0!</v>
      </c>
      <c r="M41" s="55" t="str">
        <f t="shared" si="29"/>
        <v>#DIV/0!</v>
      </c>
      <c r="O41" s="55" t="s">
        <v>37</v>
      </c>
      <c r="P41" s="55">
        <f>P40/AVERAGE(C5:H5)</f>
        <v>18.43024729</v>
      </c>
      <c r="Q41" s="9"/>
      <c r="R41" s="9"/>
      <c r="S41" s="9"/>
      <c r="T41" s="9"/>
      <c r="U41" s="3"/>
      <c r="V41" s="3"/>
      <c r="W41" s="3"/>
      <c r="X41" s="3"/>
      <c r="Y41" s="3"/>
      <c r="Z41" s="3"/>
    </row>
    <row r="42" ht="17.2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O42" s="55"/>
      <c r="P42" s="9"/>
      <c r="Q42" s="9"/>
      <c r="R42" s="9"/>
      <c r="S42" s="9"/>
      <c r="T42" s="9"/>
      <c r="U42" s="3"/>
      <c r="V42" s="3"/>
      <c r="W42" s="3"/>
      <c r="X42" s="3"/>
      <c r="Y42" s="3"/>
      <c r="Z42" s="3"/>
    </row>
    <row r="43" ht="17.25" customHeight="1">
      <c r="A43" s="10" t="s">
        <v>38</v>
      </c>
      <c r="B43" s="56"/>
      <c r="C43" s="56"/>
      <c r="D43" s="56"/>
      <c r="E43" s="57"/>
      <c r="F43" s="56"/>
      <c r="G43" s="56"/>
      <c r="H43" s="56"/>
      <c r="I43" s="56"/>
      <c r="J43" s="56"/>
      <c r="K43" s="56"/>
      <c r="L43" s="56"/>
      <c r="M43" s="56"/>
      <c r="O43" s="58"/>
      <c r="P43" s="9"/>
      <c r="Q43" s="9"/>
      <c r="R43" s="9"/>
      <c r="S43" s="9"/>
      <c r="T43" s="9"/>
      <c r="U43" s="15"/>
      <c r="V43" s="15"/>
      <c r="W43" s="15"/>
      <c r="X43" s="15"/>
      <c r="Y43" s="15"/>
      <c r="Z43" s="15"/>
    </row>
    <row r="44" ht="17.25" customHeight="1">
      <c r="A44" s="43" t="s">
        <v>116</v>
      </c>
      <c r="B44" s="39">
        <f>B4</f>
        <v>5200000</v>
      </c>
      <c r="C44" s="39">
        <f t="shared" ref="C44:M44" si="30">B45</f>
        <v>5000</v>
      </c>
      <c r="D44" s="39">
        <f t="shared" si="30"/>
        <v>767824</v>
      </c>
      <c r="E44" s="39">
        <f t="shared" si="30"/>
        <v>1497048</v>
      </c>
      <c r="F44" s="39">
        <f t="shared" si="30"/>
        <v>2143508</v>
      </c>
      <c r="G44" s="39">
        <f t="shared" si="30"/>
        <v>2707204</v>
      </c>
      <c r="H44" s="59">
        <f t="shared" si="30"/>
        <v>3519192</v>
      </c>
      <c r="I44" s="39">
        <f t="shared" si="30"/>
        <v>4536180</v>
      </c>
      <c r="J44" s="39">
        <f t="shared" si="30"/>
        <v>4551180</v>
      </c>
      <c r="K44" s="39">
        <f t="shared" si="30"/>
        <v>4566180</v>
      </c>
      <c r="L44" s="39">
        <f t="shared" si="30"/>
        <v>4581180</v>
      </c>
      <c r="M44" s="39">
        <f t="shared" si="30"/>
        <v>4596180</v>
      </c>
      <c r="O44" s="45">
        <f>B44</f>
        <v>5200000</v>
      </c>
      <c r="P44" s="9"/>
      <c r="Q44" s="9"/>
      <c r="R44" s="9"/>
      <c r="S44" s="9"/>
      <c r="T44" s="9"/>
      <c r="U44" s="15"/>
      <c r="V44" s="15"/>
      <c r="W44" s="15"/>
      <c r="X44" s="15"/>
      <c r="Y44" s="15"/>
      <c r="Z44" s="15"/>
    </row>
    <row r="45" ht="17.25" customHeight="1">
      <c r="A45" s="43" t="s">
        <v>117</v>
      </c>
      <c r="B45" s="38">
        <f>B4+B34</f>
        <v>5000</v>
      </c>
      <c r="C45" s="39">
        <f t="shared" ref="C45:M45" si="31">C44+C4+C34</f>
        <v>767824</v>
      </c>
      <c r="D45" s="39">
        <f t="shared" si="31"/>
        <v>1497048</v>
      </c>
      <c r="E45" s="39">
        <f t="shared" si="31"/>
        <v>2143508</v>
      </c>
      <c r="F45" s="39">
        <f t="shared" si="31"/>
        <v>2707204</v>
      </c>
      <c r="G45" s="39">
        <f t="shared" si="31"/>
        <v>3519192</v>
      </c>
      <c r="H45" s="39">
        <f t="shared" si="31"/>
        <v>4536180</v>
      </c>
      <c r="I45" s="39">
        <f t="shared" si="31"/>
        <v>4551180</v>
      </c>
      <c r="J45" s="39">
        <f t="shared" si="31"/>
        <v>4566180</v>
      </c>
      <c r="K45" s="39">
        <f t="shared" si="31"/>
        <v>4581180</v>
      </c>
      <c r="L45" s="39">
        <f t="shared" si="31"/>
        <v>4596180</v>
      </c>
      <c r="M45" s="39">
        <f t="shared" si="31"/>
        <v>4611180</v>
      </c>
      <c r="O45" s="45">
        <f>M45-O29</f>
        <v>4611180</v>
      </c>
      <c r="P45" s="9"/>
      <c r="Q45" s="9"/>
      <c r="R45" s="9"/>
      <c r="S45" s="9"/>
      <c r="T45" s="9"/>
      <c r="U45" s="15"/>
      <c r="V45" s="15"/>
      <c r="W45" s="15"/>
      <c r="X45" s="15"/>
      <c r="Y45" s="15"/>
      <c r="Z45" s="15"/>
    </row>
    <row r="46" ht="17.25" customHeight="1">
      <c r="A46" s="43" t="s">
        <v>41</v>
      </c>
      <c r="B46" s="60">
        <f t="shared" ref="B46:M46" si="32">(B45-B44)/B44</f>
        <v>-0.9990384615</v>
      </c>
      <c r="C46" s="60">
        <f t="shared" si="32"/>
        <v>152.5648</v>
      </c>
      <c r="D46" s="60">
        <f t="shared" si="32"/>
        <v>0.9497280627</v>
      </c>
      <c r="E46" s="60">
        <f t="shared" si="32"/>
        <v>0.4318231613</v>
      </c>
      <c r="F46" s="60">
        <f t="shared" si="32"/>
        <v>0.2629782581</v>
      </c>
      <c r="G46" s="60">
        <f t="shared" si="32"/>
        <v>0.2999360226</v>
      </c>
      <c r="H46" s="60">
        <f t="shared" si="32"/>
        <v>0.2889833803</v>
      </c>
      <c r="I46" s="60">
        <f t="shared" si="32"/>
        <v>0.003306747087</v>
      </c>
      <c r="J46" s="60">
        <f t="shared" si="32"/>
        <v>0.003295848549</v>
      </c>
      <c r="K46" s="60">
        <f t="shared" si="32"/>
        <v>0.003285021615</v>
      </c>
      <c r="L46" s="60">
        <f t="shared" si="32"/>
        <v>0.003274265582</v>
      </c>
      <c r="M46" s="60">
        <f t="shared" si="32"/>
        <v>0.003263579755</v>
      </c>
      <c r="O46" s="61">
        <f>(O45-O44)/O44</f>
        <v>-0.1132346154</v>
      </c>
      <c r="P46" s="9"/>
      <c r="Q46" s="9"/>
      <c r="R46" s="9"/>
      <c r="S46" s="9"/>
      <c r="T46" s="9"/>
      <c r="U46" s="15"/>
      <c r="V46" s="15"/>
      <c r="W46" s="15"/>
      <c r="X46" s="15"/>
      <c r="Y46" s="15"/>
      <c r="Z46" s="15"/>
    </row>
    <row r="47" ht="17.2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9"/>
      <c r="Q47" s="9"/>
      <c r="R47" s="9"/>
      <c r="S47" s="9"/>
      <c r="T47" s="9"/>
      <c r="U47" s="3"/>
      <c r="V47" s="3"/>
      <c r="W47" s="3"/>
      <c r="X47" s="3"/>
      <c r="Y47" s="3"/>
      <c r="Z47" s="3"/>
    </row>
    <row r="48" ht="17.2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9"/>
      <c r="Q48" s="9"/>
      <c r="R48" s="9"/>
      <c r="S48" s="9"/>
      <c r="T48" s="9"/>
      <c r="U48" s="3"/>
      <c r="V48" s="3"/>
      <c r="W48" s="3"/>
      <c r="X48" s="3"/>
      <c r="Y48" s="3"/>
      <c r="Z48" s="3"/>
    </row>
    <row r="49" ht="17.2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9"/>
      <c r="Q49" s="9"/>
      <c r="R49" s="9"/>
      <c r="S49" s="9"/>
      <c r="T49" s="9"/>
      <c r="U49" s="3"/>
      <c r="V49" s="3"/>
      <c r="W49" s="3"/>
      <c r="X49" s="3"/>
      <c r="Y49" s="3"/>
      <c r="Z49" s="3"/>
    </row>
    <row r="50" ht="15.7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9"/>
      <c r="Q50" s="9"/>
      <c r="R50" s="9"/>
      <c r="S50" s="9"/>
      <c r="T50" s="9"/>
      <c r="U50" s="3"/>
      <c r="V50" s="3"/>
      <c r="W50" s="3"/>
      <c r="X50" s="3"/>
      <c r="Y50" s="3"/>
      <c r="Z50" s="3"/>
    </row>
    <row r="51" ht="15.7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9"/>
      <c r="Q51" s="9"/>
      <c r="R51" s="9"/>
      <c r="S51" s="9"/>
      <c r="T51" s="9"/>
      <c r="U51" s="3"/>
      <c r="V51" s="3"/>
      <c r="W51" s="3"/>
      <c r="X51" s="3"/>
      <c r="Y51" s="3"/>
      <c r="Z51" s="3"/>
    </row>
    <row r="52" ht="15.7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9"/>
      <c r="Q53" s="9"/>
      <c r="R53" s="9"/>
      <c r="S53" s="9"/>
      <c r="T53" s="9"/>
      <c r="U53" s="3"/>
      <c r="V53" s="3"/>
      <c r="W53" s="3"/>
      <c r="X53" s="3"/>
      <c r="Y53" s="3"/>
      <c r="Z53" s="3"/>
    </row>
    <row r="54" ht="15.7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9"/>
      <c r="Q54" s="9"/>
      <c r="R54" s="9"/>
      <c r="S54" s="9"/>
      <c r="T54" s="9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62"/>
      <c r="M58" s="6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64"/>
      <c r="M59" s="65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66"/>
      <c r="M60" s="6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67"/>
      <c r="M61" s="67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3">
    <mergeCell ref="D1:O1"/>
    <mergeCell ref="D3:M3"/>
    <mergeCell ref="N4:N46"/>
  </mergeCells>
  <conditionalFormatting sqref="E44:G44 I44:M44">
    <cfRule type="cellIs" dxfId="0" priority="1" operator="lessThan">
      <formula>0</formula>
    </cfRule>
  </conditionalFormatting>
  <conditionalFormatting sqref="B34:M34">
    <cfRule type="cellIs" dxfId="1" priority="2" operator="lessThan">
      <formula>0</formula>
    </cfRule>
  </conditionalFormatting>
  <conditionalFormatting sqref="B34:M34">
    <cfRule type="cellIs" dxfId="2" priority="3" operator="between">
      <formula>0</formula>
      <formula>20000</formula>
    </cfRule>
  </conditionalFormatting>
  <conditionalFormatting sqref="B34:M34">
    <cfRule type="cellIs" dxfId="3" priority="4" operator="greaterThan">
      <formula>20000</formula>
    </cfRule>
  </conditionalFormatting>
  <conditionalFormatting sqref="O20:O29">
    <cfRule type="colorScale" priority="5">
      <colorScale>
        <cfvo type="min"/>
        <cfvo type="max"/>
        <color rgb="FFFFFFFF"/>
        <color rgb="FFE67C73"/>
      </colorScale>
    </cfRule>
  </conditionalFormatting>
  <conditionalFormatting sqref="O46">
    <cfRule type="colorScale" priority="6">
      <colorScale>
        <cfvo type="formula" val="0%"/>
        <cfvo type="formula" val="20%"/>
        <cfvo type="formula" val="50%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6.71"/>
    <col customWidth="1" min="2" max="4" width="15.29"/>
    <col customWidth="1" min="5" max="13" width="13.71"/>
    <col customWidth="1" min="14" max="14" width="3.71"/>
    <col customWidth="1" min="15" max="15" width="27.0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45777.0</v>
      </c>
      <c r="C2" s="5">
        <f t="shared" ref="C2:M2" si="1">EDATE(B2,1)</f>
        <v>45807</v>
      </c>
      <c r="D2" s="5">
        <f t="shared" si="1"/>
        <v>45838</v>
      </c>
      <c r="E2" s="5">
        <f t="shared" si="1"/>
        <v>45868</v>
      </c>
      <c r="F2" s="5">
        <f t="shared" si="1"/>
        <v>45899</v>
      </c>
      <c r="G2" s="5">
        <f t="shared" si="1"/>
        <v>45930</v>
      </c>
      <c r="H2" s="5">
        <f t="shared" si="1"/>
        <v>45960</v>
      </c>
      <c r="I2" s="5">
        <f t="shared" si="1"/>
        <v>45991</v>
      </c>
      <c r="J2" s="5">
        <f t="shared" si="1"/>
        <v>46021</v>
      </c>
      <c r="K2" s="5">
        <f t="shared" si="1"/>
        <v>46052</v>
      </c>
      <c r="L2" s="5">
        <f t="shared" si="1"/>
        <v>46081</v>
      </c>
      <c r="M2" s="5">
        <f t="shared" si="1"/>
        <v>46109</v>
      </c>
      <c r="N2" s="6"/>
      <c r="O2" s="7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Q3" s="9"/>
      <c r="R3" s="9"/>
      <c r="S3" s="9"/>
      <c r="T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/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14"/>
      <c r="P4" s="9"/>
      <c r="Q4" s="9"/>
      <c r="R4" s="9"/>
      <c r="S4" s="9"/>
      <c r="T4" s="9"/>
      <c r="U4" s="15"/>
      <c r="V4" s="15"/>
      <c r="W4" s="15"/>
      <c r="X4" s="15"/>
      <c r="Y4" s="15"/>
      <c r="Z4" s="15"/>
    </row>
    <row r="5" ht="17.25" customHeight="1">
      <c r="A5" s="16" t="s">
        <v>103</v>
      </c>
      <c r="B5" s="16">
        <v>0.0</v>
      </c>
      <c r="C5" s="16">
        <v>25.0</v>
      </c>
      <c r="D5" s="16">
        <v>25.0</v>
      </c>
      <c r="E5" s="16">
        <v>25.0</v>
      </c>
      <c r="F5" s="16">
        <v>25.0</v>
      </c>
      <c r="G5" s="16">
        <v>25.0</v>
      </c>
      <c r="H5" s="16">
        <v>25.0</v>
      </c>
      <c r="I5" s="16">
        <v>25.0</v>
      </c>
      <c r="J5" s="16">
        <v>25.0</v>
      </c>
      <c r="K5" s="16">
        <v>25.0</v>
      </c>
      <c r="L5" s="16">
        <v>25.0</v>
      </c>
      <c r="M5" s="16">
        <v>25.0</v>
      </c>
      <c r="O5" s="17"/>
      <c r="P5" s="9"/>
      <c r="Q5" s="9"/>
      <c r="R5" s="9"/>
      <c r="S5" s="9"/>
      <c r="T5" s="9"/>
      <c r="U5" s="15"/>
      <c r="V5" s="15"/>
      <c r="W5" s="15"/>
      <c r="X5" s="15"/>
      <c r="Y5" s="15"/>
      <c r="Z5" s="15"/>
    </row>
    <row r="6" ht="17.25" customHeight="1">
      <c r="A6" s="17"/>
      <c r="B6" s="17"/>
      <c r="C6" s="17"/>
      <c r="D6" s="17" t="s">
        <v>5</v>
      </c>
      <c r="E6" s="17"/>
      <c r="F6" s="17"/>
      <c r="G6" s="17"/>
      <c r="H6" s="17"/>
      <c r="I6" s="17"/>
      <c r="J6" s="17"/>
      <c r="K6" s="17"/>
      <c r="L6" s="17"/>
      <c r="M6" s="17"/>
      <c r="O6" s="17"/>
      <c r="P6" s="9"/>
      <c r="Q6" s="9"/>
      <c r="R6" s="9"/>
      <c r="S6" s="9"/>
      <c r="T6" s="9"/>
      <c r="U6" s="15"/>
      <c r="V6" s="15"/>
      <c r="W6" s="15"/>
      <c r="X6" s="15"/>
      <c r="Y6" s="15"/>
      <c r="Z6" s="15"/>
    </row>
    <row r="7" ht="17.25" customHeight="1">
      <c r="A7" s="18" t="s">
        <v>6</v>
      </c>
      <c r="B7" s="19">
        <v>0.0</v>
      </c>
      <c r="C7" s="20">
        <f t="shared" ref="C7:M7" si="2">C14*C13+C17</f>
        <v>2553600</v>
      </c>
      <c r="D7" s="20">
        <f t="shared" si="2"/>
        <v>2553600</v>
      </c>
      <c r="E7" s="20">
        <f t="shared" si="2"/>
        <v>2394000</v>
      </c>
      <c r="F7" s="20">
        <f t="shared" si="2"/>
        <v>2234400</v>
      </c>
      <c r="G7" s="20">
        <f t="shared" si="2"/>
        <v>2713200</v>
      </c>
      <c r="H7" s="20">
        <f t="shared" si="2"/>
        <v>2713200</v>
      </c>
      <c r="I7" s="20">
        <f t="shared" si="2"/>
        <v>125000</v>
      </c>
      <c r="J7" s="20">
        <f t="shared" si="2"/>
        <v>125000</v>
      </c>
      <c r="K7" s="20">
        <f t="shared" si="2"/>
        <v>125000</v>
      </c>
      <c r="L7" s="20">
        <f t="shared" si="2"/>
        <v>125000</v>
      </c>
      <c r="M7" s="20">
        <f t="shared" si="2"/>
        <v>125000</v>
      </c>
      <c r="O7" s="20">
        <f t="shared" ref="O7:O8" si="4">SUM(B7:M7)</f>
        <v>15787000</v>
      </c>
      <c r="P7" s="9"/>
      <c r="Q7" s="9"/>
      <c r="R7" s="9"/>
      <c r="S7" s="9"/>
      <c r="T7" s="9"/>
      <c r="U7" s="21"/>
      <c r="V7" s="21"/>
      <c r="W7" s="21"/>
      <c r="X7" s="21"/>
      <c r="Y7" s="21"/>
      <c r="Z7" s="21"/>
    </row>
    <row r="8" ht="17.25" customHeight="1">
      <c r="A8" s="22" t="s">
        <v>118</v>
      </c>
      <c r="B8" s="23"/>
      <c r="C8" s="23">
        <f t="shared" ref="C8:H8" si="3">350000*30</f>
        <v>10500000</v>
      </c>
      <c r="D8" s="23">
        <f t="shared" si="3"/>
        <v>10500000</v>
      </c>
      <c r="E8" s="23">
        <f t="shared" si="3"/>
        <v>10500000</v>
      </c>
      <c r="F8" s="23">
        <f t="shared" si="3"/>
        <v>10500000</v>
      </c>
      <c r="G8" s="23">
        <f t="shared" si="3"/>
        <v>10500000</v>
      </c>
      <c r="H8" s="23">
        <f t="shared" si="3"/>
        <v>10500000</v>
      </c>
      <c r="I8" s="23"/>
      <c r="J8" s="23"/>
      <c r="K8" s="23"/>
      <c r="L8" s="23"/>
      <c r="M8" s="23"/>
      <c r="O8" s="24">
        <f t="shared" si="4"/>
        <v>63000000</v>
      </c>
      <c r="P8" s="9"/>
      <c r="Q8" s="9"/>
      <c r="R8" s="9"/>
      <c r="S8" s="9"/>
      <c r="T8" s="9"/>
      <c r="U8" s="15"/>
      <c r="V8" s="15"/>
      <c r="W8" s="15"/>
      <c r="X8" s="15"/>
      <c r="Y8" s="15"/>
      <c r="Z8" s="15"/>
    </row>
    <row r="9" ht="17.25" customHeight="1">
      <c r="A9" s="22" t="s">
        <v>119</v>
      </c>
      <c r="B9" s="25"/>
      <c r="C9" s="26">
        <v>0.08</v>
      </c>
      <c r="D9" s="26">
        <v>0.08</v>
      </c>
      <c r="E9" s="26">
        <v>0.08</v>
      </c>
      <c r="F9" s="26">
        <v>0.08</v>
      </c>
      <c r="G9" s="26">
        <v>0.08</v>
      </c>
      <c r="H9" s="26">
        <v>0.08</v>
      </c>
      <c r="I9" s="27"/>
      <c r="J9" s="27"/>
      <c r="K9" s="27"/>
      <c r="L9" s="27"/>
      <c r="M9" s="27"/>
      <c r="O9" s="17"/>
      <c r="P9" s="9"/>
      <c r="Q9" s="9"/>
      <c r="R9" s="9"/>
      <c r="S9" s="9"/>
      <c r="T9" s="9"/>
      <c r="U9" s="15"/>
      <c r="V9" s="15"/>
      <c r="W9" s="15"/>
      <c r="X9" s="15"/>
      <c r="Y9" s="15"/>
      <c r="Z9" s="15"/>
    </row>
    <row r="10" ht="17.25" customHeight="1">
      <c r="A10" s="22" t="s">
        <v>120</v>
      </c>
      <c r="B10" s="28"/>
      <c r="C10" s="29">
        <f t="shared" ref="C10:H10" si="5">C9/C5*C8</f>
        <v>33600</v>
      </c>
      <c r="D10" s="29">
        <f t="shared" si="5"/>
        <v>33600</v>
      </c>
      <c r="E10" s="29">
        <f t="shared" si="5"/>
        <v>33600</v>
      </c>
      <c r="F10" s="29">
        <f t="shared" si="5"/>
        <v>33600</v>
      </c>
      <c r="G10" s="29">
        <f t="shared" si="5"/>
        <v>33600</v>
      </c>
      <c r="H10" s="29">
        <f t="shared" si="5"/>
        <v>33600</v>
      </c>
      <c r="I10" s="27"/>
      <c r="J10" s="27"/>
      <c r="K10" s="27"/>
      <c r="L10" s="27"/>
      <c r="M10" s="27"/>
      <c r="O10" s="17"/>
      <c r="P10" s="9"/>
      <c r="Q10" s="9"/>
      <c r="R10" s="9"/>
      <c r="S10" s="9"/>
      <c r="T10" s="9"/>
      <c r="U10" s="15"/>
      <c r="V10" s="15"/>
      <c r="W10" s="15"/>
      <c r="X10" s="15"/>
      <c r="Y10" s="15"/>
      <c r="Z10" s="15"/>
    </row>
    <row r="11" ht="17.25" customHeight="1">
      <c r="A11" s="22" t="s">
        <v>10</v>
      </c>
      <c r="B11" s="30"/>
      <c r="C11" s="30">
        <f t="shared" ref="C11:H11" si="6">C8*C9</f>
        <v>840000</v>
      </c>
      <c r="D11" s="30">
        <f t="shared" si="6"/>
        <v>840000</v>
      </c>
      <c r="E11" s="30">
        <f t="shared" si="6"/>
        <v>840000</v>
      </c>
      <c r="F11" s="30">
        <f t="shared" si="6"/>
        <v>840000</v>
      </c>
      <c r="G11" s="30">
        <f t="shared" si="6"/>
        <v>840000</v>
      </c>
      <c r="H11" s="30">
        <f t="shared" si="6"/>
        <v>840000</v>
      </c>
      <c r="I11" s="30"/>
      <c r="J11" s="30"/>
      <c r="K11" s="30"/>
      <c r="L11" s="30"/>
      <c r="M11" s="30"/>
      <c r="O11" s="24">
        <f>SUM(B11:M11)</f>
        <v>5040000</v>
      </c>
      <c r="P11" s="9"/>
      <c r="Q11" s="9"/>
      <c r="R11" s="9"/>
      <c r="S11" s="9"/>
      <c r="T11" s="9"/>
      <c r="U11" s="15"/>
      <c r="V11" s="15"/>
      <c r="W11" s="15"/>
      <c r="X11" s="15"/>
      <c r="Y11" s="15"/>
      <c r="Z11" s="15"/>
    </row>
    <row r="12" ht="17.25" customHeight="1">
      <c r="A12" s="22" t="s">
        <v>11</v>
      </c>
      <c r="B12" s="28"/>
      <c r="C12" s="31">
        <v>0.016</v>
      </c>
      <c r="D12" s="31">
        <v>0.016</v>
      </c>
      <c r="E12" s="31">
        <v>0.015</v>
      </c>
      <c r="F12" s="31">
        <v>0.014</v>
      </c>
      <c r="G12" s="31">
        <v>0.017</v>
      </c>
      <c r="H12" s="31">
        <v>0.017</v>
      </c>
      <c r="I12" s="28"/>
      <c r="J12" s="28"/>
      <c r="K12" s="28"/>
      <c r="L12" s="28"/>
      <c r="M12" s="28"/>
      <c r="O12" s="17"/>
      <c r="P12" s="9"/>
      <c r="Q12" s="9"/>
      <c r="R12" s="9"/>
      <c r="S12" s="9"/>
      <c r="T12" s="9"/>
      <c r="U12" s="15"/>
      <c r="V12" s="15"/>
      <c r="W12" s="15"/>
      <c r="X12" s="15"/>
      <c r="Y12" s="15"/>
      <c r="Z12" s="15"/>
    </row>
    <row r="13" ht="17.25" customHeight="1">
      <c r="A13" s="22" t="s">
        <v>121</v>
      </c>
      <c r="B13" s="23"/>
      <c r="C13" s="32">
        <v>190.0</v>
      </c>
      <c r="D13" s="32">
        <v>190.0</v>
      </c>
      <c r="E13" s="32">
        <v>190.0</v>
      </c>
      <c r="F13" s="32">
        <v>190.0</v>
      </c>
      <c r="G13" s="32">
        <v>190.0</v>
      </c>
      <c r="H13" s="32">
        <v>190.0</v>
      </c>
      <c r="I13" s="23"/>
      <c r="J13" s="23"/>
      <c r="K13" s="23"/>
      <c r="L13" s="23"/>
      <c r="M13" s="23"/>
      <c r="O13" s="17"/>
      <c r="P13" s="9"/>
      <c r="Q13" s="9"/>
      <c r="R13" s="9"/>
      <c r="S13" s="9"/>
      <c r="T13" s="9"/>
      <c r="U13" s="15"/>
      <c r="V13" s="15"/>
      <c r="W13" s="15"/>
      <c r="X13" s="15"/>
      <c r="Y13" s="15"/>
      <c r="Z13" s="15"/>
    </row>
    <row r="14" ht="17.25" customHeight="1">
      <c r="A14" s="22" t="s">
        <v>122</v>
      </c>
      <c r="B14" s="23"/>
      <c r="C14" s="30">
        <f t="shared" ref="C14:H14" si="7">C11*C12</f>
        <v>13440</v>
      </c>
      <c r="D14" s="30">
        <f t="shared" si="7"/>
        <v>13440</v>
      </c>
      <c r="E14" s="30">
        <f t="shared" si="7"/>
        <v>12600</v>
      </c>
      <c r="F14" s="30">
        <f t="shared" si="7"/>
        <v>11760</v>
      </c>
      <c r="G14" s="30">
        <f t="shared" si="7"/>
        <v>14280</v>
      </c>
      <c r="H14" s="30">
        <f t="shared" si="7"/>
        <v>14280</v>
      </c>
      <c r="I14" s="30"/>
      <c r="J14" s="30"/>
      <c r="K14" s="30"/>
      <c r="L14" s="30"/>
      <c r="M14" s="30"/>
      <c r="O14" s="24">
        <f>SUM(B14:M14)</f>
        <v>79800</v>
      </c>
      <c r="P14" s="9"/>
      <c r="Q14" s="9"/>
      <c r="R14" s="9"/>
      <c r="S14" s="9"/>
      <c r="T14" s="9"/>
      <c r="U14" s="15"/>
      <c r="V14" s="15"/>
      <c r="W14" s="15"/>
      <c r="X14" s="15"/>
      <c r="Y14" s="15"/>
      <c r="Z14" s="15"/>
    </row>
    <row r="15" ht="17.25" customHeight="1">
      <c r="A15" s="22" t="s">
        <v>14</v>
      </c>
      <c r="B15" s="23"/>
      <c r="C15" s="33">
        <f t="shared" ref="C15:H15" si="8">C14/30</f>
        <v>448</v>
      </c>
      <c r="D15" s="33">
        <f t="shared" si="8"/>
        <v>448</v>
      </c>
      <c r="E15" s="33">
        <f t="shared" si="8"/>
        <v>420</v>
      </c>
      <c r="F15" s="33">
        <f t="shared" si="8"/>
        <v>392</v>
      </c>
      <c r="G15" s="33">
        <f t="shared" si="8"/>
        <v>476</v>
      </c>
      <c r="H15" s="33">
        <f t="shared" si="8"/>
        <v>476</v>
      </c>
      <c r="I15" s="23"/>
      <c r="J15" s="23"/>
      <c r="K15" s="23"/>
      <c r="L15" s="23"/>
      <c r="M15" s="23"/>
      <c r="O15" s="17"/>
      <c r="P15" s="9"/>
      <c r="Q15" s="9"/>
      <c r="R15" s="9"/>
      <c r="S15" s="9"/>
      <c r="T15" s="9"/>
      <c r="U15" s="15"/>
      <c r="V15" s="15"/>
      <c r="W15" s="15"/>
      <c r="X15" s="15"/>
      <c r="Y15" s="15"/>
      <c r="Z15" s="15"/>
    </row>
    <row r="16" ht="17.25" customHeight="1">
      <c r="A16" s="22" t="s">
        <v>15</v>
      </c>
      <c r="B16" s="34"/>
      <c r="C16" s="34">
        <f t="shared" ref="C16:H16" si="9">C15/C5</f>
        <v>17.92</v>
      </c>
      <c r="D16" s="34">
        <f t="shared" si="9"/>
        <v>17.92</v>
      </c>
      <c r="E16" s="34">
        <f t="shared" si="9"/>
        <v>16.8</v>
      </c>
      <c r="F16" s="34">
        <f t="shared" si="9"/>
        <v>15.68</v>
      </c>
      <c r="G16" s="34">
        <f t="shared" si="9"/>
        <v>19.04</v>
      </c>
      <c r="H16" s="34">
        <f t="shared" si="9"/>
        <v>19.04</v>
      </c>
      <c r="I16" s="34"/>
      <c r="J16" s="34"/>
      <c r="K16" s="34"/>
      <c r="L16" s="34"/>
      <c r="M16" s="34"/>
      <c r="O16" s="17"/>
      <c r="P16" s="9"/>
      <c r="Q16" s="9"/>
      <c r="R16" s="9"/>
      <c r="S16" s="9"/>
      <c r="T16" s="9"/>
      <c r="U16" s="15"/>
      <c r="V16" s="15"/>
      <c r="W16" s="15"/>
      <c r="X16" s="15"/>
      <c r="Y16" s="15"/>
      <c r="Z16" s="15"/>
    </row>
    <row r="17" ht="17.25" customHeight="1">
      <c r="A17" s="68" t="s">
        <v>77</v>
      </c>
      <c r="B17" s="69"/>
      <c r="C17" s="69"/>
      <c r="D17" s="69"/>
      <c r="E17" s="69"/>
      <c r="F17" s="69"/>
      <c r="G17" s="69"/>
      <c r="H17" s="69"/>
      <c r="I17" s="69">
        <f t="shared" ref="I17:M17" si="10">I5*5000</f>
        <v>125000</v>
      </c>
      <c r="J17" s="69">
        <f t="shared" si="10"/>
        <v>125000</v>
      </c>
      <c r="K17" s="69">
        <f t="shared" si="10"/>
        <v>125000</v>
      </c>
      <c r="L17" s="69">
        <f t="shared" si="10"/>
        <v>125000</v>
      </c>
      <c r="M17" s="69">
        <f t="shared" si="10"/>
        <v>125000</v>
      </c>
      <c r="O17" s="45">
        <f>SUM(B17:M17)</f>
        <v>625000</v>
      </c>
      <c r="P17" s="70"/>
      <c r="Q17" s="70"/>
      <c r="R17" s="70"/>
      <c r="S17" s="70"/>
      <c r="T17" s="70"/>
      <c r="U17" s="71"/>
      <c r="V17" s="71"/>
      <c r="W17" s="71"/>
      <c r="X17" s="71"/>
      <c r="Y17" s="71"/>
      <c r="Z17" s="71"/>
    </row>
    <row r="18" ht="17.25" customHeight="1">
      <c r="A18" s="3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O18" s="24"/>
      <c r="P18" s="9"/>
      <c r="Q18" s="9"/>
      <c r="R18" s="9"/>
      <c r="S18" s="9"/>
      <c r="T18" s="9"/>
      <c r="U18" s="15"/>
      <c r="V18" s="15"/>
      <c r="W18" s="15"/>
      <c r="X18" s="15"/>
      <c r="Y18" s="15"/>
      <c r="Z18" s="15"/>
    </row>
    <row r="19" ht="17.25" customHeight="1">
      <c r="A19" s="36" t="s">
        <v>16</v>
      </c>
      <c r="B19" s="37">
        <f t="shared" ref="B19:M19" si="11">SUM(B20:B29)</f>
        <v>3865000</v>
      </c>
      <c r="C19" s="37">
        <f t="shared" si="11"/>
        <v>1397646.4</v>
      </c>
      <c r="D19" s="37">
        <f t="shared" si="11"/>
        <v>1444686.4</v>
      </c>
      <c r="E19" s="37">
        <f t="shared" si="11"/>
        <v>1400956</v>
      </c>
      <c r="F19" s="37">
        <f t="shared" si="11"/>
        <v>1357225.6</v>
      </c>
      <c r="G19" s="37">
        <f t="shared" si="11"/>
        <v>1488416.8</v>
      </c>
      <c r="H19" s="37">
        <f t="shared" si="11"/>
        <v>1153416.8</v>
      </c>
      <c r="I19" s="37">
        <f t="shared" si="11"/>
        <v>60000</v>
      </c>
      <c r="J19" s="37">
        <f t="shared" si="11"/>
        <v>60000</v>
      </c>
      <c r="K19" s="37">
        <f t="shared" si="11"/>
        <v>60000</v>
      </c>
      <c r="L19" s="37">
        <f t="shared" si="11"/>
        <v>60000</v>
      </c>
      <c r="M19" s="37">
        <f t="shared" si="11"/>
        <v>60000</v>
      </c>
      <c r="O19" s="37">
        <f>SUM(O20:O30)</f>
        <v>12914295.8</v>
      </c>
      <c r="P19" s="9"/>
      <c r="Q19" s="9"/>
      <c r="R19" s="9"/>
      <c r="S19" s="9"/>
      <c r="T19" s="9"/>
      <c r="U19" s="21"/>
      <c r="V19" s="21"/>
      <c r="W19" s="21"/>
      <c r="X19" s="21"/>
      <c r="Y19" s="21"/>
      <c r="Z19" s="21"/>
    </row>
    <row r="20" ht="17.25" customHeight="1">
      <c r="A20" s="22" t="s">
        <v>123</v>
      </c>
      <c r="B20" s="38">
        <f>C5*40*250</f>
        <v>250000</v>
      </c>
      <c r="C20" s="39">
        <f>C14/10*240</f>
        <v>322560</v>
      </c>
      <c r="D20" s="39">
        <f t="shared" ref="D20:H20" si="12">D14/2*55</f>
        <v>369600</v>
      </c>
      <c r="E20" s="39">
        <f t="shared" si="12"/>
        <v>346500</v>
      </c>
      <c r="F20" s="39">
        <f t="shared" si="12"/>
        <v>323400</v>
      </c>
      <c r="G20" s="39">
        <f t="shared" si="12"/>
        <v>392700</v>
      </c>
      <c r="H20" s="39">
        <f t="shared" si="12"/>
        <v>392700</v>
      </c>
      <c r="I20" s="39">
        <f t="shared" ref="I20:M20" si="13">I14/10*240</f>
        <v>0</v>
      </c>
      <c r="J20" s="39">
        <f t="shared" si="13"/>
        <v>0</v>
      </c>
      <c r="K20" s="39">
        <f t="shared" si="13"/>
        <v>0</v>
      </c>
      <c r="L20" s="39">
        <f t="shared" si="13"/>
        <v>0</v>
      </c>
      <c r="M20" s="39">
        <f t="shared" si="13"/>
        <v>0</v>
      </c>
      <c r="O20" s="38">
        <f t="shared" ref="O20:O28" si="14">SUM(B20:M20)</f>
        <v>2397460</v>
      </c>
      <c r="P20" s="9"/>
      <c r="Q20" s="9"/>
      <c r="R20" s="9"/>
      <c r="S20" s="9"/>
      <c r="T20" s="9"/>
      <c r="U20" s="15"/>
      <c r="V20" s="15"/>
      <c r="W20" s="15"/>
      <c r="X20" s="15"/>
      <c r="Y20" s="15"/>
      <c r="Z20" s="15"/>
    </row>
    <row r="21" ht="17.25" customHeight="1">
      <c r="A21" s="22" t="s">
        <v>79</v>
      </c>
      <c r="B21" s="38">
        <f>(C5-15)*300000</f>
        <v>3000000</v>
      </c>
      <c r="C21" s="38">
        <v>0.0</v>
      </c>
      <c r="D21" s="38">
        <v>0.0</v>
      </c>
      <c r="E21" s="38">
        <v>0.0</v>
      </c>
      <c r="F21" s="38">
        <v>0.0</v>
      </c>
      <c r="G21" s="38">
        <v>0.0</v>
      </c>
      <c r="H21" s="38">
        <v>0.0</v>
      </c>
      <c r="I21" s="38">
        <v>0.0</v>
      </c>
      <c r="J21" s="38">
        <v>0.0</v>
      </c>
      <c r="K21" s="38">
        <v>0.0</v>
      </c>
      <c r="L21" s="38">
        <v>0.0</v>
      </c>
      <c r="M21" s="38">
        <v>0.0</v>
      </c>
      <c r="O21" s="38">
        <f t="shared" si="14"/>
        <v>3000000</v>
      </c>
      <c r="P21" s="9"/>
      <c r="Q21" s="9"/>
      <c r="R21" s="9"/>
      <c r="S21" s="9"/>
      <c r="T21" s="9"/>
      <c r="U21" s="15"/>
      <c r="V21" s="15"/>
      <c r="W21" s="15"/>
      <c r="X21" s="15"/>
      <c r="Y21" s="15"/>
      <c r="Z21" s="15"/>
    </row>
    <row r="22" ht="17.25" customHeight="1">
      <c r="A22" s="22" t="s">
        <v>124</v>
      </c>
      <c r="B22" s="41">
        <v>100000.0</v>
      </c>
      <c r="C22" s="41">
        <f t="shared" ref="C22:H22" si="15">90000*3</f>
        <v>270000</v>
      </c>
      <c r="D22" s="41">
        <f t="shared" si="15"/>
        <v>270000</v>
      </c>
      <c r="E22" s="41">
        <f t="shared" si="15"/>
        <v>270000</v>
      </c>
      <c r="F22" s="41">
        <f t="shared" si="15"/>
        <v>270000</v>
      </c>
      <c r="G22" s="41">
        <f t="shared" si="15"/>
        <v>270000</v>
      </c>
      <c r="H22" s="41">
        <f t="shared" si="15"/>
        <v>270000</v>
      </c>
      <c r="I22" s="41">
        <f t="shared" ref="I22:M22" si="16">3*20000</f>
        <v>60000</v>
      </c>
      <c r="J22" s="41">
        <f t="shared" si="16"/>
        <v>60000</v>
      </c>
      <c r="K22" s="41">
        <f t="shared" si="16"/>
        <v>60000</v>
      </c>
      <c r="L22" s="41">
        <f t="shared" si="16"/>
        <v>60000</v>
      </c>
      <c r="M22" s="41">
        <f t="shared" si="16"/>
        <v>60000</v>
      </c>
      <c r="O22" s="38">
        <f t="shared" si="14"/>
        <v>2020000</v>
      </c>
      <c r="P22" s="9"/>
      <c r="Q22" s="9"/>
      <c r="R22" s="9"/>
      <c r="S22" s="9"/>
      <c r="T22" s="9"/>
      <c r="U22" s="15"/>
      <c r="V22" s="15"/>
      <c r="W22" s="15"/>
      <c r="X22" s="15"/>
      <c r="Y22" s="15"/>
      <c r="Z22" s="15"/>
    </row>
    <row r="23" ht="17.25" customHeight="1">
      <c r="A23" s="42" t="s">
        <v>20</v>
      </c>
      <c r="B23" s="41">
        <f t="shared" ref="B23:M23" si="17">IF(C17=0,C5*15000,0)</f>
        <v>375000</v>
      </c>
      <c r="C23" s="41">
        <f t="shared" si="17"/>
        <v>375000</v>
      </c>
      <c r="D23" s="41">
        <f t="shared" si="17"/>
        <v>375000</v>
      </c>
      <c r="E23" s="41">
        <f t="shared" si="17"/>
        <v>375000</v>
      </c>
      <c r="F23" s="41">
        <f t="shared" si="17"/>
        <v>375000</v>
      </c>
      <c r="G23" s="41">
        <f t="shared" si="17"/>
        <v>375000</v>
      </c>
      <c r="H23" s="41">
        <f t="shared" si="17"/>
        <v>0</v>
      </c>
      <c r="I23" s="41">
        <f t="shared" si="17"/>
        <v>0</v>
      </c>
      <c r="J23" s="41">
        <f t="shared" si="17"/>
        <v>0</v>
      </c>
      <c r="K23" s="41">
        <f t="shared" si="17"/>
        <v>0</v>
      </c>
      <c r="L23" s="41">
        <f t="shared" si="17"/>
        <v>0</v>
      </c>
      <c r="M23" s="41">
        <f t="shared" si="17"/>
        <v>0</v>
      </c>
      <c r="O23" s="38">
        <f t="shared" si="14"/>
        <v>2250000</v>
      </c>
      <c r="P23" s="9"/>
      <c r="Q23" s="9"/>
      <c r="R23" s="9"/>
      <c r="S23" s="9"/>
      <c r="T23" s="9"/>
      <c r="U23" s="15"/>
      <c r="V23" s="15"/>
      <c r="W23" s="15"/>
      <c r="X23" s="15"/>
      <c r="Y23" s="15"/>
      <c r="Z23" s="15"/>
    </row>
    <row r="24" ht="17.25" customHeight="1">
      <c r="A24" s="43" t="s">
        <v>125</v>
      </c>
      <c r="B24" s="41">
        <v>100000.0</v>
      </c>
      <c r="C24" s="41">
        <v>40000.0</v>
      </c>
      <c r="D24" s="41">
        <v>40000.0</v>
      </c>
      <c r="E24" s="41">
        <v>40000.0</v>
      </c>
      <c r="F24" s="41">
        <v>40000.0</v>
      </c>
      <c r="G24" s="41">
        <v>40000.0</v>
      </c>
      <c r="H24" s="41">
        <v>40000.0</v>
      </c>
      <c r="I24" s="41">
        <v>0.0</v>
      </c>
      <c r="J24" s="41">
        <v>0.0</v>
      </c>
      <c r="K24" s="41">
        <v>0.0</v>
      </c>
      <c r="L24" s="41">
        <v>0.0</v>
      </c>
      <c r="M24" s="41">
        <v>0.0</v>
      </c>
      <c r="O24" s="38">
        <f t="shared" si="14"/>
        <v>340000</v>
      </c>
      <c r="P24" s="9"/>
      <c r="Q24" s="9"/>
      <c r="R24" s="9"/>
      <c r="S24" s="9"/>
      <c r="T24" s="9"/>
      <c r="U24" s="15"/>
      <c r="V24" s="15"/>
      <c r="W24" s="15"/>
      <c r="X24" s="15"/>
      <c r="Y24" s="15"/>
      <c r="Z24" s="15"/>
    </row>
    <row r="25" ht="17.25" customHeight="1">
      <c r="A25" s="43" t="s">
        <v>22</v>
      </c>
      <c r="B25" s="41">
        <f>B14/12*500</f>
        <v>0</v>
      </c>
      <c r="C25" s="41">
        <f t="shared" ref="C25:H25" si="18">C14/2*40</f>
        <v>268800</v>
      </c>
      <c r="D25" s="41">
        <f t="shared" si="18"/>
        <v>268800</v>
      </c>
      <c r="E25" s="41">
        <f t="shared" si="18"/>
        <v>252000</v>
      </c>
      <c r="F25" s="41">
        <f t="shared" si="18"/>
        <v>235200</v>
      </c>
      <c r="G25" s="41">
        <f t="shared" si="18"/>
        <v>285600</v>
      </c>
      <c r="H25" s="41">
        <f t="shared" si="18"/>
        <v>285600</v>
      </c>
      <c r="I25" s="41">
        <f t="shared" ref="I25:M25" si="19">I14/12*500</f>
        <v>0</v>
      </c>
      <c r="J25" s="41">
        <f t="shared" si="19"/>
        <v>0</v>
      </c>
      <c r="K25" s="41">
        <f t="shared" si="19"/>
        <v>0</v>
      </c>
      <c r="L25" s="41">
        <f t="shared" si="19"/>
        <v>0</v>
      </c>
      <c r="M25" s="41">
        <f t="shared" si="19"/>
        <v>0</v>
      </c>
      <c r="O25" s="38">
        <f t="shared" si="14"/>
        <v>1596000</v>
      </c>
      <c r="P25" s="9"/>
      <c r="Q25" s="9"/>
      <c r="R25" s="9"/>
      <c r="S25" s="9"/>
      <c r="T25" s="9"/>
      <c r="U25" s="15"/>
      <c r="V25" s="15"/>
      <c r="W25" s="15"/>
      <c r="X25" s="15"/>
      <c r="Y25" s="15"/>
      <c r="Z25" s="15"/>
    </row>
    <row r="26" ht="17.25" customHeight="1">
      <c r="A26" s="44" t="s">
        <v>126</v>
      </c>
      <c r="B26" s="45">
        <f t="shared" ref="B26:M26" si="20">B14*B13*2.4%</f>
        <v>0</v>
      </c>
      <c r="C26" s="45">
        <f t="shared" si="20"/>
        <v>61286.4</v>
      </c>
      <c r="D26" s="45">
        <f t="shared" si="20"/>
        <v>61286.4</v>
      </c>
      <c r="E26" s="45">
        <f t="shared" si="20"/>
        <v>57456</v>
      </c>
      <c r="F26" s="45">
        <f t="shared" si="20"/>
        <v>53625.6</v>
      </c>
      <c r="G26" s="45">
        <f t="shared" si="20"/>
        <v>65116.8</v>
      </c>
      <c r="H26" s="45">
        <f t="shared" si="20"/>
        <v>65116.8</v>
      </c>
      <c r="I26" s="45">
        <f t="shared" si="20"/>
        <v>0</v>
      </c>
      <c r="J26" s="45">
        <f t="shared" si="20"/>
        <v>0</v>
      </c>
      <c r="K26" s="45">
        <f t="shared" si="20"/>
        <v>0</v>
      </c>
      <c r="L26" s="45">
        <f t="shared" si="20"/>
        <v>0</v>
      </c>
      <c r="M26" s="45">
        <f t="shared" si="20"/>
        <v>0</v>
      </c>
      <c r="O26" s="38">
        <f t="shared" si="14"/>
        <v>363888</v>
      </c>
      <c r="P26" s="9"/>
      <c r="Q26" s="9"/>
      <c r="R26" s="9"/>
      <c r="S26" s="9"/>
      <c r="T26" s="9"/>
      <c r="U26" s="15"/>
      <c r="V26" s="15"/>
      <c r="W26" s="15"/>
      <c r="X26" s="15"/>
      <c r="Y26" s="15"/>
      <c r="Z26" s="15"/>
    </row>
    <row r="27" ht="17.25" customHeight="1">
      <c r="A27" s="44" t="s">
        <v>127</v>
      </c>
      <c r="B27" s="41">
        <v>40000.0</v>
      </c>
      <c r="C27" s="41"/>
      <c r="D27" s="45"/>
      <c r="E27" s="45"/>
      <c r="F27" s="45"/>
      <c r="G27" s="41"/>
      <c r="H27" s="41">
        <v>40000.0</v>
      </c>
      <c r="I27" s="45"/>
      <c r="J27" s="45"/>
      <c r="K27" s="45"/>
      <c r="L27" s="45"/>
      <c r="M27" s="41"/>
      <c r="O27" s="38">
        <f t="shared" si="14"/>
        <v>80000</v>
      </c>
      <c r="P27" s="9"/>
      <c r="Q27" s="9"/>
      <c r="R27" s="9"/>
      <c r="S27" s="9"/>
      <c r="T27" s="9"/>
      <c r="U27" s="15"/>
      <c r="V27" s="15"/>
      <c r="W27" s="15"/>
      <c r="X27" s="15"/>
      <c r="Y27" s="15"/>
      <c r="Z27" s="15"/>
    </row>
    <row r="28" ht="17.25" customHeight="1">
      <c r="A28" s="43" t="s">
        <v>25</v>
      </c>
      <c r="B28" s="41"/>
      <c r="C28" s="41">
        <f t="shared" ref="C28:H28" si="21">1000*2*30</f>
        <v>60000</v>
      </c>
      <c r="D28" s="41">
        <f t="shared" si="21"/>
        <v>60000</v>
      </c>
      <c r="E28" s="41">
        <f t="shared" si="21"/>
        <v>60000</v>
      </c>
      <c r="F28" s="41">
        <f t="shared" si="21"/>
        <v>60000</v>
      </c>
      <c r="G28" s="41">
        <f t="shared" si="21"/>
        <v>60000</v>
      </c>
      <c r="H28" s="41">
        <f t="shared" si="21"/>
        <v>60000</v>
      </c>
      <c r="I28" s="41"/>
      <c r="J28" s="45"/>
      <c r="K28" s="45"/>
      <c r="L28" s="45"/>
      <c r="M28" s="41"/>
      <c r="O28" s="38">
        <f t="shared" si="14"/>
        <v>360000</v>
      </c>
      <c r="P28" s="9"/>
      <c r="Q28" s="9"/>
      <c r="R28" s="9"/>
      <c r="S28" s="9"/>
      <c r="T28" s="9"/>
      <c r="U28" s="15"/>
      <c r="V28" s="15"/>
      <c r="W28" s="15"/>
      <c r="X28" s="15"/>
      <c r="Y28" s="15"/>
      <c r="Z28" s="15"/>
    </row>
    <row r="29" ht="17.25" customHeight="1">
      <c r="A29" s="43" t="s">
        <v>128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O29" s="38">
        <f>IF((O7-SUM(O20:O28))*15% &lt;0,0,(O7-SUM(O20:O28))*15%)</f>
        <v>506947.8</v>
      </c>
      <c r="P29" s="9"/>
      <c r="Q29" s="9"/>
      <c r="R29" s="9"/>
      <c r="S29" s="9"/>
      <c r="T29" s="9"/>
      <c r="U29" s="15"/>
      <c r="V29" s="15"/>
      <c r="W29" s="15"/>
      <c r="X29" s="15"/>
      <c r="Y29" s="15"/>
      <c r="Z29" s="15"/>
    </row>
    <row r="30" ht="17.25" customHeight="1">
      <c r="A30" s="43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O30" s="38"/>
      <c r="P30" s="9"/>
      <c r="Q30" s="9"/>
      <c r="R30" s="9"/>
      <c r="S30" s="9"/>
      <c r="T30" s="9"/>
      <c r="U30" s="15"/>
      <c r="V30" s="15"/>
      <c r="W30" s="15"/>
      <c r="X30" s="15"/>
      <c r="Y30" s="15"/>
      <c r="Z30" s="15"/>
    </row>
    <row r="31" ht="17.25" customHeight="1">
      <c r="A31" s="36" t="s">
        <v>27</v>
      </c>
      <c r="B31" s="37">
        <f t="shared" ref="B31:M31" si="22">B21+B22+B23+B24+B27</f>
        <v>3615000</v>
      </c>
      <c r="C31" s="37">
        <f t="shared" si="22"/>
        <v>685000</v>
      </c>
      <c r="D31" s="37">
        <f t="shared" si="22"/>
        <v>685000</v>
      </c>
      <c r="E31" s="37">
        <f t="shared" si="22"/>
        <v>685000</v>
      </c>
      <c r="F31" s="37">
        <f t="shared" si="22"/>
        <v>685000</v>
      </c>
      <c r="G31" s="37">
        <f t="shared" si="22"/>
        <v>685000</v>
      </c>
      <c r="H31" s="37">
        <f t="shared" si="22"/>
        <v>350000</v>
      </c>
      <c r="I31" s="37">
        <f t="shared" si="22"/>
        <v>60000</v>
      </c>
      <c r="J31" s="37">
        <f t="shared" si="22"/>
        <v>60000</v>
      </c>
      <c r="K31" s="37">
        <f t="shared" si="22"/>
        <v>60000</v>
      </c>
      <c r="L31" s="37">
        <f t="shared" si="22"/>
        <v>60000</v>
      </c>
      <c r="M31" s="37">
        <f t="shared" si="22"/>
        <v>60000</v>
      </c>
      <c r="O31" s="37">
        <f>SUM(B31:M31)</f>
        <v>7690000</v>
      </c>
      <c r="P31" s="9"/>
      <c r="Q31" s="9"/>
      <c r="R31" s="9"/>
      <c r="S31" s="9"/>
      <c r="T31" s="9"/>
      <c r="U31" s="15"/>
      <c r="V31" s="15"/>
      <c r="W31" s="15"/>
      <c r="X31" s="15"/>
      <c r="Y31" s="15"/>
      <c r="Z31" s="15"/>
    </row>
    <row r="32" ht="17.25" customHeight="1">
      <c r="A32" s="36" t="s">
        <v>28</v>
      </c>
      <c r="B32" s="37">
        <f t="shared" ref="B32:M32" si="23">IFERROR((B20+B25+B26+B28)/B14,0)</f>
        <v>0</v>
      </c>
      <c r="C32" s="37">
        <f t="shared" si="23"/>
        <v>53.02428571</v>
      </c>
      <c r="D32" s="37">
        <f t="shared" si="23"/>
        <v>56.52428571</v>
      </c>
      <c r="E32" s="37">
        <f t="shared" si="23"/>
        <v>56.82190476</v>
      </c>
      <c r="F32" s="37">
        <f t="shared" si="23"/>
        <v>57.16204082</v>
      </c>
      <c r="G32" s="37">
        <f t="shared" si="23"/>
        <v>56.26168067</v>
      </c>
      <c r="H32" s="37">
        <f t="shared" si="23"/>
        <v>56.26168067</v>
      </c>
      <c r="I32" s="37">
        <f t="shared" si="23"/>
        <v>0</v>
      </c>
      <c r="J32" s="37">
        <f t="shared" si="23"/>
        <v>0</v>
      </c>
      <c r="K32" s="37">
        <f t="shared" si="23"/>
        <v>0</v>
      </c>
      <c r="L32" s="37">
        <f t="shared" si="23"/>
        <v>0</v>
      </c>
      <c r="M32" s="37">
        <f t="shared" si="23"/>
        <v>0</v>
      </c>
      <c r="O32" s="37">
        <f>O19-O31</f>
        <v>5224295.8</v>
      </c>
      <c r="P32" s="9"/>
      <c r="Q32" s="9"/>
      <c r="R32" s="9"/>
      <c r="S32" s="9"/>
      <c r="T32" s="9"/>
      <c r="U32" s="15"/>
      <c r="V32" s="15"/>
      <c r="W32" s="15"/>
      <c r="X32" s="15"/>
      <c r="Y32" s="15"/>
      <c r="Z32" s="15"/>
    </row>
    <row r="33" ht="17.25" customHeight="1">
      <c r="A33" s="47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O33" s="24"/>
      <c r="P33" s="9"/>
      <c r="Q33" s="9"/>
      <c r="R33" s="9"/>
      <c r="S33" s="9"/>
      <c r="T33" s="9"/>
      <c r="U33" s="15"/>
      <c r="V33" s="15"/>
      <c r="W33" s="15"/>
      <c r="X33" s="15"/>
      <c r="Y33" s="15"/>
      <c r="Z33" s="15"/>
    </row>
    <row r="34" ht="17.25" customHeight="1">
      <c r="A34" s="48" t="s">
        <v>29</v>
      </c>
      <c r="B34" s="49">
        <f t="shared" ref="B34:M34" si="24">B7-B19</f>
        <v>-3865000</v>
      </c>
      <c r="C34" s="49">
        <f t="shared" si="24"/>
        <v>1155953.6</v>
      </c>
      <c r="D34" s="49">
        <f t="shared" si="24"/>
        <v>1108913.6</v>
      </c>
      <c r="E34" s="49">
        <f t="shared" si="24"/>
        <v>993044</v>
      </c>
      <c r="F34" s="49">
        <f t="shared" si="24"/>
        <v>877174.4</v>
      </c>
      <c r="G34" s="49">
        <f t="shared" si="24"/>
        <v>1224783.2</v>
      </c>
      <c r="H34" s="49">
        <f t="shared" si="24"/>
        <v>1559783.2</v>
      </c>
      <c r="I34" s="49">
        <f t="shared" si="24"/>
        <v>65000</v>
      </c>
      <c r="J34" s="49">
        <f t="shared" si="24"/>
        <v>65000</v>
      </c>
      <c r="K34" s="49">
        <f t="shared" si="24"/>
        <v>65000</v>
      </c>
      <c r="L34" s="50">
        <f t="shared" si="24"/>
        <v>65000</v>
      </c>
      <c r="M34" s="50">
        <f t="shared" si="24"/>
        <v>65000</v>
      </c>
      <c r="O34" s="50">
        <f>O7-O19</f>
        <v>2872704.2</v>
      </c>
      <c r="P34" s="9"/>
      <c r="Q34" s="9"/>
      <c r="R34" s="9"/>
      <c r="S34" s="9"/>
      <c r="T34" s="9"/>
      <c r="U34" s="51"/>
      <c r="V34" s="51"/>
      <c r="W34" s="51"/>
      <c r="X34" s="51"/>
      <c r="Y34" s="51"/>
      <c r="Z34" s="51"/>
    </row>
    <row r="35" ht="17.25" customHeight="1">
      <c r="A35" s="43" t="s">
        <v>129</v>
      </c>
      <c r="B35" s="52"/>
      <c r="C35" s="52">
        <f t="shared" ref="C35:M35" si="25">C34/C7*100%</f>
        <v>0.4526760652</v>
      </c>
      <c r="D35" s="52">
        <f t="shared" si="25"/>
        <v>0.4342550125</v>
      </c>
      <c r="E35" s="52">
        <f t="shared" si="25"/>
        <v>0.4148053467</v>
      </c>
      <c r="F35" s="52">
        <f t="shared" si="25"/>
        <v>0.3925771572</v>
      </c>
      <c r="G35" s="52">
        <f t="shared" si="25"/>
        <v>0.4514164824</v>
      </c>
      <c r="H35" s="52">
        <f t="shared" si="25"/>
        <v>0.5748869232</v>
      </c>
      <c r="I35" s="52">
        <f t="shared" si="25"/>
        <v>0.52</v>
      </c>
      <c r="J35" s="52">
        <f t="shared" si="25"/>
        <v>0.52</v>
      </c>
      <c r="K35" s="52">
        <f t="shared" si="25"/>
        <v>0.52</v>
      </c>
      <c r="L35" s="52">
        <f t="shared" si="25"/>
        <v>0.52</v>
      </c>
      <c r="M35" s="52">
        <f t="shared" si="25"/>
        <v>0.52</v>
      </c>
      <c r="O35" s="52">
        <f>O34/O7*100%</f>
        <v>0.1819664407</v>
      </c>
      <c r="P35" s="9"/>
      <c r="Q35" s="9"/>
      <c r="R35" s="9"/>
      <c r="S35" s="9"/>
      <c r="T35" s="9"/>
      <c r="U35" s="15"/>
      <c r="V35" s="15"/>
      <c r="W35" s="15"/>
      <c r="X35" s="15"/>
      <c r="Y35" s="15"/>
      <c r="Z35" s="15"/>
    </row>
    <row r="36" ht="17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O36" s="17"/>
      <c r="P36" s="9"/>
      <c r="Q36" s="9"/>
      <c r="R36" s="9"/>
      <c r="S36" s="9"/>
      <c r="T36" s="9"/>
      <c r="U36" s="15"/>
      <c r="V36" s="15"/>
      <c r="W36" s="15"/>
      <c r="X36" s="15"/>
      <c r="Y36" s="15"/>
      <c r="Z36" s="15"/>
    </row>
    <row r="37" ht="17.2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O37" s="53"/>
      <c r="P37" s="9"/>
      <c r="Q37" s="9"/>
      <c r="R37" s="9"/>
      <c r="S37" s="9"/>
      <c r="T37" s="9"/>
      <c r="U37" s="3"/>
      <c r="V37" s="3"/>
      <c r="W37" s="3"/>
      <c r="X37" s="3"/>
      <c r="Y37" s="3"/>
      <c r="Z37" s="3"/>
    </row>
    <row r="38" ht="17.25" customHeight="1">
      <c r="A38" s="54" t="s">
        <v>31</v>
      </c>
      <c r="B38" s="11">
        <f t="shared" ref="B38:M38" si="26">IFERROR(B31/(B13-B32)*B13,B31)</f>
        <v>3615000</v>
      </c>
      <c r="C38" s="11">
        <f t="shared" si="26"/>
        <v>950168.4344</v>
      </c>
      <c r="D38" s="11">
        <f t="shared" si="26"/>
        <v>975083.7499</v>
      </c>
      <c r="E38" s="11">
        <f t="shared" si="26"/>
        <v>977262.8131</v>
      </c>
      <c r="F38" s="11">
        <f t="shared" si="26"/>
        <v>979765.1274</v>
      </c>
      <c r="G38" s="11">
        <f t="shared" si="26"/>
        <v>973169.1011</v>
      </c>
      <c r="H38" s="11">
        <f t="shared" si="26"/>
        <v>497239.6867</v>
      </c>
      <c r="I38" s="11">
        <f t="shared" si="26"/>
        <v>60000</v>
      </c>
      <c r="J38" s="11">
        <f t="shared" si="26"/>
        <v>60000</v>
      </c>
      <c r="K38" s="11">
        <f t="shared" si="26"/>
        <v>60000</v>
      </c>
      <c r="L38" s="11">
        <f t="shared" si="26"/>
        <v>60000</v>
      </c>
      <c r="M38" s="11">
        <f t="shared" si="26"/>
        <v>60000</v>
      </c>
      <c r="O38" s="11">
        <f>SUM(B38:M38)</f>
        <v>9267688.913</v>
      </c>
      <c r="P38" s="9"/>
      <c r="Q38" s="9"/>
      <c r="R38" s="9"/>
      <c r="S38" s="9"/>
      <c r="T38" s="9"/>
      <c r="U38" s="3"/>
      <c r="V38" s="3"/>
      <c r="W38" s="3"/>
      <c r="X38" s="3"/>
      <c r="Y38" s="3"/>
      <c r="Z38" s="3"/>
    </row>
    <row r="39" ht="17.25" customHeight="1">
      <c r="A39" s="43" t="s">
        <v>32</v>
      </c>
      <c r="B39" s="55" t="str">
        <f t="shared" ref="B39:M39" si="27">B38/B13</f>
        <v>#DIV/0!</v>
      </c>
      <c r="C39" s="55">
        <f t="shared" si="27"/>
        <v>5000.886497</v>
      </c>
      <c r="D39" s="55">
        <f t="shared" si="27"/>
        <v>5132.019736</v>
      </c>
      <c r="E39" s="55">
        <f t="shared" si="27"/>
        <v>5143.48849</v>
      </c>
      <c r="F39" s="55">
        <f t="shared" si="27"/>
        <v>5156.658565</v>
      </c>
      <c r="G39" s="55">
        <f t="shared" si="27"/>
        <v>5121.942637</v>
      </c>
      <c r="H39" s="55">
        <f t="shared" si="27"/>
        <v>2617.050983</v>
      </c>
      <c r="I39" s="55" t="str">
        <f t="shared" si="27"/>
        <v>#DIV/0!</v>
      </c>
      <c r="J39" s="55" t="str">
        <f t="shared" si="27"/>
        <v>#DIV/0!</v>
      </c>
      <c r="K39" s="55" t="str">
        <f t="shared" si="27"/>
        <v>#DIV/0!</v>
      </c>
      <c r="L39" s="55" t="str">
        <f t="shared" si="27"/>
        <v>#DIV/0!</v>
      </c>
      <c r="M39" s="55" t="str">
        <f t="shared" si="27"/>
        <v>#DIV/0!</v>
      </c>
      <c r="O39" s="55" t="s">
        <v>33</v>
      </c>
      <c r="P39" s="55">
        <f>O38/AVERAGE(B13:M13)</f>
        <v>48777.31007</v>
      </c>
      <c r="Q39" s="9"/>
      <c r="R39" s="9"/>
      <c r="S39" s="9"/>
      <c r="T39" s="9"/>
      <c r="U39" s="3"/>
      <c r="V39" s="3"/>
      <c r="W39" s="3"/>
      <c r="X39" s="3"/>
      <c r="Y39" s="3"/>
      <c r="Z39" s="3"/>
    </row>
    <row r="40" ht="17.25" customHeight="1">
      <c r="A40" s="43" t="s">
        <v>34</v>
      </c>
      <c r="B40" s="55" t="str">
        <f t="shared" ref="B40:M40" si="28">B39/30</f>
        <v>#DIV/0!</v>
      </c>
      <c r="C40" s="55">
        <f t="shared" si="28"/>
        <v>166.6962166</v>
      </c>
      <c r="D40" s="55">
        <f t="shared" si="28"/>
        <v>171.0673245</v>
      </c>
      <c r="E40" s="55">
        <f t="shared" si="28"/>
        <v>171.4496163</v>
      </c>
      <c r="F40" s="55">
        <f t="shared" si="28"/>
        <v>171.8886188</v>
      </c>
      <c r="G40" s="55">
        <f t="shared" si="28"/>
        <v>170.7314212</v>
      </c>
      <c r="H40" s="55">
        <f t="shared" si="28"/>
        <v>87.23503275</v>
      </c>
      <c r="I40" s="55" t="str">
        <f t="shared" si="28"/>
        <v>#DIV/0!</v>
      </c>
      <c r="J40" s="55" t="str">
        <f t="shared" si="28"/>
        <v>#DIV/0!</v>
      </c>
      <c r="K40" s="55" t="str">
        <f t="shared" si="28"/>
        <v>#DIV/0!</v>
      </c>
      <c r="L40" s="55" t="str">
        <f t="shared" si="28"/>
        <v>#DIV/0!</v>
      </c>
      <c r="M40" s="55" t="str">
        <f t="shared" si="28"/>
        <v>#DIV/0!</v>
      </c>
      <c r="O40" s="55" t="s">
        <v>35</v>
      </c>
      <c r="P40" s="55">
        <f>P39/(DAYS(I2,C2))</f>
        <v>265.0940764</v>
      </c>
      <c r="Q40" s="9"/>
      <c r="R40" s="9"/>
      <c r="S40" s="9"/>
      <c r="T40" s="9"/>
      <c r="U40" s="3"/>
      <c r="V40" s="3"/>
      <c r="W40" s="3"/>
      <c r="X40" s="3"/>
      <c r="Y40" s="3"/>
      <c r="Z40" s="3"/>
    </row>
    <row r="41" ht="17.25" customHeight="1">
      <c r="A41" s="43" t="s">
        <v>36</v>
      </c>
      <c r="B41" s="55" t="str">
        <f t="shared" ref="B41:M41" si="29">B40/B5</f>
        <v>#DIV/0!</v>
      </c>
      <c r="C41" s="55">
        <f t="shared" si="29"/>
        <v>6.667848663</v>
      </c>
      <c r="D41" s="55">
        <f t="shared" si="29"/>
        <v>6.842692981</v>
      </c>
      <c r="E41" s="55">
        <f t="shared" si="29"/>
        <v>6.857984654</v>
      </c>
      <c r="F41" s="55">
        <f t="shared" si="29"/>
        <v>6.875544754</v>
      </c>
      <c r="G41" s="55">
        <f t="shared" si="29"/>
        <v>6.82925685</v>
      </c>
      <c r="H41" s="55">
        <f t="shared" si="29"/>
        <v>3.48940131</v>
      </c>
      <c r="I41" s="55" t="str">
        <f t="shared" si="29"/>
        <v>#DIV/0!</v>
      </c>
      <c r="J41" s="55" t="str">
        <f t="shared" si="29"/>
        <v>#DIV/0!</v>
      </c>
      <c r="K41" s="55" t="str">
        <f t="shared" si="29"/>
        <v>#DIV/0!</v>
      </c>
      <c r="L41" s="55" t="str">
        <f t="shared" si="29"/>
        <v>#DIV/0!</v>
      </c>
      <c r="M41" s="55" t="str">
        <f t="shared" si="29"/>
        <v>#DIV/0!</v>
      </c>
      <c r="O41" s="55" t="s">
        <v>37</v>
      </c>
      <c r="P41" s="55">
        <f>P40/AVERAGE(C5:H5)</f>
        <v>10.60376306</v>
      </c>
      <c r="Q41" s="9"/>
      <c r="R41" s="9"/>
      <c r="S41" s="9"/>
      <c r="T41" s="9"/>
      <c r="U41" s="3"/>
      <c r="V41" s="3"/>
      <c r="W41" s="3"/>
      <c r="X41" s="3"/>
      <c r="Y41" s="3"/>
      <c r="Z41" s="3"/>
    </row>
    <row r="42" ht="17.2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O42" s="55"/>
      <c r="P42" s="9"/>
      <c r="Q42" s="9"/>
      <c r="R42" s="9"/>
      <c r="S42" s="9"/>
      <c r="T42" s="9"/>
      <c r="U42" s="3"/>
      <c r="V42" s="3"/>
      <c r="W42" s="3"/>
      <c r="X42" s="3"/>
      <c r="Y42" s="3"/>
      <c r="Z42" s="3"/>
    </row>
    <row r="43" ht="17.25" customHeight="1">
      <c r="A43" s="10" t="s">
        <v>38</v>
      </c>
      <c r="B43" s="56"/>
      <c r="C43" s="56"/>
      <c r="D43" s="56"/>
      <c r="E43" s="57"/>
      <c r="F43" s="56"/>
      <c r="G43" s="56"/>
      <c r="H43" s="56"/>
      <c r="I43" s="56"/>
      <c r="J43" s="56"/>
      <c r="K43" s="56"/>
      <c r="L43" s="56"/>
      <c r="M43" s="56"/>
      <c r="O43" s="58"/>
      <c r="P43" s="9"/>
      <c r="Q43" s="9"/>
      <c r="R43" s="9"/>
      <c r="S43" s="9"/>
      <c r="T43" s="9"/>
      <c r="U43" s="15"/>
      <c r="V43" s="15"/>
      <c r="W43" s="15"/>
      <c r="X43" s="15"/>
      <c r="Y43" s="15"/>
      <c r="Z43" s="15"/>
    </row>
    <row r="44" ht="17.25" customHeight="1">
      <c r="A44" s="43" t="s">
        <v>130</v>
      </c>
      <c r="B44" s="39">
        <f>'Покупка автоматов'!O45</f>
        <v>4611180</v>
      </c>
      <c r="C44" s="39">
        <f t="shared" ref="C44:M44" si="30">B45</f>
        <v>746180</v>
      </c>
      <c r="D44" s="39">
        <f t="shared" si="30"/>
        <v>1902133.6</v>
      </c>
      <c r="E44" s="39">
        <f t="shared" si="30"/>
        <v>3011047.2</v>
      </c>
      <c r="F44" s="39">
        <f t="shared" si="30"/>
        <v>4004091.2</v>
      </c>
      <c r="G44" s="39">
        <f t="shared" si="30"/>
        <v>4881265.6</v>
      </c>
      <c r="H44" s="59">
        <f t="shared" si="30"/>
        <v>6106048.8</v>
      </c>
      <c r="I44" s="39">
        <f t="shared" si="30"/>
        <v>7665832</v>
      </c>
      <c r="J44" s="39">
        <f t="shared" si="30"/>
        <v>7730832</v>
      </c>
      <c r="K44" s="39">
        <f t="shared" si="30"/>
        <v>7795832</v>
      </c>
      <c r="L44" s="39">
        <f t="shared" si="30"/>
        <v>7860832</v>
      </c>
      <c r="M44" s="39">
        <f t="shared" si="30"/>
        <v>7925832</v>
      </c>
      <c r="O44" s="45">
        <f>B44</f>
        <v>4611180</v>
      </c>
      <c r="P44" s="9"/>
      <c r="Q44" s="9"/>
      <c r="R44" s="9"/>
      <c r="S44" s="9"/>
      <c r="T44" s="9"/>
      <c r="U44" s="15"/>
      <c r="V44" s="15"/>
      <c r="W44" s="15"/>
      <c r="X44" s="15"/>
      <c r="Y44" s="15"/>
      <c r="Z44" s="15"/>
    </row>
    <row r="45" ht="17.25" customHeight="1">
      <c r="A45" s="43" t="s">
        <v>131</v>
      </c>
      <c r="B45" s="38">
        <f>B44+B34</f>
        <v>746180</v>
      </c>
      <c r="C45" s="39">
        <f t="shared" ref="C45:M45" si="31">C44+C4+C34</f>
        <v>1902133.6</v>
      </c>
      <c r="D45" s="39">
        <f t="shared" si="31"/>
        <v>3011047.2</v>
      </c>
      <c r="E45" s="39">
        <f t="shared" si="31"/>
        <v>4004091.2</v>
      </c>
      <c r="F45" s="39">
        <f t="shared" si="31"/>
        <v>4881265.6</v>
      </c>
      <c r="G45" s="39">
        <f t="shared" si="31"/>
        <v>6106048.8</v>
      </c>
      <c r="H45" s="39">
        <f t="shared" si="31"/>
        <v>7665832</v>
      </c>
      <c r="I45" s="39">
        <f t="shared" si="31"/>
        <v>7730832</v>
      </c>
      <c r="J45" s="39">
        <f t="shared" si="31"/>
        <v>7795832</v>
      </c>
      <c r="K45" s="39">
        <f t="shared" si="31"/>
        <v>7860832</v>
      </c>
      <c r="L45" s="39">
        <f t="shared" si="31"/>
        <v>7925832</v>
      </c>
      <c r="M45" s="39">
        <f t="shared" si="31"/>
        <v>7990832</v>
      </c>
      <c r="O45" s="45">
        <f>M45-O29</f>
        <v>7483884.2</v>
      </c>
      <c r="P45" s="9"/>
      <c r="Q45" s="9"/>
      <c r="R45" s="9"/>
      <c r="S45" s="9"/>
      <c r="T45" s="9"/>
      <c r="U45" s="15"/>
      <c r="V45" s="15"/>
      <c r="W45" s="15"/>
      <c r="X45" s="15"/>
      <c r="Y45" s="15"/>
      <c r="Z45" s="15"/>
    </row>
    <row r="46" ht="17.25" customHeight="1">
      <c r="A46" s="43" t="s">
        <v>41</v>
      </c>
      <c r="B46" s="60">
        <f t="shared" ref="B46:M46" si="32">(B45-B44)/B44</f>
        <v>-0.8381802489</v>
      </c>
      <c r="C46" s="60">
        <f t="shared" si="32"/>
        <v>1.549161864</v>
      </c>
      <c r="D46" s="60">
        <f t="shared" si="32"/>
        <v>0.5829840764</v>
      </c>
      <c r="E46" s="60">
        <f t="shared" si="32"/>
        <v>0.3298002104</v>
      </c>
      <c r="F46" s="60">
        <f t="shared" si="32"/>
        <v>0.2190695357</v>
      </c>
      <c r="G46" s="60">
        <f t="shared" si="32"/>
        <v>0.2509150905</v>
      </c>
      <c r="H46" s="60">
        <f t="shared" si="32"/>
        <v>0.2554488592</v>
      </c>
      <c r="I46" s="60">
        <f t="shared" si="32"/>
        <v>0.008479183995</v>
      </c>
      <c r="J46" s="60">
        <f t="shared" si="32"/>
        <v>0.008407891932</v>
      </c>
      <c r="K46" s="60">
        <f t="shared" si="32"/>
        <v>0.008337788706</v>
      </c>
      <c r="L46" s="60">
        <f t="shared" si="32"/>
        <v>0.008268844825</v>
      </c>
      <c r="M46" s="60">
        <f t="shared" si="32"/>
        <v>0.008201031765</v>
      </c>
      <c r="O46" s="61">
        <f>(O45-O44)/O44</f>
        <v>0.6229867843</v>
      </c>
      <c r="P46" s="9"/>
      <c r="Q46" s="9"/>
      <c r="R46" s="9"/>
      <c r="S46" s="9"/>
      <c r="T46" s="9"/>
      <c r="U46" s="15"/>
      <c r="V46" s="15"/>
      <c r="W46" s="15"/>
      <c r="X46" s="15"/>
      <c r="Y46" s="15"/>
      <c r="Z46" s="15"/>
    </row>
    <row r="47" ht="17.2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9"/>
      <c r="Q47" s="9"/>
      <c r="R47" s="9"/>
      <c r="S47" s="9"/>
      <c r="T47" s="9"/>
      <c r="U47" s="3"/>
      <c r="V47" s="3"/>
      <c r="W47" s="3"/>
      <c r="X47" s="3"/>
      <c r="Y47" s="3"/>
      <c r="Z47" s="3"/>
    </row>
    <row r="48" ht="17.2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9"/>
      <c r="Q48" s="9"/>
      <c r="R48" s="9"/>
      <c r="S48" s="9"/>
      <c r="T48" s="9"/>
      <c r="U48" s="3"/>
      <c r="V48" s="3"/>
      <c r="W48" s="3"/>
      <c r="X48" s="3"/>
      <c r="Y48" s="3"/>
      <c r="Z48" s="3"/>
    </row>
    <row r="49" ht="17.2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9"/>
      <c r="Q49" s="9"/>
      <c r="R49" s="9"/>
      <c r="S49" s="9"/>
      <c r="T49" s="9"/>
      <c r="U49" s="3"/>
      <c r="V49" s="3"/>
      <c r="W49" s="3"/>
      <c r="X49" s="3"/>
      <c r="Y49" s="3"/>
      <c r="Z49" s="3"/>
    </row>
    <row r="50" ht="15.7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9"/>
      <c r="Q50" s="9"/>
      <c r="R50" s="9"/>
      <c r="S50" s="9"/>
      <c r="T50" s="9"/>
      <c r="U50" s="3"/>
      <c r="V50" s="3"/>
      <c r="W50" s="3"/>
      <c r="X50" s="3"/>
      <c r="Y50" s="3"/>
      <c r="Z50" s="3"/>
    </row>
    <row r="51" ht="15.7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9"/>
      <c r="Q51" s="9"/>
      <c r="R51" s="9"/>
      <c r="S51" s="9"/>
      <c r="T51" s="9"/>
      <c r="U51" s="3"/>
      <c r="V51" s="3"/>
      <c r="W51" s="3"/>
      <c r="X51" s="3"/>
      <c r="Y51" s="3"/>
      <c r="Z51" s="3"/>
    </row>
    <row r="52" ht="15.7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9"/>
      <c r="Q53" s="9"/>
      <c r="R53" s="9"/>
      <c r="S53" s="9"/>
      <c r="T53" s="9"/>
      <c r="U53" s="3"/>
      <c r="V53" s="3"/>
      <c r="W53" s="3"/>
      <c r="X53" s="3"/>
      <c r="Y53" s="3"/>
      <c r="Z53" s="3"/>
    </row>
    <row r="54" ht="15.7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9"/>
      <c r="Q54" s="9"/>
      <c r="R54" s="9"/>
      <c r="S54" s="9"/>
      <c r="T54" s="9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62"/>
      <c r="M58" s="6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64"/>
      <c r="M59" s="65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66"/>
      <c r="M60" s="6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67"/>
      <c r="M61" s="67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3">
    <mergeCell ref="D1:O1"/>
    <mergeCell ref="D3:M3"/>
    <mergeCell ref="N4:N46"/>
  </mergeCells>
  <conditionalFormatting sqref="E44:G44 I44:M44">
    <cfRule type="cellIs" dxfId="0" priority="1" operator="lessThan">
      <formula>0</formula>
    </cfRule>
  </conditionalFormatting>
  <conditionalFormatting sqref="B34:M34">
    <cfRule type="cellIs" dxfId="1" priority="2" operator="lessThan">
      <formula>0</formula>
    </cfRule>
  </conditionalFormatting>
  <conditionalFormatting sqref="B34:M34">
    <cfRule type="cellIs" dxfId="2" priority="3" operator="between">
      <formula>0</formula>
      <formula>20000</formula>
    </cfRule>
  </conditionalFormatting>
  <conditionalFormatting sqref="B34:M34">
    <cfRule type="cellIs" dxfId="3" priority="4" operator="greaterThan">
      <formula>20000</formula>
    </cfRule>
  </conditionalFormatting>
  <conditionalFormatting sqref="O20:O29">
    <cfRule type="colorScale" priority="5">
      <colorScale>
        <cfvo type="min"/>
        <cfvo type="max"/>
        <color rgb="FFFFFFFF"/>
        <color rgb="FFE67C73"/>
      </colorScale>
    </cfRule>
  </conditionalFormatting>
  <conditionalFormatting sqref="O46">
    <cfRule type="colorScale" priority="6">
      <colorScale>
        <cfvo type="formula" val="0%"/>
        <cfvo type="formula" val="20%"/>
        <cfvo type="formula" val="50%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6.14"/>
    <col customWidth="1" min="2" max="4" width="15.29"/>
    <col customWidth="1" min="5" max="13" width="13.71"/>
    <col customWidth="1" min="14" max="14" width="3.71"/>
    <col customWidth="1" min="15" max="15" width="23.57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45046.0</v>
      </c>
      <c r="C2" s="5">
        <v>45047.0</v>
      </c>
      <c r="D2" s="5">
        <v>45078.0</v>
      </c>
      <c r="E2" s="5">
        <f t="shared" ref="E2:M2" si="1">EDATE(D2,1)</f>
        <v>45108</v>
      </c>
      <c r="F2" s="5">
        <f t="shared" si="1"/>
        <v>45139</v>
      </c>
      <c r="G2" s="5">
        <f t="shared" si="1"/>
        <v>45170</v>
      </c>
      <c r="H2" s="5">
        <f t="shared" si="1"/>
        <v>45200</v>
      </c>
      <c r="I2" s="5">
        <f t="shared" si="1"/>
        <v>45231</v>
      </c>
      <c r="J2" s="5">
        <f t="shared" si="1"/>
        <v>45261</v>
      </c>
      <c r="K2" s="5">
        <f t="shared" si="1"/>
        <v>45292</v>
      </c>
      <c r="L2" s="5">
        <f t="shared" si="1"/>
        <v>45323</v>
      </c>
      <c r="M2" s="5">
        <f t="shared" si="1"/>
        <v>45352</v>
      </c>
      <c r="N2" s="6"/>
      <c r="O2" s="7" t="s">
        <v>2</v>
      </c>
      <c r="P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Q3" s="9"/>
      <c r="R3" s="9"/>
      <c r="S3" s="9"/>
      <c r="T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>
        <v>5000000.0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8"/>
      <c r="O4" s="14">
        <f>SUM(D4:M4)</f>
        <v>0</v>
      </c>
      <c r="P4" s="9"/>
      <c r="Q4" s="9"/>
      <c r="R4" s="9"/>
      <c r="S4" s="9"/>
      <c r="T4" s="9"/>
      <c r="U4" s="15"/>
      <c r="V4" s="15"/>
      <c r="W4" s="15"/>
      <c r="X4" s="15"/>
      <c r="Y4" s="15"/>
      <c r="Z4" s="15"/>
    </row>
    <row r="5" ht="17.25" customHeight="1">
      <c r="A5" s="16" t="s">
        <v>4</v>
      </c>
      <c r="B5" s="16"/>
      <c r="C5" s="16">
        <v>15.0</v>
      </c>
      <c r="D5" s="16">
        <f t="shared" ref="D5:M5" si="2">C5</f>
        <v>15</v>
      </c>
      <c r="E5" s="16">
        <f t="shared" si="2"/>
        <v>15</v>
      </c>
      <c r="F5" s="16">
        <f t="shared" si="2"/>
        <v>15</v>
      </c>
      <c r="G5" s="16">
        <f t="shared" si="2"/>
        <v>15</v>
      </c>
      <c r="H5" s="16">
        <f t="shared" si="2"/>
        <v>15</v>
      </c>
      <c r="I5" s="16">
        <f t="shared" si="2"/>
        <v>15</v>
      </c>
      <c r="J5" s="16">
        <f t="shared" si="2"/>
        <v>15</v>
      </c>
      <c r="K5" s="16">
        <f t="shared" si="2"/>
        <v>15</v>
      </c>
      <c r="L5" s="16">
        <f t="shared" si="2"/>
        <v>15</v>
      </c>
      <c r="M5" s="16">
        <f t="shared" si="2"/>
        <v>15</v>
      </c>
      <c r="N5" s="8"/>
      <c r="O5" s="17"/>
      <c r="P5" s="9"/>
      <c r="Q5" s="9"/>
      <c r="R5" s="9"/>
      <c r="S5" s="9"/>
      <c r="T5" s="9"/>
      <c r="U5" s="15"/>
      <c r="V5" s="15"/>
      <c r="W5" s="15"/>
      <c r="X5" s="15"/>
      <c r="Y5" s="15"/>
      <c r="Z5" s="15"/>
    </row>
    <row r="6" ht="17.25" customHeight="1">
      <c r="A6" s="17"/>
      <c r="B6" s="17"/>
      <c r="C6" s="17"/>
      <c r="D6" s="17" t="s">
        <v>5</v>
      </c>
      <c r="E6" s="17"/>
      <c r="F6" s="17"/>
      <c r="G6" s="17"/>
      <c r="H6" s="17"/>
      <c r="I6" s="17"/>
      <c r="J6" s="17"/>
      <c r="K6" s="17"/>
      <c r="L6" s="17"/>
      <c r="M6" s="17"/>
      <c r="N6" s="8"/>
      <c r="O6" s="17"/>
      <c r="P6" s="9"/>
      <c r="Q6" s="9"/>
      <c r="R6" s="9"/>
      <c r="S6" s="9"/>
      <c r="T6" s="9"/>
      <c r="U6" s="15"/>
      <c r="V6" s="15"/>
      <c r="W6" s="15"/>
      <c r="X6" s="15"/>
      <c r="Y6" s="15"/>
      <c r="Z6" s="15"/>
    </row>
    <row r="7" ht="17.25" customHeight="1">
      <c r="A7" s="18" t="s">
        <v>6</v>
      </c>
      <c r="B7" s="19">
        <v>0.0</v>
      </c>
      <c r="C7" s="20">
        <f t="shared" ref="C7:M7" si="3">C14*C13+C17</f>
        <v>1938000</v>
      </c>
      <c r="D7" s="20">
        <f t="shared" si="3"/>
        <v>1938000</v>
      </c>
      <c r="E7" s="20">
        <f t="shared" si="3"/>
        <v>1824000</v>
      </c>
      <c r="F7" s="20">
        <f t="shared" si="3"/>
        <v>1710000</v>
      </c>
      <c r="G7" s="20">
        <f t="shared" si="3"/>
        <v>2052000</v>
      </c>
      <c r="H7" s="20">
        <f t="shared" si="3"/>
        <v>1026000</v>
      </c>
      <c r="I7" s="20">
        <f t="shared" si="3"/>
        <v>75000</v>
      </c>
      <c r="J7" s="20">
        <f t="shared" si="3"/>
        <v>75000</v>
      </c>
      <c r="K7" s="20">
        <f t="shared" si="3"/>
        <v>75000</v>
      </c>
      <c r="L7" s="20">
        <f t="shared" si="3"/>
        <v>75000</v>
      </c>
      <c r="M7" s="20">
        <f t="shared" si="3"/>
        <v>75000</v>
      </c>
      <c r="N7" s="8"/>
      <c r="O7" s="20">
        <f t="shared" ref="O7:O8" si="5">SUM(B7:M7)</f>
        <v>10863000</v>
      </c>
      <c r="P7" s="9"/>
      <c r="Q7" s="9"/>
      <c r="R7" s="9"/>
      <c r="S7" s="9"/>
      <c r="T7" s="9"/>
      <c r="U7" s="21"/>
      <c r="V7" s="21"/>
      <c r="W7" s="21"/>
      <c r="X7" s="21"/>
      <c r="Y7" s="21"/>
      <c r="Z7" s="21"/>
    </row>
    <row r="8" ht="17.25" customHeight="1">
      <c r="A8" s="22" t="s">
        <v>132</v>
      </c>
      <c r="B8" s="23"/>
      <c r="C8" s="23">
        <f t="shared" ref="C8:G8" si="4">200000*30</f>
        <v>6000000</v>
      </c>
      <c r="D8" s="23">
        <f t="shared" si="4"/>
        <v>6000000</v>
      </c>
      <c r="E8" s="23">
        <f t="shared" si="4"/>
        <v>6000000</v>
      </c>
      <c r="F8" s="23">
        <f t="shared" si="4"/>
        <v>6000000</v>
      </c>
      <c r="G8" s="23">
        <f t="shared" si="4"/>
        <v>6000000</v>
      </c>
      <c r="H8" s="23">
        <f>100000*30</f>
        <v>3000000</v>
      </c>
      <c r="I8" s="23"/>
      <c r="J8" s="23"/>
      <c r="K8" s="23"/>
      <c r="L8" s="23"/>
      <c r="M8" s="23"/>
      <c r="N8" s="8"/>
      <c r="O8" s="24">
        <f t="shared" si="5"/>
        <v>33000000</v>
      </c>
      <c r="P8" s="9"/>
      <c r="Q8" s="9"/>
      <c r="R8" s="9"/>
      <c r="S8" s="9"/>
      <c r="T8" s="9"/>
      <c r="U8" s="15"/>
      <c r="V8" s="15"/>
      <c r="W8" s="15"/>
      <c r="X8" s="15"/>
      <c r="Y8" s="15"/>
      <c r="Z8" s="15"/>
    </row>
    <row r="9" ht="17.25" customHeight="1">
      <c r="A9" s="22" t="s">
        <v>133</v>
      </c>
      <c r="B9" s="25"/>
      <c r="C9" s="26">
        <v>0.1</v>
      </c>
      <c r="D9" s="26">
        <v>0.1</v>
      </c>
      <c r="E9" s="26">
        <v>0.1</v>
      </c>
      <c r="F9" s="26">
        <v>0.1</v>
      </c>
      <c r="G9" s="26">
        <v>0.1</v>
      </c>
      <c r="H9" s="26">
        <v>0.1</v>
      </c>
      <c r="I9" s="27"/>
      <c r="J9" s="27"/>
      <c r="K9" s="27"/>
      <c r="L9" s="27"/>
      <c r="M9" s="27"/>
      <c r="N9" s="8"/>
      <c r="O9" s="17"/>
      <c r="P9" s="9"/>
      <c r="Q9" s="9"/>
      <c r="R9" s="9"/>
      <c r="S9" s="9"/>
      <c r="T9" s="9"/>
      <c r="U9" s="15"/>
      <c r="V9" s="15"/>
      <c r="W9" s="15"/>
      <c r="X9" s="15"/>
      <c r="Y9" s="15"/>
      <c r="Z9" s="15"/>
    </row>
    <row r="10" ht="17.25" customHeight="1">
      <c r="A10" s="22" t="s">
        <v>134</v>
      </c>
      <c r="B10" s="25"/>
      <c r="C10" s="31">
        <f t="shared" ref="C10:H10" si="6">C9/C5</f>
        <v>0.006666666667</v>
      </c>
      <c r="D10" s="31">
        <f t="shared" si="6"/>
        <v>0.006666666667</v>
      </c>
      <c r="E10" s="31">
        <f t="shared" si="6"/>
        <v>0.006666666667</v>
      </c>
      <c r="F10" s="31">
        <f t="shared" si="6"/>
        <v>0.006666666667</v>
      </c>
      <c r="G10" s="31">
        <f t="shared" si="6"/>
        <v>0.006666666667</v>
      </c>
      <c r="H10" s="31">
        <f t="shared" si="6"/>
        <v>0.006666666667</v>
      </c>
      <c r="I10" s="27"/>
      <c r="J10" s="27"/>
      <c r="K10" s="27"/>
      <c r="L10" s="27"/>
      <c r="M10" s="27"/>
      <c r="N10" s="8"/>
      <c r="O10" s="17"/>
      <c r="P10" s="9"/>
      <c r="Q10" s="9"/>
      <c r="R10" s="9"/>
      <c r="S10" s="9"/>
      <c r="T10" s="9"/>
      <c r="U10" s="15"/>
      <c r="V10" s="15"/>
      <c r="W10" s="15"/>
      <c r="X10" s="15"/>
      <c r="Y10" s="15"/>
      <c r="Z10" s="15"/>
    </row>
    <row r="11" ht="17.25" customHeight="1">
      <c r="A11" s="22" t="s">
        <v>135</v>
      </c>
      <c r="B11" s="30"/>
      <c r="C11" s="30">
        <f t="shared" ref="C11:H11" si="7">C8*C9</f>
        <v>600000</v>
      </c>
      <c r="D11" s="30">
        <f t="shared" si="7"/>
        <v>600000</v>
      </c>
      <c r="E11" s="30">
        <f t="shared" si="7"/>
        <v>600000</v>
      </c>
      <c r="F11" s="30">
        <f t="shared" si="7"/>
        <v>600000</v>
      </c>
      <c r="G11" s="30">
        <f t="shared" si="7"/>
        <v>600000</v>
      </c>
      <c r="H11" s="30">
        <f t="shared" si="7"/>
        <v>300000</v>
      </c>
      <c r="I11" s="30"/>
      <c r="J11" s="30"/>
      <c r="K11" s="30"/>
      <c r="L11" s="30"/>
      <c r="M11" s="30"/>
      <c r="N11" s="8"/>
      <c r="O11" s="24">
        <f>SUM(B11:M11)</f>
        <v>3300000</v>
      </c>
      <c r="P11" s="9"/>
      <c r="Q11" s="9"/>
      <c r="R11" s="9"/>
      <c r="S11" s="9"/>
      <c r="T11" s="9"/>
      <c r="U11" s="15"/>
      <c r="V11" s="15"/>
      <c r="W11" s="15"/>
      <c r="X11" s="15"/>
      <c r="Y11" s="15"/>
      <c r="Z11" s="15"/>
    </row>
    <row r="12" ht="17.25" customHeight="1">
      <c r="A12" s="22" t="s">
        <v>11</v>
      </c>
      <c r="B12" s="28"/>
      <c r="C12" s="31">
        <v>0.017</v>
      </c>
      <c r="D12" s="31">
        <v>0.017</v>
      </c>
      <c r="E12" s="31">
        <v>0.016</v>
      </c>
      <c r="F12" s="31">
        <v>0.015</v>
      </c>
      <c r="G12" s="31">
        <v>0.018</v>
      </c>
      <c r="H12" s="31">
        <v>0.018</v>
      </c>
      <c r="I12" s="28"/>
      <c r="J12" s="28"/>
      <c r="K12" s="28"/>
      <c r="L12" s="28"/>
      <c r="M12" s="28"/>
      <c r="N12" s="8"/>
      <c r="O12" s="17"/>
      <c r="P12" s="9"/>
      <c r="Q12" s="9"/>
      <c r="R12" s="9"/>
      <c r="S12" s="9"/>
      <c r="T12" s="9"/>
      <c r="U12" s="15"/>
      <c r="V12" s="15"/>
      <c r="W12" s="15"/>
      <c r="X12" s="15"/>
      <c r="Y12" s="15"/>
      <c r="Z12" s="15"/>
    </row>
    <row r="13" ht="17.25" customHeight="1">
      <c r="A13" s="22" t="s">
        <v>136</v>
      </c>
      <c r="B13" s="23"/>
      <c r="C13" s="32">
        <v>190.0</v>
      </c>
      <c r="D13" s="32">
        <v>190.0</v>
      </c>
      <c r="E13" s="32">
        <v>190.0</v>
      </c>
      <c r="F13" s="32">
        <v>190.0</v>
      </c>
      <c r="G13" s="32">
        <v>190.0</v>
      </c>
      <c r="H13" s="32">
        <v>190.0</v>
      </c>
      <c r="I13" s="23"/>
      <c r="J13" s="23"/>
      <c r="K13" s="23"/>
      <c r="L13" s="23"/>
      <c r="M13" s="23"/>
      <c r="N13" s="8"/>
      <c r="O13" s="17"/>
      <c r="P13" s="9"/>
      <c r="Q13" s="9"/>
      <c r="R13" s="9"/>
      <c r="S13" s="9"/>
      <c r="T13" s="9"/>
      <c r="U13" s="15"/>
      <c r="V13" s="15"/>
      <c r="W13" s="15"/>
      <c r="X13" s="15"/>
      <c r="Y13" s="15"/>
      <c r="Z13" s="15"/>
    </row>
    <row r="14" ht="17.25" customHeight="1">
      <c r="A14" s="22" t="s">
        <v>137</v>
      </c>
      <c r="B14" s="23"/>
      <c r="C14" s="30">
        <f t="shared" ref="C14:H14" si="8">C11*C12</f>
        <v>10200</v>
      </c>
      <c r="D14" s="30">
        <f t="shared" si="8"/>
        <v>10200</v>
      </c>
      <c r="E14" s="30">
        <f t="shared" si="8"/>
        <v>9600</v>
      </c>
      <c r="F14" s="30">
        <f t="shared" si="8"/>
        <v>9000</v>
      </c>
      <c r="G14" s="30">
        <f t="shared" si="8"/>
        <v>10800</v>
      </c>
      <c r="H14" s="30">
        <f t="shared" si="8"/>
        <v>5400</v>
      </c>
      <c r="I14" s="30"/>
      <c r="J14" s="30"/>
      <c r="K14" s="30"/>
      <c r="L14" s="30"/>
      <c r="M14" s="30"/>
      <c r="N14" s="8"/>
      <c r="O14" s="24">
        <f>SUM(B14:M14)</f>
        <v>55200</v>
      </c>
      <c r="P14" s="9"/>
      <c r="Q14" s="9"/>
      <c r="R14" s="9"/>
      <c r="S14" s="9"/>
      <c r="T14" s="9"/>
      <c r="U14" s="15"/>
      <c r="V14" s="15"/>
      <c r="W14" s="15"/>
      <c r="X14" s="15"/>
      <c r="Y14" s="15"/>
      <c r="Z14" s="15"/>
    </row>
    <row r="15" ht="17.25" customHeight="1">
      <c r="A15" s="22" t="s">
        <v>14</v>
      </c>
      <c r="B15" s="23"/>
      <c r="C15" s="33">
        <f t="shared" ref="C15:H15" si="9">C14/30</f>
        <v>340</v>
      </c>
      <c r="D15" s="33">
        <f t="shared" si="9"/>
        <v>340</v>
      </c>
      <c r="E15" s="33">
        <f t="shared" si="9"/>
        <v>320</v>
      </c>
      <c r="F15" s="33">
        <f t="shared" si="9"/>
        <v>300</v>
      </c>
      <c r="G15" s="33">
        <f t="shared" si="9"/>
        <v>360</v>
      </c>
      <c r="H15" s="33">
        <f t="shared" si="9"/>
        <v>180</v>
      </c>
      <c r="I15" s="23"/>
      <c r="J15" s="23"/>
      <c r="K15" s="23"/>
      <c r="L15" s="23"/>
      <c r="M15" s="23"/>
      <c r="N15" s="8"/>
      <c r="O15" s="17"/>
      <c r="P15" s="9"/>
      <c r="Q15" s="9"/>
      <c r="R15" s="9"/>
      <c r="S15" s="9"/>
      <c r="T15" s="9"/>
      <c r="U15" s="15"/>
      <c r="V15" s="15"/>
      <c r="W15" s="15"/>
      <c r="X15" s="15"/>
      <c r="Y15" s="15"/>
      <c r="Z15" s="15"/>
    </row>
    <row r="16" ht="17.25" customHeight="1">
      <c r="A16" s="22" t="s">
        <v>15</v>
      </c>
      <c r="B16" s="23"/>
      <c r="C16" s="34">
        <f t="shared" ref="C16:H16" si="10">C15/C5</f>
        <v>22.66666667</v>
      </c>
      <c r="D16" s="34">
        <f t="shared" si="10"/>
        <v>22.66666667</v>
      </c>
      <c r="E16" s="34">
        <f t="shared" si="10"/>
        <v>21.33333333</v>
      </c>
      <c r="F16" s="34">
        <f t="shared" si="10"/>
        <v>20</v>
      </c>
      <c r="G16" s="34">
        <f t="shared" si="10"/>
        <v>24</v>
      </c>
      <c r="H16" s="34">
        <f t="shared" si="10"/>
        <v>12</v>
      </c>
      <c r="I16" s="34"/>
      <c r="J16" s="34"/>
      <c r="K16" s="34"/>
      <c r="L16" s="34"/>
      <c r="M16" s="34"/>
      <c r="N16" s="8"/>
      <c r="O16" s="17"/>
      <c r="P16" s="9"/>
      <c r="Q16" s="9"/>
      <c r="R16" s="9"/>
      <c r="S16" s="9"/>
      <c r="T16" s="9"/>
      <c r="U16" s="15"/>
      <c r="V16" s="15"/>
      <c r="W16" s="15"/>
      <c r="X16" s="15"/>
      <c r="Y16" s="15"/>
      <c r="Z16" s="15"/>
    </row>
    <row r="17" ht="17.25" customHeight="1">
      <c r="A17" s="73" t="s">
        <v>138</v>
      </c>
      <c r="B17" s="23"/>
      <c r="C17" s="34"/>
      <c r="D17" s="34"/>
      <c r="E17" s="34"/>
      <c r="F17" s="34"/>
      <c r="G17" s="34"/>
      <c r="H17" s="34"/>
      <c r="I17" s="74">
        <f t="shared" ref="I17:M17" si="11">I5*5000</f>
        <v>75000</v>
      </c>
      <c r="J17" s="74">
        <f t="shared" si="11"/>
        <v>75000</v>
      </c>
      <c r="K17" s="74">
        <f t="shared" si="11"/>
        <v>75000</v>
      </c>
      <c r="L17" s="74">
        <f t="shared" si="11"/>
        <v>75000</v>
      </c>
      <c r="M17" s="74">
        <f t="shared" si="11"/>
        <v>75000</v>
      </c>
      <c r="N17" s="8"/>
      <c r="O17" s="17"/>
      <c r="P17" s="9"/>
      <c r="Q17" s="9"/>
      <c r="R17" s="9"/>
      <c r="S17" s="9"/>
      <c r="T17" s="9"/>
      <c r="U17" s="15"/>
      <c r="V17" s="15"/>
      <c r="W17" s="15"/>
      <c r="X17" s="15"/>
      <c r="Y17" s="15"/>
      <c r="Z17" s="15"/>
    </row>
    <row r="18" ht="17.25" customHeight="1">
      <c r="A18" s="3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8"/>
      <c r="O18" s="24"/>
      <c r="P18" s="9"/>
      <c r="Q18" s="9"/>
      <c r="R18" s="9"/>
      <c r="S18" s="9"/>
      <c r="T18" s="9"/>
      <c r="U18" s="15"/>
      <c r="V18" s="15"/>
      <c r="W18" s="15"/>
      <c r="X18" s="15"/>
      <c r="Y18" s="15"/>
      <c r="Z18" s="15"/>
    </row>
    <row r="19" ht="17.25" customHeight="1">
      <c r="A19" s="36" t="s">
        <v>16</v>
      </c>
      <c r="B19" s="37">
        <f t="shared" ref="B19:M19" si="12">SUM(B20:B28)</f>
        <v>5195000</v>
      </c>
      <c r="C19" s="37">
        <f t="shared" si="12"/>
        <v>1367065.2</v>
      </c>
      <c r="D19" s="37">
        <f t="shared" si="12"/>
        <v>1367065.2</v>
      </c>
      <c r="E19" s="37">
        <f t="shared" si="12"/>
        <v>1314149.6</v>
      </c>
      <c r="F19" s="37">
        <f t="shared" si="12"/>
        <v>1261234</v>
      </c>
      <c r="G19" s="37">
        <f t="shared" si="12"/>
        <v>1419980.8</v>
      </c>
      <c r="H19" s="37">
        <f t="shared" si="12"/>
        <v>769490.4</v>
      </c>
      <c r="I19" s="37">
        <f t="shared" si="12"/>
        <v>62250</v>
      </c>
      <c r="J19" s="37">
        <f t="shared" si="12"/>
        <v>62250</v>
      </c>
      <c r="K19" s="37">
        <f t="shared" si="12"/>
        <v>62250</v>
      </c>
      <c r="L19" s="37">
        <f t="shared" si="12"/>
        <v>62250</v>
      </c>
      <c r="M19" s="37">
        <f t="shared" si="12"/>
        <v>62250</v>
      </c>
      <c r="N19" s="8"/>
      <c r="O19" s="37">
        <f t="shared" ref="O19:O28" si="14">SUM(B19:M19)</f>
        <v>13005235.2</v>
      </c>
      <c r="P19" s="9"/>
      <c r="Q19" s="9"/>
      <c r="R19" s="9"/>
      <c r="S19" s="9"/>
      <c r="T19" s="9"/>
      <c r="U19" s="21"/>
      <c r="V19" s="21"/>
      <c r="W19" s="21"/>
      <c r="X19" s="21"/>
      <c r="Y19" s="21"/>
      <c r="Z19" s="21"/>
    </row>
    <row r="20" ht="17.25" customHeight="1">
      <c r="A20" s="22" t="s">
        <v>139</v>
      </c>
      <c r="B20" s="38">
        <f>C5*40*250</f>
        <v>150000</v>
      </c>
      <c r="C20" s="39">
        <f t="shared" ref="C20:M20" si="13">C14/10*240</f>
        <v>244800</v>
      </c>
      <c r="D20" s="39">
        <f t="shared" si="13"/>
        <v>244800</v>
      </c>
      <c r="E20" s="39">
        <f t="shared" si="13"/>
        <v>230400</v>
      </c>
      <c r="F20" s="39">
        <f t="shared" si="13"/>
        <v>216000</v>
      </c>
      <c r="G20" s="39">
        <f t="shared" si="13"/>
        <v>259200</v>
      </c>
      <c r="H20" s="39">
        <f t="shared" si="13"/>
        <v>129600</v>
      </c>
      <c r="I20" s="39">
        <f t="shared" si="13"/>
        <v>0</v>
      </c>
      <c r="J20" s="39">
        <f t="shared" si="13"/>
        <v>0</v>
      </c>
      <c r="K20" s="39">
        <f t="shared" si="13"/>
        <v>0</v>
      </c>
      <c r="L20" s="39">
        <f t="shared" si="13"/>
        <v>0</v>
      </c>
      <c r="M20" s="39">
        <f t="shared" si="13"/>
        <v>0</v>
      </c>
      <c r="N20" s="8"/>
      <c r="O20" s="38">
        <f t="shared" si="14"/>
        <v>1474800</v>
      </c>
      <c r="P20" s="9"/>
      <c r="Q20" s="9"/>
      <c r="R20" s="9"/>
      <c r="S20" s="9"/>
      <c r="T20" s="9"/>
      <c r="U20" s="15"/>
      <c r="V20" s="15"/>
      <c r="W20" s="15"/>
      <c r="X20" s="15"/>
      <c r="Y20" s="15"/>
      <c r="Z20" s="15"/>
    </row>
    <row r="21" ht="17.25" customHeight="1">
      <c r="A21" s="22" t="s">
        <v>79</v>
      </c>
      <c r="B21" s="38">
        <f>C5*300000</f>
        <v>4500000</v>
      </c>
      <c r="C21" s="38">
        <v>0.0</v>
      </c>
      <c r="D21" s="38">
        <v>0.0</v>
      </c>
      <c r="E21" s="38">
        <v>0.0</v>
      </c>
      <c r="F21" s="38">
        <v>0.0</v>
      </c>
      <c r="G21" s="38">
        <v>0.0</v>
      </c>
      <c r="H21" s="38">
        <v>0.0</v>
      </c>
      <c r="I21" s="38">
        <v>0.0</v>
      </c>
      <c r="J21" s="38">
        <v>0.0</v>
      </c>
      <c r="K21" s="38">
        <v>0.0</v>
      </c>
      <c r="L21" s="38">
        <v>0.0</v>
      </c>
      <c r="M21" s="38">
        <v>0.0</v>
      </c>
      <c r="N21" s="8"/>
      <c r="O21" s="38">
        <f t="shared" si="14"/>
        <v>4500000</v>
      </c>
      <c r="P21" s="9"/>
      <c r="Q21" s="9"/>
      <c r="R21" s="9"/>
      <c r="S21" s="9"/>
      <c r="T21" s="9"/>
      <c r="U21" s="15"/>
      <c r="V21" s="15"/>
      <c r="W21" s="15"/>
      <c r="X21" s="15"/>
      <c r="Y21" s="15"/>
      <c r="Z21" s="15"/>
    </row>
    <row r="22" ht="17.25" customHeight="1">
      <c r="A22" s="22" t="s">
        <v>140</v>
      </c>
      <c r="B22" s="41">
        <v>200000.0</v>
      </c>
      <c r="C22" s="41">
        <f t="shared" ref="C22:H22" si="15">120000*2 + 45000</f>
        <v>285000</v>
      </c>
      <c r="D22" s="41">
        <f t="shared" si="15"/>
        <v>285000</v>
      </c>
      <c r="E22" s="41">
        <f t="shared" si="15"/>
        <v>285000</v>
      </c>
      <c r="F22" s="41">
        <f t="shared" si="15"/>
        <v>285000</v>
      </c>
      <c r="G22" s="41">
        <f t="shared" si="15"/>
        <v>285000</v>
      </c>
      <c r="H22" s="41">
        <f t="shared" si="15"/>
        <v>285000</v>
      </c>
      <c r="I22" s="41">
        <f t="shared" ref="I22:M22" si="16">3*20000</f>
        <v>60000</v>
      </c>
      <c r="J22" s="41">
        <f t="shared" si="16"/>
        <v>60000</v>
      </c>
      <c r="K22" s="41">
        <f t="shared" si="16"/>
        <v>60000</v>
      </c>
      <c r="L22" s="41">
        <f t="shared" si="16"/>
        <v>60000</v>
      </c>
      <c r="M22" s="41">
        <f t="shared" si="16"/>
        <v>60000</v>
      </c>
      <c r="N22" s="8"/>
      <c r="O22" s="38">
        <f t="shared" si="14"/>
        <v>2210000</v>
      </c>
      <c r="P22" s="9"/>
      <c r="Q22" s="9"/>
      <c r="R22" s="9"/>
      <c r="S22" s="9"/>
      <c r="T22" s="9"/>
      <c r="U22" s="15"/>
      <c r="V22" s="15"/>
      <c r="W22" s="15"/>
      <c r="X22" s="15"/>
      <c r="Y22" s="15"/>
      <c r="Z22" s="15"/>
    </row>
    <row r="23" ht="17.25" customHeight="1">
      <c r="A23" s="42" t="s">
        <v>20</v>
      </c>
      <c r="B23" s="41">
        <f t="shared" ref="B23:G23" si="17">C5*15000</f>
        <v>225000</v>
      </c>
      <c r="C23" s="41">
        <f t="shared" si="17"/>
        <v>225000</v>
      </c>
      <c r="D23" s="41">
        <f t="shared" si="17"/>
        <v>225000</v>
      </c>
      <c r="E23" s="41">
        <f t="shared" si="17"/>
        <v>225000</v>
      </c>
      <c r="F23" s="41">
        <f t="shared" si="17"/>
        <v>225000</v>
      </c>
      <c r="G23" s="41">
        <f t="shared" si="17"/>
        <v>225000</v>
      </c>
      <c r="H23" s="41">
        <v>0.0</v>
      </c>
      <c r="I23" s="41">
        <v>0.0</v>
      </c>
      <c r="J23" s="41">
        <v>0.0</v>
      </c>
      <c r="K23" s="41">
        <v>0.0</v>
      </c>
      <c r="L23" s="41">
        <v>0.0</v>
      </c>
      <c r="M23" s="41">
        <v>0.0</v>
      </c>
      <c r="N23" s="8"/>
      <c r="O23" s="38">
        <f t="shared" si="14"/>
        <v>1350000</v>
      </c>
      <c r="P23" s="9"/>
      <c r="Q23" s="9"/>
      <c r="R23" s="9"/>
      <c r="S23" s="9"/>
      <c r="T23" s="9"/>
      <c r="U23" s="15"/>
      <c r="V23" s="15"/>
      <c r="W23" s="15"/>
      <c r="X23" s="15"/>
      <c r="Y23" s="15"/>
      <c r="Z23" s="15"/>
    </row>
    <row r="24" ht="17.25" customHeight="1">
      <c r="A24" s="43" t="s">
        <v>141</v>
      </c>
      <c r="B24" s="41">
        <v>100000.0</v>
      </c>
      <c r="C24" s="41">
        <v>40000.0</v>
      </c>
      <c r="D24" s="41">
        <v>40000.0</v>
      </c>
      <c r="E24" s="41">
        <v>40000.0</v>
      </c>
      <c r="F24" s="41">
        <v>40000.0</v>
      </c>
      <c r="G24" s="41">
        <v>40000.0</v>
      </c>
      <c r="H24" s="41">
        <v>40000.0</v>
      </c>
      <c r="I24" s="41">
        <v>0.0</v>
      </c>
      <c r="J24" s="41">
        <v>0.0</v>
      </c>
      <c r="K24" s="41">
        <v>0.0</v>
      </c>
      <c r="L24" s="41">
        <v>0.0</v>
      </c>
      <c r="M24" s="41">
        <v>0.0</v>
      </c>
      <c r="N24" s="8"/>
      <c r="O24" s="38">
        <f t="shared" si="14"/>
        <v>340000</v>
      </c>
      <c r="P24" s="9"/>
      <c r="Q24" s="9"/>
      <c r="R24" s="9"/>
      <c r="S24" s="9"/>
      <c r="T24" s="9"/>
      <c r="U24" s="15"/>
      <c r="V24" s="15"/>
      <c r="W24" s="15"/>
      <c r="X24" s="15"/>
      <c r="Y24" s="15"/>
      <c r="Z24" s="15"/>
    </row>
    <row r="25" ht="17.25" customHeight="1">
      <c r="A25" s="43" t="s">
        <v>22</v>
      </c>
      <c r="B25" s="41">
        <v>0.0</v>
      </c>
      <c r="C25" s="41">
        <f t="shared" ref="C25:M25" si="18">C14/12*500</f>
        <v>425000</v>
      </c>
      <c r="D25" s="41">
        <f t="shared" si="18"/>
        <v>425000</v>
      </c>
      <c r="E25" s="41">
        <f t="shared" si="18"/>
        <v>400000</v>
      </c>
      <c r="F25" s="41">
        <f t="shared" si="18"/>
        <v>375000</v>
      </c>
      <c r="G25" s="41">
        <f t="shared" si="18"/>
        <v>450000</v>
      </c>
      <c r="H25" s="41">
        <f t="shared" si="18"/>
        <v>225000</v>
      </c>
      <c r="I25" s="41">
        <f t="shared" si="18"/>
        <v>0</v>
      </c>
      <c r="J25" s="41">
        <f t="shared" si="18"/>
        <v>0</v>
      </c>
      <c r="K25" s="41">
        <f t="shared" si="18"/>
        <v>0</v>
      </c>
      <c r="L25" s="41">
        <f t="shared" si="18"/>
        <v>0</v>
      </c>
      <c r="M25" s="41">
        <f t="shared" si="18"/>
        <v>0</v>
      </c>
      <c r="N25" s="8"/>
      <c r="O25" s="38">
        <f t="shared" si="14"/>
        <v>2300000</v>
      </c>
      <c r="P25" s="9"/>
      <c r="Q25" s="9"/>
      <c r="R25" s="9"/>
      <c r="S25" s="9"/>
      <c r="T25" s="9"/>
      <c r="U25" s="15"/>
      <c r="V25" s="15"/>
      <c r="W25" s="15"/>
      <c r="X25" s="15"/>
      <c r="Y25" s="15"/>
      <c r="Z25" s="15"/>
    </row>
    <row r="26" ht="17.25" customHeight="1">
      <c r="A26" s="44" t="s">
        <v>142</v>
      </c>
      <c r="B26" s="41">
        <v>0.0</v>
      </c>
      <c r="C26" s="45">
        <f t="shared" ref="C26:M26" si="19">C14*C13*2.4%</f>
        <v>46512</v>
      </c>
      <c r="D26" s="45">
        <f t="shared" si="19"/>
        <v>46512</v>
      </c>
      <c r="E26" s="45">
        <f t="shared" si="19"/>
        <v>43776</v>
      </c>
      <c r="F26" s="45">
        <f t="shared" si="19"/>
        <v>41040</v>
      </c>
      <c r="G26" s="45">
        <f t="shared" si="19"/>
        <v>49248</v>
      </c>
      <c r="H26" s="45">
        <f t="shared" si="19"/>
        <v>24624</v>
      </c>
      <c r="I26" s="45">
        <f t="shared" si="19"/>
        <v>0</v>
      </c>
      <c r="J26" s="45">
        <f t="shared" si="19"/>
        <v>0</v>
      </c>
      <c r="K26" s="45">
        <f t="shared" si="19"/>
        <v>0</v>
      </c>
      <c r="L26" s="45">
        <f t="shared" si="19"/>
        <v>0</v>
      </c>
      <c r="M26" s="45">
        <f t="shared" si="19"/>
        <v>0</v>
      </c>
      <c r="N26" s="8"/>
      <c r="O26" s="38">
        <f t="shared" si="14"/>
        <v>251712</v>
      </c>
      <c r="P26" s="9"/>
      <c r="Q26" s="9"/>
      <c r="R26" s="9"/>
      <c r="S26" s="9"/>
      <c r="T26" s="9"/>
      <c r="U26" s="15"/>
      <c r="V26" s="15"/>
      <c r="W26" s="15"/>
      <c r="X26" s="15"/>
      <c r="Y26" s="15"/>
      <c r="Z26" s="15"/>
    </row>
    <row r="27" ht="17.25" customHeight="1">
      <c r="A27" s="44" t="s">
        <v>143</v>
      </c>
      <c r="B27" s="41">
        <v>20000.0</v>
      </c>
      <c r="C27" s="41"/>
      <c r="D27" s="45"/>
      <c r="E27" s="45"/>
      <c r="F27" s="45"/>
      <c r="G27" s="45"/>
      <c r="H27" s="41">
        <v>20000.0</v>
      </c>
      <c r="I27" s="45"/>
      <c r="J27" s="45"/>
      <c r="K27" s="45"/>
      <c r="L27" s="45"/>
      <c r="M27" s="41"/>
      <c r="N27" s="8"/>
      <c r="O27" s="38">
        <f t="shared" si="14"/>
        <v>40000</v>
      </c>
      <c r="P27" s="9"/>
      <c r="Q27" s="9"/>
      <c r="R27" s="9"/>
      <c r="S27" s="9"/>
      <c r="T27" s="9"/>
      <c r="U27" s="15"/>
      <c r="V27" s="15"/>
      <c r="W27" s="15"/>
      <c r="X27" s="15"/>
      <c r="Y27" s="15"/>
      <c r="Z27" s="15"/>
    </row>
    <row r="28" ht="17.25" customHeight="1">
      <c r="A28" s="43" t="s">
        <v>144</v>
      </c>
      <c r="B28" s="45">
        <f t="shared" ref="B28:M28" si="20">IF((B7-SUM(B20:B27))*15% &lt; 0,0,(B7-SUM(B20:B27))*15%)</f>
        <v>0</v>
      </c>
      <c r="C28" s="45">
        <f t="shared" si="20"/>
        <v>100753.2</v>
      </c>
      <c r="D28" s="45">
        <f t="shared" si="20"/>
        <v>100753.2</v>
      </c>
      <c r="E28" s="45">
        <f t="shared" si="20"/>
        <v>89973.6</v>
      </c>
      <c r="F28" s="45">
        <f t="shared" si="20"/>
        <v>79194</v>
      </c>
      <c r="G28" s="45">
        <f t="shared" si="20"/>
        <v>111532.8</v>
      </c>
      <c r="H28" s="45">
        <f t="shared" si="20"/>
        <v>45266.4</v>
      </c>
      <c r="I28" s="45">
        <f t="shared" si="20"/>
        <v>2250</v>
      </c>
      <c r="J28" s="45">
        <f t="shared" si="20"/>
        <v>2250</v>
      </c>
      <c r="K28" s="45">
        <f t="shared" si="20"/>
        <v>2250</v>
      </c>
      <c r="L28" s="45">
        <f t="shared" si="20"/>
        <v>2250</v>
      </c>
      <c r="M28" s="45">
        <f t="shared" si="20"/>
        <v>2250</v>
      </c>
      <c r="N28" s="8"/>
      <c r="O28" s="38">
        <f t="shared" si="14"/>
        <v>538723.2</v>
      </c>
      <c r="P28" s="9"/>
      <c r="Q28" s="9"/>
      <c r="R28" s="9"/>
      <c r="S28" s="9"/>
      <c r="T28" s="9"/>
      <c r="U28" s="15"/>
      <c r="V28" s="15"/>
      <c r="W28" s="15"/>
      <c r="X28" s="15"/>
      <c r="Y28" s="15"/>
      <c r="Z28" s="15"/>
    </row>
    <row r="29" ht="17.25" customHeight="1">
      <c r="A29" s="43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8"/>
      <c r="O29" s="38"/>
      <c r="P29" s="9"/>
      <c r="Q29" s="9"/>
      <c r="R29" s="9"/>
      <c r="S29" s="9"/>
      <c r="T29" s="9"/>
      <c r="U29" s="15"/>
      <c r="V29" s="15"/>
      <c r="W29" s="15"/>
      <c r="X29" s="15"/>
      <c r="Y29" s="15"/>
      <c r="Z29" s="15"/>
    </row>
    <row r="30" ht="17.25" customHeight="1">
      <c r="A30" s="36" t="s">
        <v>27</v>
      </c>
      <c r="B30" s="37">
        <f t="shared" ref="B30:M30" si="21">B21+B22+B23+B24+B27</f>
        <v>5045000</v>
      </c>
      <c r="C30" s="37">
        <f t="shared" si="21"/>
        <v>550000</v>
      </c>
      <c r="D30" s="37">
        <f t="shared" si="21"/>
        <v>550000</v>
      </c>
      <c r="E30" s="37">
        <f t="shared" si="21"/>
        <v>550000</v>
      </c>
      <c r="F30" s="37">
        <f t="shared" si="21"/>
        <v>550000</v>
      </c>
      <c r="G30" s="37">
        <f t="shared" si="21"/>
        <v>550000</v>
      </c>
      <c r="H30" s="37">
        <f t="shared" si="21"/>
        <v>345000</v>
      </c>
      <c r="I30" s="37">
        <f t="shared" si="21"/>
        <v>60000</v>
      </c>
      <c r="J30" s="37">
        <f t="shared" si="21"/>
        <v>60000</v>
      </c>
      <c r="K30" s="37">
        <f t="shared" si="21"/>
        <v>60000</v>
      </c>
      <c r="L30" s="37">
        <f t="shared" si="21"/>
        <v>60000</v>
      </c>
      <c r="M30" s="37">
        <f t="shared" si="21"/>
        <v>60000</v>
      </c>
      <c r="N30" s="8"/>
      <c r="O30" s="37">
        <f>SUM(B30:M30)</f>
        <v>8440000</v>
      </c>
      <c r="P30" s="9"/>
      <c r="Q30" s="9"/>
      <c r="R30" s="9"/>
      <c r="S30" s="9"/>
      <c r="T30" s="9"/>
      <c r="U30" s="15"/>
      <c r="V30" s="15"/>
      <c r="W30" s="15"/>
      <c r="X30" s="15"/>
      <c r="Y30" s="15"/>
      <c r="Z30" s="15"/>
    </row>
    <row r="31" ht="17.25" customHeight="1">
      <c r="A31" s="36" t="s">
        <v>28</v>
      </c>
      <c r="B31" s="37">
        <f t="shared" ref="B31:M31" si="22">IFERROR((B20+B25+B26)/B14,0)</f>
        <v>0</v>
      </c>
      <c r="C31" s="37">
        <f t="shared" si="22"/>
        <v>70.22666667</v>
      </c>
      <c r="D31" s="37">
        <f t="shared" si="22"/>
        <v>70.22666667</v>
      </c>
      <c r="E31" s="37">
        <f t="shared" si="22"/>
        <v>70.22666667</v>
      </c>
      <c r="F31" s="37">
        <f t="shared" si="22"/>
        <v>70.22666667</v>
      </c>
      <c r="G31" s="37">
        <f t="shared" si="22"/>
        <v>70.22666667</v>
      </c>
      <c r="H31" s="37">
        <f t="shared" si="22"/>
        <v>70.22666667</v>
      </c>
      <c r="I31" s="37">
        <f t="shared" si="22"/>
        <v>0</v>
      </c>
      <c r="J31" s="37">
        <f t="shared" si="22"/>
        <v>0</v>
      </c>
      <c r="K31" s="37">
        <f t="shared" si="22"/>
        <v>0</v>
      </c>
      <c r="L31" s="37">
        <f t="shared" si="22"/>
        <v>0</v>
      </c>
      <c r="M31" s="37">
        <f t="shared" si="22"/>
        <v>0</v>
      </c>
      <c r="N31" s="8"/>
      <c r="O31" s="37">
        <f>O19-O30</f>
        <v>4565235.2</v>
      </c>
      <c r="P31" s="9"/>
      <c r="Q31" s="9"/>
      <c r="R31" s="9"/>
      <c r="S31" s="9"/>
      <c r="T31" s="9"/>
      <c r="U31" s="15"/>
      <c r="V31" s="15"/>
      <c r="W31" s="15"/>
      <c r="X31" s="15"/>
      <c r="Y31" s="15"/>
      <c r="Z31" s="15"/>
    </row>
    <row r="32" ht="17.25" customHeight="1">
      <c r="A32" s="47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8"/>
      <c r="O32" s="24"/>
      <c r="P32" s="9"/>
      <c r="Q32" s="9"/>
      <c r="R32" s="9"/>
      <c r="S32" s="9"/>
      <c r="T32" s="9"/>
      <c r="U32" s="15"/>
      <c r="V32" s="15"/>
      <c r="W32" s="15"/>
      <c r="X32" s="15"/>
      <c r="Y32" s="15"/>
      <c r="Z32" s="15"/>
    </row>
    <row r="33" ht="17.25" customHeight="1">
      <c r="A33" s="48" t="s">
        <v>29</v>
      </c>
      <c r="B33" s="49">
        <f t="shared" ref="B33:M33" si="23">B7-B19</f>
        <v>-5195000</v>
      </c>
      <c r="C33" s="49">
        <f t="shared" si="23"/>
        <v>570934.8</v>
      </c>
      <c r="D33" s="49">
        <f t="shared" si="23"/>
        <v>570934.8</v>
      </c>
      <c r="E33" s="49">
        <f t="shared" si="23"/>
        <v>509850.4</v>
      </c>
      <c r="F33" s="49">
        <f t="shared" si="23"/>
        <v>448766</v>
      </c>
      <c r="G33" s="49">
        <f t="shared" si="23"/>
        <v>632019.2</v>
      </c>
      <c r="H33" s="49">
        <f t="shared" si="23"/>
        <v>256509.6</v>
      </c>
      <c r="I33" s="49">
        <f t="shared" si="23"/>
        <v>12750</v>
      </c>
      <c r="J33" s="49">
        <f t="shared" si="23"/>
        <v>12750</v>
      </c>
      <c r="K33" s="49">
        <f t="shared" si="23"/>
        <v>12750</v>
      </c>
      <c r="L33" s="50">
        <f t="shared" si="23"/>
        <v>12750</v>
      </c>
      <c r="M33" s="50">
        <f t="shared" si="23"/>
        <v>12750</v>
      </c>
      <c r="N33" s="8"/>
      <c r="O33" s="50">
        <f>SUM(C33:M33)</f>
        <v>3052764.8</v>
      </c>
      <c r="P33" s="9"/>
      <c r="Q33" s="9"/>
      <c r="R33" s="9"/>
      <c r="S33" s="9"/>
      <c r="T33" s="9"/>
      <c r="U33" s="51"/>
      <c r="V33" s="51"/>
      <c r="W33" s="51"/>
      <c r="X33" s="51"/>
      <c r="Y33" s="51"/>
      <c r="Z33" s="51"/>
    </row>
    <row r="34" ht="17.25" customHeight="1">
      <c r="A34" s="43" t="s">
        <v>145</v>
      </c>
      <c r="B34" s="52"/>
      <c r="C34" s="52">
        <f t="shared" ref="C34:M34" si="24">C33/C7*100%</f>
        <v>0.2946</v>
      </c>
      <c r="D34" s="52">
        <f t="shared" si="24"/>
        <v>0.2946</v>
      </c>
      <c r="E34" s="52">
        <f t="shared" si="24"/>
        <v>0.2795232456</v>
      </c>
      <c r="F34" s="52">
        <f t="shared" si="24"/>
        <v>0.2624362573</v>
      </c>
      <c r="G34" s="52">
        <f t="shared" si="24"/>
        <v>0.3080015595</v>
      </c>
      <c r="H34" s="52">
        <f t="shared" si="24"/>
        <v>0.2500093567</v>
      </c>
      <c r="I34" s="52">
        <f t="shared" si="24"/>
        <v>0.17</v>
      </c>
      <c r="J34" s="52">
        <f t="shared" si="24"/>
        <v>0.17</v>
      </c>
      <c r="K34" s="52">
        <f t="shared" si="24"/>
        <v>0.17</v>
      </c>
      <c r="L34" s="52">
        <f t="shared" si="24"/>
        <v>0.17</v>
      </c>
      <c r="M34" s="52">
        <f t="shared" si="24"/>
        <v>0.17</v>
      </c>
      <c r="N34" s="8"/>
      <c r="O34" s="52">
        <f>O33/O7*100%</f>
        <v>0.2810241002</v>
      </c>
      <c r="P34" s="9"/>
      <c r="Q34" s="9"/>
      <c r="R34" s="9"/>
      <c r="S34" s="9"/>
      <c r="T34" s="9"/>
      <c r="U34" s="15"/>
      <c r="V34" s="15"/>
      <c r="W34" s="15"/>
      <c r="X34" s="15"/>
      <c r="Y34" s="15"/>
      <c r="Z34" s="15"/>
    </row>
    <row r="35" ht="17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8"/>
      <c r="O35" s="17"/>
      <c r="P35" s="9"/>
      <c r="Q35" s="9"/>
      <c r="R35" s="9"/>
      <c r="S35" s="9"/>
      <c r="T35" s="9"/>
      <c r="U35" s="15"/>
      <c r="V35" s="15"/>
      <c r="W35" s="15"/>
      <c r="X35" s="15"/>
      <c r="Y35" s="15"/>
      <c r="Z35" s="15"/>
    </row>
    <row r="36" ht="17.2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8"/>
      <c r="O36" s="53"/>
      <c r="P36" s="9"/>
      <c r="Q36" s="9"/>
      <c r="R36" s="9"/>
      <c r="S36" s="9"/>
      <c r="T36" s="9"/>
      <c r="U36" s="3"/>
      <c r="V36" s="3"/>
      <c r="W36" s="3"/>
      <c r="X36" s="3"/>
      <c r="Y36" s="3"/>
      <c r="Z36" s="3"/>
    </row>
    <row r="37" ht="17.25" customHeight="1">
      <c r="A37" s="54" t="s">
        <v>31</v>
      </c>
      <c r="B37" s="11">
        <f t="shared" ref="B37:M37" si="25">IFERROR(B30/(B13-B31)*B13,B30)</f>
        <v>5045000</v>
      </c>
      <c r="C37" s="11">
        <f t="shared" si="25"/>
        <v>872481.3537</v>
      </c>
      <c r="D37" s="11">
        <f t="shared" si="25"/>
        <v>872481.3537</v>
      </c>
      <c r="E37" s="11">
        <f t="shared" si="25"/>
        <v>872481.3537</v>
      </c>
      <c r="F37" s="11">
        <f t="shared" si="25"/>
        <v>872481.3537</v>
      </c>
      <c r="G37" s="11">
        <f t="shared" si="25"/>
        <v>872481.3537</v>
      </c>
      <c r="H37" s="11">
        <f t="shared" si="25"/>
        <v>547283.7582</v>
      </c>
      <c r="I37" s="11">
        <f t="shared" si="25"/>
        <v>60000</v>
      </c>
      <c r="J37" s="11">
        <f t="shared" si="25"/>
        <v>60000</v>
      </c>
      <c r="K37" s="11">
        <f t="shared" si="25"/>
        <v>60000</v>
      </c>
      <c r="L37" s="11">
        <f t="shared" si="25"/>
        <v>60000</v>
      </c>
      <c r="M37" s="11">
        <f t="shared" si="25"/>
        <v>60000</v>
      </c>
      <c r="N37" s="8"/>
      <c r="O37" s="11">
        <f>SUM(B37:M37)</f>
        <v>10254690.53</v>
      </c>
      <c r="P37" s="9"/>
      <c r="Q37" s="9"/>
      <c r="R37" s="9"/>
      <c r="S37" s="9"/>
      <c r="T37" s="9"/>
      <c r="U37" s="3"/>
      <c r="V37" s="3"/>
      <c r="W37" s="3"/>
      <c r="X37" s="3"/>
      <c r="Y37" s="3"/>
      <c r="Z37" s="3"/>
    </row>
    <row r="38" ht="17.25" customHeight="1">
      <c r="A38" s="43" t="s">
        <v>32</v>
      </c>
      <c r="B38" s="74" t="str">
        <f>B37/B15</f>
        <v>#DIV/0!</v>
      </c>
      <c r="C38" s="55">
        <f t="shared" ref="C38:H38" si="26">C37/C13</f>
        <v>4592.007125</v>
      </c>
      <c r="D38" s="55">
        <f t="shared" si="26"/>
        <v>4592.007125</v>
      </c>
      <c r="E38" s="55">
        <f t="shared" si="26"/>
        <v>4592.007125</v>
      </c>
      <c r="F38" s="55">
        <f t="shared" si="26"/>
        <v>4592.007125</v>
      </c>
      <c r="G38" s="55">
        <f t="shared" si="26"/>
        <v>4592.007125</v>
      </c>
      <c r="H38" s="55">
        <f t="shared" si="26"/>
        <v>2880.440833</v>
      </c>
      <c r="I38" s="74" t="str">
        <f t="shared" ref="I38:M38" si="27">I37/I15</f>
        <v>#DIV/0!</v>
      </c>
      <c r="J38" s="74" t="str">
        <f t="shared" si="27"/>
        <v>#DIV/0!</v>
      </c>
      <c r="K38" s="74" t="str">
        <f t="shared" si="27"/>
        <v>#DIV/0!</v>
      </c>
      <c r="L38" s="74" t="str">
        <f t="shared" si="27"/>
        <v>#DIV/0!</v>
      </c>
      <c r="M38" s="74" t="str">
        <f t="shared" si="27"/>
        <v>#DIV/0!</v>
      </c>
      <c r="N38" s="8"/>
      <c r="O38" s="55" t="s">
        <v>33</v>
      </c>
      <c r="P38" s="9"/>
      <c r="Q38" s="9"/>
      <c r="R38" s="9"/>
      <c r="S38" s="9"/>
      <c r="T38" s="9"/>
      <c r="U38" s="3"/>
      <c r="V38" s="3"/>
      <c r="W38" s="3"/>
      <c r="X38" s="3"/>
      <c r="Y38" s="3"/>
      <c r="Z38" s="3"/>
    </row>
    <row r="39" ht="17.25" customHeight="1">
      <c r="A39" s="43" t="s">
        <v>34</v>
      </c>
      <c r="B39" s="74" t="str">
        <f t="shared" ref="B39:M39" si="28">B38/30</f>
        <v>#DIV/0!</v>
      </c>
      <c r="C39" s="55">
        <f t="shared" si="28"/>
        <v>153.0669042</v>
      </c>
      <c r="D39" s="55">
        <f t="shared" si="28"/>
        <v>153.0669042</v>
      </c>
      <c r="E39" s="55">
        <f t="shared" si="28"/>
        <v>153.0669042</v>
      </c>
      <c r="F39" s="55">
        <f t="shared" si="28"/>
        <v>153.0669042</v>
      </c>
      <c r="G39" s="55">
        <f t="shared" si="28"/>
        <v>153.0669042</v>
      </c>
      <c r="H39" s="55">
        <f t="shared" si="28"/>
        <v>96.01469442</v>
      </c>
      <c r="I39" s="74" t="str">
        <f t="shared" si="28"/>
        <v>#DIV/0!</v>
      </c>
      <c r="J39" s="74" t="str">
        <f t="shared" si="28"/>
        <v>#DIV/0!</v>
      </c>
      <c r="K39" s="74" t="str">
        <f t="shared" si="28"/>
        <v>#DIV/0!</v>
      </c>
      <c r="L39" s="74" t="str">
        <f t="shared" si="28"/>
        <v>#DIV/0!</v>
      </c>
      <c r="M39" s="74" t="str">
        <f t="shared" si="28"/>
        <v>#DIV/0!</v>
      </c>
      <c r="N39" s="8"/>
      <c r="O39" s="55">
        <f>O37/AVERAGE(B13:M13)</f>
        <v>53972.0554</v>
      </c>
      <c r="P39" s="9"/>
      <c r="Q39" s="9"/>
      <c r="R39" s="9"/>
      <c r="S39" s="9"/>
      <c r="T39" s="9"/>
      <c r="U39" s="3"/>
      <c r="V39" s="3"/>
      <c r="W39" s="3"/>
      <c r="X39" s="3"/>
      <c r="Y39" s="3"/>
      <c r="Z39" s="3"/>
    </row>
    <row r="40" ht="17.25" customHeight="1">
      <c r="A40" s="43" t="s">
        <v>36</v>
      </c>
      <c r="B40" s="74" t="str">
        <f t="shared" ref="B40:M40" si="29">B39/B5</f>
        <v>#DIV/0!</v>
      </c>
      <c r="C40" s="55">
        <f t="shared" si="29"/>
        <v>10.20446028</v>
      </c>
      <c r="D40" s="55">
        <f t="shared" si="29"/>
        <v>10.20446028</v>
      </c>
      <c r="E40" s="55">
        <f t="shared" si="29"/>
        <v>10.20446028</v>
      </c>
      <c r="F40" s="55">
        <f t="shared" si="29"/>
        <v>10.20446028</v>
      </c>
      <c r="G40" s="55">
        <f t="shared" si="29"/>
        <v>10.20446028</v>
      </c>
      <c r="H40" s="55">
        <f t="shared" si="29"/>
        <v>6.400979628</v>
      </c>
      <c r="I40" s="74" t="str">
        <f t="shared" si="29"/>
        <v>#DIV/0!</v>
      </c>
      <c r="J40" s="74" t="str">
        <f t="shared" si="29"/>
        <v>#DIV/0!</v>
      </c>
      <c r="K40" s="74" t="str">
        <f t="shared" si="29"/>
        <v>#DIV/0!</v>
      </c>
      <c r="L40" s="74" t="str">
        <f t="shared" si="29"/>
        <v>#DIV/0!</v>
      </c>
      <c r="M40" s="74" t="str">
        <f t="shared" si="29"/>
        <v>#DIV/0!</v>
      </c>
      <c r="N40" s="8"/>
      <c r="O40" s="53"/>
      <c r="P40" s="9"/>
      <c r="Q40" s="9"/>
      <c r="R40" s="9"/>
      <c r="S40" s="9"/>
      <c r="T40" s="9"/>
      <c r="U40" s="3"/>
      <c r="V40" s="3"/>
      <c r="W40" s="3"/>
      <c r="X40" s="3"/>
      <c r="Y40" s="3"/>
      <c r="Z40" s="3"/>
    </row>
    <row r="41" ht="17.2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9"/>
      <c r="Q41" s="9"/>
      <c r="R41" s="9"/>
      <c r="S41" s="9"/>
      <c r="T41" s="9"/>
      <c r="U41" s="3"/>
      <c r="V41" s="3"/>
      <c r="W41" s="3"/>
      <c r="X41" s="3"/>
      <c r="Y41" s="3"/>
      <c r="Z41" s="3"/>
    </row>
    <row r="42" ht="17.25" customHeight="1">
      <c r="A42" s="10" t="s">
        <v>38</v>
      </c>
      <c r="B42" s="56"/>
      <c r="C42" s="56"/>
      <c r="D42" s="56"/>
      <c r="E42" s="57"/>
      <c r="F42" s="56"/>
      <c r="G42" s="56"/>
      <c r="H42" s="56"/>
      <c r="I42" s="56"/>
      <c r="J42" s="56"/>
      <c r="K42" s="56"/>
      <c r="L42" s="56"/>
      <c r="M42" s="56"/>
      <c r="N42" s="8"/>
      <c r="O42" s="58"/>
      <c r="P42" s="9"/>
      <c r="Q42" s="9"/>
      <c r="R42" s="9"/>
      <c r="S42" s="9"/>
      <c r="T42" s="9"/>
      <c r="U42" s="15"/>
      <c r="V42" s="15"/>
      <c r="W42" s="15"/>
      <c r="X42" s="15"/>
      <c r="Y42" s="15"/>
      <c r="Z42" s="15"/>
    </row>
    <row r="43" ht="17.25" customHeight="1">
      <c r="A43" s="43" t="s">
        <v>146</v>
      </c>
      <c r="B43" s="24">
        <f>B4</f>
        <v>5000000</v>
      </c>
      <c r="C43" s="24">
        <f t="shared" ref="C43:M43" si="30">B44</f>
        <v>-195000</v>
      </c>
      <c r="D43" s="24">
        <f t="shared" si="30"/>
        <v>375934.8</v>
      </c>
      <c r="E43" s="24">
        <f t="shared" si="30"/>
        <v>946869.6</v>
      </c>
      <c r="F43" s="24">
        <f t="shared" si="30"/>
        <v>1456720</v>
      </c>
      <c r="G43" s="24">
        <f t="shared" si="30"/>
        <v>1905486</v>
      </c>
      <c r="H43" s="75">
        <f t="shared" si="30"/>
        <v>2537505.2</v>
      </c>
      <c r="I43" s="24">
        <f t="shared" si="30"/>
        <v>2794014.8</v>
      </c>
      <c r="J43" s="24">
        <f t="shared" si="30"/>
        <v>2806764.8</v>
      </c>
      <c r="K43" s="24">
        <f t="shared" si="30"/>
        <v>2819514.8</v>
      </c>
      <c r="L43" s="24">
        <f t="shared" si="30"/>
        <v>2832264.8</v>
      </c>
      <c r="M43" s="24">
        <f t="shared" si="30"/>
        <v>2845014.8</v>
      </c>
      <c r="N43" s="8"/>
      <c r="O43" s="46">
        <f>B43</f>
        <v>5000000</v>
      </c>
      <c r="P43" s="9"/>
      <c r="Q43" s="9"/>
      <c r="R43" s="9"/>
      <c r="S43" s="9"/>
      <c r="T43" s="9"/>
      <c r="U43" s="15"/>
      <c r="V43" s="15"/>
      <c r="W43" s="15"/>
      <c r="X43" s="15"/>
      <c r="Y43" s="15"/>
      <c r="Z43" s="15"/>
    </row>
    <row r="44" ht="17.25" customHeight="1">
      <c r="A44" s="43" t="s">
        <v>147</v>
      </c>
      <c r="B44" s="76">
        <f>B4+B33</f>
        <v>-195000</v>
      </c>
      <c r="C44" s="24">
        <f t="shared" ref="C44:M44" si="31">C43+C4+C33</f>
        <v>375934.8</v>
      </c>
      <c r="D44" s="24">
        <f t="shared" si="31"/>
        <v>946869.6</v>
      </c>
      <c r="E44" s="24">
        <f t="shared" si="31"/>
        <v>1456720</v>
      </c>
      <c r="F44" s="24">
        <f t="shared" si="31"/>
        <v>1905486</v>
      </c>
      <c r="G44" s="24">
        <f t="shared" si="31"/>
        <v>2537505.2</v>
      </c>
      <c r="H44" s="24">
        <f t="shared" si="31"/>
        <v>2794014.8</v>
      </c>
      <c r="I44" s="24">
        <f t="shared" si="31"/>
        <v>2806764.8</v>
      </c>
      <c r="J44" s="24">
        <f t="shared" si="31"/>
        <v>2819514.8</v>
      </c>
      <c r="K44" s="24">
        <f t="shared" si="31"/>
        <v>2832264.8</v>
      </c>
      <c r="L44" s="24">
        <f t="shared" si="31"/>
        <v>2845014.8</v>
      </c>
      <c r="M44" s="24">
        <f t="shared" si="31"/>
        <v>2857764.8</v>
      </c>
      <c r="N44" s="8"/>
      <c r="O44" s="46">
        <f>M44</f>
        <v>2857764.8</v>
      </c>
      <c r="P44" s="9"/>
      <c r="Q44" s="9"/>
      <c r="R44" s="9"/>
      <c r="S44" s="9"/>
      <c r="T44" s="9"/>
      <c r="U44" s="15"/>
      <c r="V44" s="15"/>
      <c r="W44" s="15"/>
      <c r="X44" s="15"/>
      <c r="Y44" s="15"/>
      <c r="Z44" s="15"/>
    </row>
    <row r="45" ht="17.25" customHeight="1">
      <c r="A45" s="43" t="s">
        <v>41</v>
      </c>
      <c r="B45" s="60">
        <f t="shared" ref="B45:M45" si="32">(B44-B43)/B43</f>
        <v>-1.039</v>
      </c>
      <c r="C45" s="60">
        <f t="shared" si="32"/>
        <v>-2.927870769</v>
      </c>
      <c r="D45" s="60">
        <f t="shared" si="32"/>
        <v>1.518706967</v>
      </c>
      <c r="E45" s="60">
        <f t="shared" si="32"/>
        <v>0.5384589388</v>
      </c>
      <c r="F45" s="60">
        <f t="shared" si="32"/>
        <v>0.3080660662</v>
      </c>
      <c r="G45" s="60">
        <f t="shared" si="32"/>
        <v>0.3316839903</v>
      </c>
      <c r="H45" s="60">
        <f t="shared" si="32"/>
        <v>0.1010873199</v>
      </c>
      <c r="I45" s="60">
        <f t="shared" si="32"/>
        <v>0.004563325864</v>
      </c>
      <c r="J45" s="60">
        <f t="shared" si="32"/>
        <v>0.004542596515</v>
      </c>
      <c r="K45" s="60">
        <f t="shared" si="32"/>
        <v>0.004522054646</v>
      </c>
      <c r="L45" s="60">
        <f t="shared" si="32"/>
        <v>0.004501697723</v>
      </c>
      <c r="M45" s="60">
        <f t="shared" si="32"/>
        <v>0.00448152326</v>
      </c>
      <c r="N45" s="8"/>
      <c r="O45" s="60">
        <f>(O44-O43)/O43</f>
        <v>-0.42844704</v>
      </c>
      <c r="P45" s="9"/>
      <c r="Q45" s="9"/>
      <c r="R45" s="9"/>
      <c r="S45" s="9"/>
      <c r="T45" s="9"/>
      <c r="U45" s="15"/>
      <c r="V45" s="15"/>
      <c r="W45" s="15"/>
      <c r="X45" s="15"/>
      <c r="Y45" s="15"/>
      <c r="Z45" s="15"/>
    </row>
    <row r="46" ht="17.2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9"/>
      <c r="Q46" s="9"/>
      <c r="R46" s="9"/>
      <c r="S46" s="9"/>
      <c r="T46" s="9"/>
      <c r="U46" s="3"/>
      <c r="V46" s="3"/>
      <c r="W46" s="3"/>
      <c r="X46" s="3"/>
      <c r="Y46" s="3"/>
      <c r="Z46" s="3"/>
    </row>
    <row r="47" ht="17.2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9"/>
      <c r="Q47" s="9"/>
      <c r="R47" s="9"/>
      <c r="S47" s="9"/>
      <c r="T47" s="9"/>
      <c r="U47" s="3"/>
      <c r="V47" s="3"/>
      <c r="W47" s="3"/>
      <c r="X47" s="3"/>
      <c r="Y47" s="3"/>
      <c r="Z47" s="3"/>
    </row>
    <row r="48" ht="17.2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9"/>
      <c r="Q48" s="9"/>
      <c r="R48" s="9"/>
      <c r="S48" s="9"/>
      <c r="T48" s="9"/>
      <c r="U48" s="3"/>
      <c r="V48" s="3"/>
      <c r="W48" s="3"/>
      <c r="X48" s="3"/>
      <c r="Y48" s="3"/>
      <c r="Z48" s="3"/>
    </row>
    <row r="49" ht="17.2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9"/>
      <c r="Q49" s="9"/>
      <c r="R49" s="9"/>
      <c r="S49" s="9"/>
      <c r="T49" s="9"/>
      <c r="U49" s="3"/>
      <c r="V49" s="3"/>
      <c r="W49" s="3"/>
      <c r="X49" s="3"/>
      <c r="Y49" s="3"/>
      <c r="Z49" s="3"/>
    </row>
    <row r="50" ht="17.2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9"/>
      <c r="Q50" s="9"/>
      <c r="R50" s="9"/>
      <c r="S50" s="9"/>
      <c r="T50" s="9"/>
      <c r="U50" s="3"/>
      <c r="V50" s="3"/>
      <c r="W50" s="3"/>
      <c r="X50" s="3"/>
      <c r="Y50" s="3"/>
      <c r="Z50" s="3"/>
    </row>
    <row r="51" ht="17.2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9"/>
      <c r="Q51" s="9"/>
      <c r="R51" s="9"/>
      <c r="S51" s="9"/>
      <c r="T51" s="9"/>
      <c r="U51" s="3"/>
      <c r="V51" s="3"/>
      <c r="W51" s="3"/>
      <c r="X51" s="3"/>
      <c r="Y51" s="3"/>
      <c r="Z51" s="3"/>
    </row>
    <row r="52" ht="15.7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9"/>
      <c r="Q52" s="9"/>
      <c r="R52" s="9"/>
      <c r="S52" s="9"/>
      <c r="T52" s="9"/>
      <c r="U52" s="3"/>
      <c r="V52" s="3"/>
      <c r="W52" s="3"/>
      <c r="X52" s="3"/>
      <c r="Y52" s="3"/>
      <c r="Z52" s="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9"/>
      <c r="Q53" s="9"/>
      <c r="R53" s="9"/>
      <c r="S53" s="9"/>
      <c r="T53" s="9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62"/>
      <c r="M57" s="6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64"/>
      <c r="M58" s="6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66"/>
      <c r="M59" s="6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67"/>
      <c r="M60" s="6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3">
    <mergeCell ref="D1:O1"/>
    <mergeCell ref="P2:T2"/>
    <mergeCell ref="D3:M3"/>
  </mergeCells>
  <conditionalFormatting sqref="E43:G43 I43:M43">
    <cfRule type="cellIs" dxfId="0" priority="1" operator="lessThan">
      <formula>0</formula>
    </cfRule>
  </conditionalFormatting>
  <conditionalFormatting sqref="B33:M33">
    <cfRule type="cellIs" dxfId="1" priority="2" operator="lessThan">
      <formula>0</formula>
    </cfRule>
  </conditionalFormatting>
  <conditionalFormatting sqref="B33:M33">
    <cfRule type="cellIs" dxfId="2" priority="3" operator="between">
      <formula>0</formula>
      <formula>20000</formula>
    </cfRule>
  </conditionalFormatting>
  <conditionalFormatting sqref="B33:M33">
    <cfRule type="cellIs" dxfId="3" priority="4" operator="greaterThan">
      <formula>20000</formula>
    </cfRule>
  </conditionalFormatting>
  <conditionalFormatting sqref="C34:M34">
    <cfRule type="colorScale" priority="5">
      <colorScale>
        <cfvo type="min"/>
        <cfvo type="formula" val="0"/>
        <cfvo type="max"/>
        <color rgb="FFE67C73"/>
        <color rgb="FFFFFFFF"/>
        <color rgb="FF57BB8A"/>
      </colorScale>
    </cfRule>
  </conditionalFormatting>
  <conditionalFormatting sqref="D45:M45 O45">
    <cfRule type="colorScale" priority="6">
      <colorScale>
        <cfvo type="min"/>
        <cfvo type="formula" val="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3.14"/>
    <col customWidth="1" min="2" max="4" width="15.29"/>
    <col customWidth="1" min="5" max="13" width="13.71"/>
    <col customWidth="1" min="14" max="14" width="3.71"/>
    <col customWidth="1" min="15" max="15" width="23.57"/>
    <col customWidth="1" min="16" max="17" width="14.43"/>
  </cols>
  <sheetData>
    <row r="1" ht="1.5" customHeight="1">
      <c r="A1" s="1" t="s">
        <v>0</v>
      </c>
      <c r="B1" s="2"/>
      <c r="C1" s="2"/>
      <c r="D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>
        <v>45046.0</v>
      </c>
      <c r="C2" s="5">
        <v>45047.0</v>
      </c>
      <c r="D2" s="5">
        <v>45078.0</v>
      </c>
      <c r="E2" s="5">
        <f t="shared" ref="E2:M2" si="1">EDATE(D2,1)</f>
        <v>45108</v>
      </c>
      <c r="F2" s="5">
        <f t="shared" si="1"/>
        <v>45139</v>
      </c>
      <c r="G2" s="5">
        <f t="shared" si="1"/>
        <v>45170</v>
      </c>
      <c r="H2" s="5">
        <f t="shared" si="1"/>
        <v>45200</v>
      </c>
      <c r="I2" s="5">
        <f t="shared" si="1"/>
        <v>45231</v>
      </c>
      <c r="J2" s="5">
        <f t="shared" si="1"/>
        <v>45261</v>
      </c>
      <c r="K2" s="5">
        <f t="shared" si="1"/>
        <v>45292</v>
      </c>
      <c r="L2" s="5">
        <f t="shared" si="1"/>
        <v>45323</v>
      </c>
      <c r="M2" s="5">
        <f t="shared" si="1"/>
        <v>45352</v>
      </c>
      <c r="N2" s="6"/>
      <c r="O2" s="7" t="s">
        <v>2</v>
      </c>
      <c r="P2" s="3"/>
      <c r="U2" s="3"/>
      <c r="V2" s="3"/>
      <c r="W2" s="3"/>
      <c r="X2" s="3"/>
      <c r="Y2" s="3"/>
      <c r="Z2" s="3"/>
    </row>
    <row r="3" ht="9.75" customHeight="1">
      <c r="A3" s="8"/>
      <c r="B3" s="8"/>
      <c r="C3" s="8"/>
      <c r="D3" s="8"/>
      <c r="N3" s="8"/>
      <c r="O3" s="8"/>
      <c r="P3" s="9"/>
      <c r="U3" s="3"/>
      <c r="V3" s="3"/>
      <c r="W3" s="3"/>
      <c r="X3" s="3"/>
      <c r="Y3" s="3"/>
      <c r="Z3" s="3"/>
    </row>
    <row r="4" ht="17.25" customHeight="1">
      <c r="A4" s="10" t="s">
        <v>3</v>
      </c>
      <c r="B4" s="11">
        <v>5200000.0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O4" s="14">
        <f>SUM(D4:M4)</f>
        <v>0</v>
      </c>
      <c r="U4" s="15"/>
      <c r="V4" s="15"/>
      <c r="W4" s="15"/>
      <c r="X4" s="15"/>
      <c r="Y4" s="15"/>
      <c r="Z4" s="15"/>
    </row>
    <row r="5" ht="17.25" customHeight="1">
      <c r="A5" s="16" t="s">
        <v>148</v>
      </c>
      <c r="B5" s="16"/>
      <c r="C5" s="16">
        <v>15.0</v>
      </c>
      <c r="D5" s="16">
        <v>15.0</v>
      </c>
      <c r="E5" s="16">
        <v>15.0</v>
      </c>
      <c r="F5" s="16">
        <v>15.0</v>
      </c>
      <c r="G5" s="16">
        <v>15.0</v>
      </c>
      <c r="H5" s="16">
        <v>15.0</v>
      </c>
      <c r="I5" s="16">
        <v>15.0</v>
      </c>
      <c r="J5" s="16">
        <v>15.0</v>
      </c>
      <c r="K5" s="16">
        <v>15.0</v>
      </c>
      <c r="L5" s="16">
        <v>15.0</v>
      </c>
      <c r="M5" s="16">
        <v>15.0</v>
      </c>
      <c r="O5" s="17"/>
      <c r="U5" s="15"/>
      <c r="V5" s="15"/>
      <c r="W5" s="15"/>
      <c r="X5" s="15"/>
      <c r="Y5" s="15"/>
      <c r="Z5" s="15"/>
    </row>
    <row r="6" ht="17.25" customHeight="1">
      <c r="A6" s="17"/>
      <c r="B6" s="17"/>
      <c r="C6" s="17"/>
      <c r="D6" s="17" t="s">
        <v>5</v>
      </c>
      <c r="O6" s="17"/>
      <c r="U6" s="15"/>
      <c r="V6" s="15"/>
      <c r="W6" s="15"/>
      <c r="X6" s="15"/>
      <c r="Y6" s="15"/>
      <c r="Z6" s="15"/>
    </row>
    <row r="7" ht="17.25" customHeight="1">
      <c r="A7" s="18" t="s">
        <v>6</v>
      </c>
      <c r="B7" s="19">
        <v>0.0</v>
      </c>
      <c r="C7" s="20">
        <f t="shared" ref="C7:G7" si="2">C14*C15</f>
        <v>1710000</v>
      </c>
      <c r="D7" s="20">
        <f t="shared" si="2"/>
        <v>1710000</v>
      </c>
      <c r="E7" s="20">
        <f t="shared" si="2"/>
        <v>1710000</v>
      </c>
      <c r="F7" s="20">
        <f t="shared" si="2"/>
        <v>1596000</v>
      </c>
      <c r="G7" s="20">
        <f t="shared" si="2"/>
        <v>1710000</v>
      </c>
      <c r="H7" s="20">
        <f t="shared" ref="H7:M7" si="3">H14*H15 + H18</f>
        <v>541500</v>
      </c>
      <c r="I7" s="20">
        <f t="shared" si="3"/>
        <v>150000</v>
      </c>
      <c r="J7" s="20">
        <f t="shared" si="3"/>
        <v>150000</v>
      </c>
      <c r="K7" s="20">
        <f t="shared" si="3"/>
        <v>150000</v>
      </c>
      <c r="L7" s="20">
        <f t="shared" si="3"/>
        <v>150000</v>
      </c>
      <c r="M7" s="20">
        <f t="shared" si="3"/>
        <v>150000</v>
      </c>
      <c r="O7" s="20">
        <f>SUM(C7:M7)</f>
        <v>9727500</v>
      </c>
      <c r="U7" s="21"/>
      <c r="V7" s="21"/>
      <c r="W7" s="21"/>
      <c r="X7" s="21"/>
      <c r="Y7" s="21"/>
      <c r="Z7" s="21"/>
    </row>
    <row r="8" ht="17.25" customHeight="1">
      <c r="A8" s="22" t="s">
        <v>149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O8" s="24"/>
      <c r="U8" s="15"/>
      <c r="V8" s="15"/>
      <c r="W8" s="15"/>
      <c r="X8" s="15"/>
      <c r="Y8" s="15"/>
      <c r="Z8" s="15"/>
    </row>
    <row r="9" ht="17.25" customHeight="1">
      <c r="A9" s="22" t="s">
        <v>150</v>
      </c>
      <c r="B9" s="23"/>
      <c r="C9" s="23">
        <f t="shared" ref="C9:G9" si="4">200000*30</f>
        <v>6000000</v>
      </c>
      <c r="D9" s="23">
        <f t="shared" si="4"/>
        <v>6000000</v>
      </c>
      <c r="E9" s="23">
        <f t="shared" si="4"/>
        <v>6000000</v>
      </c>
      <c r="F9" s="23">
        <f t="shared" si="4"/>
        <v>6000000</v>
      </c>
      <c r="G9" s="23">
        <f t="shared" si="4"/>
        <v>6000000</v>
      </c>
      <c r="H9" s="23">
        <f>100000*30</f>
        <v>3000000</v>
      </c>
      <c r="I9" s="23"/>
      <c r="J9" s="23"/>
      <c r="K9" s="23"/>
      <c r="L9" s="23"/>
      <c r="M9" s="23"/>
      <c r="O9" s="24"/>
      <c r="U9" s="15"/>
      <c r="V9" s="15"/>
      <c r="W9" s="15"/>
      <c r="X9" s="15"/>
      <c r="Y9" s="15"/>
      <c r="Z9" s="15"/>
    </row>
    <row r="10" ht="17.25" customHeight="1">
      <c r="A10" s="22" t="s">
        <v>151</v>
      </c>
      <c r="B10" s="25"/>
      <c r="C10" s="25">
        <v>0.05</v>
      </c>
      <c r="D10" s="25">
        <v>0.05</v>
      </c>
      <c r="E10" s="25">
        <v>0.05</v>
      </c>
      <c r="F10" s="25">
        <v>0.05</v>
      </c>
      <c r="G10" s="25">
        <v>0.05</v>
      </c>
      <c r="H10" s="25">
        <v>0.05</v>
      </c>
      <c r="I10" s="27"/>
      <c r="J10" s="27"/>
      <c r="K10" s="27"/>
      <c r="L10" s="27"/>
      <c r="M10" s="27"/>
      <c r="O10" s="17"/>
      <c r="U10" s="15"/>
      <c r="V10" s="15"/>
      <c r="W10" s="15"/>
      <c r="X10" s="15"/>
      <c r="Y10" s="15"/>
      <c r="Z10" s="15"/>
    </row>
    <row r="11" ht="17.25" customHeight="1">
      <c r="A11" s="22" t="s">
        <v>135</v>
      </c>
      <c r="B11" s="30"/>
      <c r="C11" s="30">
        <f t="shared" ref="C11:H11" si="5">C9*C10</f>
        <v>300000</v>
      </c>
      <c r="D11" s="30">
        <f t="shared" si="5"/>
        <v>300000</v>
      </c>
      <c r="E11" s="30">
        <f t="shared" si="5"/>
        <v>300000</v>
      </c>
      <c r="F11" s="30">
        <f t="shared" si="5"/>
        <v>300000</v>
      </c>
      <c r="G11" s="30">
        <f t="shared" si="5"/>
        <v>300000</v>
      </c>
      <c r="H11" s="30">
        <f t="shared" si="5"/>
        <v>150000</v>
      </c>
      <c r="I11" s="30"/>
      <c r="J11" s="30"/>
      <c r="K11" s="30"/>
      <c r="L11" s="30"/>
      <c r="M11" s="30"/>
      <c r="O11" s="24"/>
      <c r="U11" s="15"/>
      <c r="V11" s="15"/>
      <c r="W11" s="15"/>
      <c r="X11" s="15"/>
      <c r="Y11" s="15"/>
      <c r="Z11" s="15"/>
    </row>
    <row r="12" ht="17.25" customHeight="1">
      <c r="A12" s="22" t="s">
        <v>152</v>
      </c>
      <c r="B12" s="28"/>
      <c r="C12" s="77">
        <v>0.03</v>
      </c>
      <c r="D12" s="77">
        <v>0.03</v>
      </c>
      <c r="E12" s="77">
        <v>0.03</v>
      </c>
      <c r="F12" s="77">
        <v>0.028</v>
      </c>
      <c r="G12" s="77">
        <v>0.03</v>
      </c>
      <c r="H12" s="77">
        <v>0.019</v>
      </c>
      <c r="I12" s="78"/>
      <c r="J12" s="27"/>
      <c r="K12" s="27"/>
      <c r="L12" s="27"/>
      <c r="M12" s="27"/>
      <c r="O12" s="17"/>
      <c r="U12" s="15"/>
      <c r="V12" s="15"/>
      <c r="W12" s="15"/>
      <c r="X12" s="15"/>
      <c r="Y12" s="15"/>
      <c r="Z12" s="15"/>
    </row>
    <row r="13" ht="17.25" customHeight="1">
      <c r="A13" s="22" t="s">
        <v>153</v>
      </c>
      <c r="B13" s="28"/>
      <c r="C13" s="31">
        <f t="shared" ref="C13:M13" si="6">IFERROR(C12/C5,0)</f>
        <v>0.002</v>
      </c>
      <c r="D13" s="31">
        <f t="shared" si="6"/>
        <v>0.002</v>
      </c>
      <c r="E13" s="31">
        <f t="shared" si="6"/>
        <v>0.002</v>
      </c>
      <c r="F13" s="31">
        <f t="shared" si="6"/>
        <v>0.001866666667</v>
      </c>
      <c r="G13" s="31">
        <f t="shared" si="6"/>
        <v>0.002</v>
      </c>
      <c r="H13" s="31">
        <f t="shared" si="6"/>
        <v>0.001266666667</v>
      </c>
      <c r="I13" s="31">
        <f t="shared" si="6"/>
        <v>0</v>
      </c>
      <c r="J13" s="31">
        <f t="shared" si="6"/>
        <v>0</v>
      </c>
      <c r="K13" s="31">
        <f t="shared" si="6"/>
        <v>0</v>
      </c>
      <c r="L13" s="31">
        <f t="shared" si="6"/>
        <v>0</v>
      </c>
      <c r="M13" s="31">
        <f t="shared" si="6"/>
        <v>0</v>
      </c>
      <c r="O13" s="17"/>
      <c r="U13" s="15"/>
      <c r="V13" s="15"/>
      <c r="W13" s="15"/>
      <c r="X13" s="15"/>
      <c r="Y13" s="15"/>
      <c r="Z13" s="15"/>
    </row>
    <row r="14" ht="17.25" customHeight="1">
      <c r="A14" s="22" t="s">
        <v>154</v>
      </c>
      <c r="B14" s="23"/>
      <c r="C14" s="30">
        <f t="shared" ref="C14:M14" si="7">C11*C13*C5</f>
        <v>9000</v>
      </c>
      <c r="D14" s="30">
        <f t="shared" si="7"/>
        <v>9000</v>
      </c>
      <c r="E14" s="30">
        <f t="shared" si="7"/>
        <v>9000</v>
      </c>
      <c r="F14" s="30">
        <f t="shared" si="7"/>
        <v>8400</v>
      </c>
      <c r="G14" s="30">
        <f t="shared" si="7"/>
        <v>9000</v>
      </c>
      <c r="H14" s="30">
        <f t="shared" si="7"/>
        <v>2850</v>
      </c>
      <c r="I14" s="30">
        <f t="shared" si="7"/>
        <v>0</v>
      </c>
      <c r="J14" s="30">
        <f t="shared" si="7"/>
        <v>0</v>
      </c>
      <c r="K14" s="30">
        <f t="shared" si="7"/>
        <v>0</v>
      </c>
      <c r="L14" s="30">
        <f t="shared" si="7"/>
        <v>0</v>
      </c>
      <c r="M14" s="30">
        <f t="shared" si="7"/>
        <v>0</v>
      </c>
      <c r="O14" s="24"/>
      <c r="U14" s="15"/>
      <c r="V14" s="15"/>
      <c r="W14" s="15"/>
      <c r="X14" s="15"/>
      <c r="Y14" s="15"/>
      <c r="Z14" s="15"/>
    </row>
    <row r="15" ht="17.25" customHeight="1">
      <c r="A15" s="22" t="s">
        <v>155</v>
      </c>
      <c r="B15" s="23"/>
      <c r="C15" s="79">
        <v>190.0</v>
      </c>
      <c r="D15" s="79">
        <v>190.0</v>
      </c>
      <c r="E15" s="79">
        <v>190.0</v>
      </c>
      <c r="F15" s="79">
        <v>190.0</v>
      </c>
      <c r="G15" s="79">
        <v>190.0</v>
      </c>
      <c r="H15" s="79">
        <v>190.0</v>
      </c>
      <c r="I15" s="23"/>
      <c r="J15" s="23"/>
      <c r="K15" s="23"/>
      <c r="L15" s="23"/>
      <c r="M15" s="23"/>
      <c r="O15" s="17"/>
      <c r="U15" s="15"/>
      <c r="V15" s="15"/>
      <c r="W15" s="15"/>
      <c r="X15" s="15"/>
      <c r="Y15" s="15"/>
      <c r="Z15" s="15"/>
    </row>
    <row r="16" ht="17.25" customHeight="1">
      <c r="A16" s="22" t="s">
        <v>156</v>
      </c>
      <c r="B16" s="23"/>
      <c r="C16" s="23">
        <f t="shared" ref="C16:M16" si="8">C14/30</f>
        <v>300</v>
      </c>
      <c r="D16" s="23">
        <f t="shared" si="8"/>
        <v>300</v>
      </c>
      <c r="E16" s="23">
        <f t="shared" si="8"/>
        <v>300</v>
      </c>
      <c r="F16" s="23">
        <f t="shared" si="8"/>
        <v>280</v>
      </c>
      <c r="G16" s="23">
        <f t="shared" si="8"/>
        <v>300</v>
      </c>
      <c r="H16" s="23">
        <f t="shared" si="8"/>
        <v>95</v>
      </c>
      <c r="I16" s="23">
        <f t="shared" si="8"/>
        <v>0</v>
      </c>
      <c r="J16" s="23">
        <f t="shared" si="8"/>
        <v>0</v>
      </c>
      <c r="K16" s="23">
        <f t="shared" si="8"/>
        <v>0</v>
      </c>
      <c r="L16" s="23">
        <f t="shared" si="8"/>
        <v>0</v>
      </c>
      <c r="M16" s="23">
        <f t="shared" si="8"/>
        <v>0</v>
      </c>
      <c r="O16" s="17"/>
      <c r="U16" s="15"/>
      <c r="V16" s="15"/>
      <c r="W16" s="15"/>
      <c r="X16" s="15"/>
      <c r="Y16" s="15"/>
      <c r="Z16" s="15"/>
    </row>
    <row r="17" ht="17.25" customHeight="1">
      <c r="A17" s="22" t="s">
        <v>157</v>
      </c>
      <c r="B17" s="23"/>
      <c r="C17" s="23">
        <f t="shared" ref="C17:H17" si="9">C16/C5</f>
        <v>20</v>
      </c>
      <c r="D17" s="23">
        <f t="shared" si="9"/>
        <v>20</v>
      </c>
      <c r="E17" s="23">
        <f t="shared" si="9"/>
        <v>20</v>
      </c>
      <c r="F17" s="23">
        <f t="shared" si="9"/>
        <v>18.66666667</v>
      </c>
      <c r="G17" s="23">
        <f t="shared" si="9"/>
        <v>20</v>
      </c>
      <c r="H17" s="23">
        <f t="shared" si="9"/>
        <v>6.333333333</v>
      </c>
      <c r="I17" s="23"/>
      <c r="J17" s="23"/>
      <c r="K17" s="23"/>
      <c r="L17" s="23"/>
      <c r="M17" s="23"/>
      <c r="O17" s="17"/>
      <c r="U17" s="15"/>
      <c r="V17" s="15"/>
      <c r="W17" s="15"/>
      <c r="X17" s="15"/>
      <c r="Y17" s="15"/>
      <c r="Z17" s="15"/>
    </row>
    <row r="18" ht="17.25" customHeight="1">
      <c r="A18" s="73" t="s">
        <v>158</v>
      </c>
      <c r="B18" s="24"/>
      <c r="C18" s="24"/>
      <c r="D18" s="24"/>
      <c r="E18" s="24"/>
      <c r="F18" s="24"/>
      <c r="G18" s="24"/>
      <c r="H18" s="24"/>
      <c r="I18" s="24">
        <f t="shared" ref="I18:M18" si="10">I5*10000</f>
        <v>150000</v>
      </c>
      <c r="J18" s="24">
        <f t="shared" si="10"/>
        <v>150000</v>
      </c>
      <c r="K18" s="24">
        <f t="shared" si="10"/>
        <v>150000</v>
      </c>
      <c r="L18" s="24">
        <f t="shared" si="10"/>
        <v>150000</v>
      </c>
      <c r="M18" s="24">
        <f t="shared" si="10"/>
        <v>150000</v>
      </c>
      <c r="O18" s="24"/>
      <c r="U18" s="15"/>
      <c r="V18" s="15"/>
      <c r="W18" s="15"/>
      <c r="X18" s="15"/>
      <c r="Y18" s="15"/>
      <c r="Z18" s="15"/>
    </row>
    <row r="19" ht="17.25" customHeight="1">
      <c r="A19" s="3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O19" s="24"/>
      <c r="U19" s="15"/>
      <c r="V19" s="15"/>
      <c r="W19" s="15"/>
      <c r="X19" s="15"/>
      <c r="Y19" s="15"/>
      <c r="Z19" s="15"/>
    </row>
    <row r="20" ht="17.25" customHeight="1">
      <c r="A20" s="36" t="s">
        <v>16</v>
      </c>
      <c r="B20" s="37">
        <f t="shared" ref="B20:M20" si="11">SUM(B21:B29)</f>
        <v>5120000</v>
      </c>
      <c r="C20" s="37">
        <f t="shared" si="11"/>
        <v>1197484</v>
      </c>
      <c r="D20" s="37">
        <f t="shared" si="11"/>
        <v>1197484</v>
      </c>
      <c r="E20" s="37">
        <f t="shared" si="11"/>
        <v>1197484</v>
      </c>
      <c r="F20" s="37">
        <f t="shared" si="11"/>
        <v>1144568.4</v>
      </c>
      <c r="G20" s="37">
        <f t="shared" si="11"/>
        <v>1197484</v>
      </c>
      <c r="H20" s="37">
        <f t="shared" si="11"/>
        <v>545146</v>
      </c>
      <c r="I20" s="37">
        <f t="shared" si="11"/>
        <v>73500</v>
      </c>
      <c r="J20" s="37">
        <f t="shared" si="11"/>
        <v>73500</v>
      </c>
      <c r="K20" s="37">
        <f t="shared" si="11"/>
        <v>73500</v>
      </c>
      <c r="L20" s="37">
        <f t="shared" si="11"/>
        <v>73500</v>
      </c>
      <c r="M20" s="37">
        <f t="shared" si="11"/>
        <v>73500</v>
      </c>
      <c r="O20" s="37">
        <f>SUM(C20:M20)</f>
        <v>6847150.4</v>
      </c>
      <c r="U20" s="21"/>
      <c r="V20" s="21"/>
      <c r="W20" s="21"/>
      <c r="X20" s="21"/>
      <c r="Y20" s="21"/>
      <c r="Z20" s="21"/>
    </row>
    <row r="21" ht="17.25" customHeight="1">
      <c r="A21" s="22" t="s">
        <v>159</v>
      </c>
      <c r="B21" s="76">
        <f>C5*40*250</f>
        <v>150000</v>
      </c>
      <c r="C21" s="24">
        <f t="shared" ref="C21:M21" si="12">C14/10*240</f>
        <v>216000</v>
      </c>
      <c r="D21" s="24">
        <f t="shared" si="12"/>
        <v>216000</v>
      </c>
      <c r="E21" s="24">
        <f t="shared" si="12"/>
        <v>216000</v>
      </c>
      <c r="F21" s="24">
        <f t="shared" si="12"/>
        <v>201600</v>
      </c>
      <c r="G21" s="24">
        <f t="shared" si="12"/>
        <v>216000</v>
      </c>
      <c r="H21" s="24">
        <f t="shared" si="12"/>
        <v>68400</v>
      </c>
      <c r="I21" s="24">
        <f t="shared" si="12"/>
        <v>0</v>
      </c>
      <c r="J21" s="24">
        <f t="shared" si="12"/>
        <v>0</v>
      </c>
      <c r="K21" s="24">
        <f t="shared" si="12"/>
        <v>0</v>
      </c>
      <c r="L21" s="24">
        <f t="shared" si="12"/>
        <v>0</v>
      </c>
      <c r="M21" s="24">
        <f t="shared" si="12"/>
        <v>0</v>
      </c>
      <c r="O21" s="76"/>
      <c r="U21" s="15"/>
      <c r="V21" s="15"/>
      <c r="W21" s="15"/>
      <c r="X21" s="15"/>
      <c r="Y21" s="15"/>
      <c r="Z21" s="15"/>
    </row>
    <row r="22" ht="17.25" customHeight="1">
      <c r="A22" s="22" t="s">
        <v>18</v>
      </c>
      <c r="B22" s="76">
        <f>C5*300000</f>
        <v>4500000</v>
      </c>
      <c r="C22" s="76">
        <v>0.0</v>
      </c>
      <c r="D22" s="76">
        <v>0.0</v>
      </c>
      <c r="E22" s="76">
        <v>0.0</v>
      </c>
      <c r="F22" s="76">
        <v>0.0</v>
      </c>
      <c r="G22" s="76">
        <v>0.0</v>
      </c>
      <c r="H22" s="76">
        <v>0.0</v>
      </c>
      <c r="I22" s="76">
        <v>0.0</v>
      </c>
      <c r="J22" s="76">
        <v>0.0</v>
      </c>
      <c r="K22" s="76">
        <v>0.0</v>
      </c>
      <c r="L22" s="76">
        <v>0.0</v>
      </c>
      <c r="M22" s="76">
        <v>0.0</v>
      </c>
      <c r="O22" s="24"/>
      <c r="U22" s="15"/>
      <c r="V22" s="15"/>
      <c r="W22" s="15"/>
      <c r="X22" s="15"/>
      <c r="Y22" s="15"/>
      <c r="Z22" s="15"/>
    </row>
    <row r="23" ht="17.25" customHeight="1">
      <c r="A23" s="22" t="s">
        <v>160</v>
      </c>
      <c r="B23" s="74">
        <v>200000.0</v>
      </c>
      <c r="C23" s="74">
        <f t="shared" ref="C23:H23" si="13">120000*2 + 45000</f>
        <v>285000</v>
      </c>
      <c r="D23" s="74">
        <f t="shared" si="13"/>
        <v>285000</v>
      </c>
      <c r="E23" s="74">
        <f t="shared" si="13"/>
        <v>285000</v>
      </c>
      <c r="F23" s="74">
        <f t="shared" si="13"/>
        <v>285000</v>
      </c>
      <c r="G23" s="74">
        <f t="shared" si="13"/>
        <v>285000</v>
      </c>
      <c r="H23" s="74">
        <f t="shared" si="13"/>
        <v>285000</v>
      </c>
      <c r="I23" s="74">
        <f t="shared" ref="I23:M23" si="14">20000*3</f>
        <v>60000</v>
      </c>
      <c r="J23" s="74">
        <f t="shared" si="14"/>
        <v>60000</v>
      </c>
      <c r="K23" s="74">
        <f t="shared" si="14"/>
        <v>60000</v>
      </c>
      <c r="L23" s="74">
        <f t="shared" si="14"/>
        <v>60000</v>
      </c>
      <c r="M23" s="74">
        <f t="shared" si="14"/>
        <v>60000</v>
      </c>
      <c r="O23" s="24"/>
      <c r="U23" s="15"/>
      <c r="V23" s="15"/>
      <c r="W23" s="15"/>
      <c r="X23" s="15"/>
      <c r="Y23" s="15"/>
      <c r="Z23" s="15"/>
    </row>
    <row r="24" ht="17.25" customHeight="1">
      <c r="A24" s="80" t="s">
        <v>20</v>
      </c>
      <c r="B24" s="74">
        <f t="shared" ref="B24:G24" si="15">C5*10000</f>
        <v>150000</v>
      </c>
      <c r="C24" s="74">
        <f t="shared" si="15"/>
        <v>150000</v>
      </c>
      <c r="D24" s="74">
        <f t="shared" si="15"/>
        <v>150000</v>
      </c>
      <c r="E24" s="74">
        <f t="shared" si="15"/>
        <v>150000</v>
      </c>
      <c r="F24" s="74">
        <f t="shared" si="15"/>
        <v>150000</v>
      </c>
      <c r="G24" s="74">
        <f t="shared" si="15"/>
        <v>150000</v>
      </c>
      <c r="H24" s="74"/>
      <c r="I24" s="74"/>
      <c r="J24" s="74"/>
      <c r="K24" s="74"/>
      <c r="L24" s="74"/>
      <c r="M24" s="74"/>
      <c r="O24" s="24"/>
      <c r="U24" s="15"/>
      <c r="V24" s="15"/>
      <c r="W24" s="15"/>
      <c r="X24" s="15"/>
      <c r="Y24" s="15"/>
      <c r="Z24" s="15"/>
    </row>
    <row r="25" ht="17.25" customHeight="1">
      <c r="A25" s="43" t="s">
        <v>161</v>
      </c>
      <c r="B25" s="74">
        <v>100000.0</v>
      </c>
      <c r="C25" s="74">
        <v>40000.0</v>
      </c>
      <c r="D25" s="74">
        <v>40000.0</v>
      </c>
      <c r="E25" s="74">
        <v>40000.0</v>
      </c>
      <c r="F25" s="74">
        <v>40000.0</v>
      </c>
      <c r="G25" s="74">
        <v>40000.0</v>
      </c>
      <c r="H25" s="74">
        <v>40000.0</v>
      </c>
      <c r="I25" s="74">
        <v>0.0</v>
      </c>
      <c r="J25" s="74">
        <v>0.0</v>
      </c>
      <c r="K25" s="74">
        <v>0.0</v>
      </c>
      <c r="L25" s="74">
        <v>0.0</v>
      </c>
      <c r="M25" s="74">
        <v>0.0</v>
      </c>
      <c r="O25" s="24"/>
      <c r="U25" s="15"/>
      <c r="V25" s="15"/>
      <c r="W25" s="15"/>
      <c r="X25" s="15"/>
      <c r="Y25" s="15"/>
      <c r="Z25" s="15"/>
    </row>
    <row r="26" ht="17.25" customHeight="1">
      <c r="A26" s="43" t="s">
        <v>22</v>
      </c>
      <c r="B26" s="74">
        <v>0.0</v>
      </c>
      <c r="C26" s="74">
        <f t="shared" ref="C26:M26" si="16">C14/12*500</f>
        <v>375000</v>
      </c>
      <c r="D26" s="74">
        <f t="shared" si="16"/>
        <v>375000</v>
      </c>
      <c r="E26" s="74">
        <f t="shared" si="16"/>
        <v>375000</v>
      </c>
      <c r="F26" s="74">
        <f t="shared" si="16"/>
        <v>350000</v>
      </c>
      <c r="G26" s="74">
        <f t="shared" si="16"/>
        <v>375000</v>
      </c>
      <c r="H26" s="74">
        <f t="shared" si="16"/>
        <v>118750</v>
      </c>
      <c r="I26" s="74">
        <f t="shared" si="16"/>
        <v>0</v>
      </c>
      <c r="J26" s="74">
        <f t="shared" si="16"/>
        <v>0</v>
      </c>
      <c r="K26" s="74">
        <f t="shared" si="16"/>
        <v>0</v>
      </c>
      <c r="L26" s="74">
        <f t="shared" si="16"/>
        <v>0</v>
      </c>
      <c r="M26" s="74">
        <f t="shared" si="16"/>
        <v>0</v>
      </c>
      <c r="O26" s="24"/>
      <c r="U26" s="15"/>
      <c r="V26" s="15"/>
      <c r="W26" s="15"/>
      <c r="X26" s="15"/>
      <c r="Y26" s="15"/>
      <c r="Z26" s="15"/>
    </row>
    <row r="27" ht="17.25" customHeight="1">
      <c r="A27" s="44" t="s">
        <v>162</v>
      </c>
      <c r="B27" s="74">
        <v>0.0</v>
      </c>
      <c r="C27" s="46">
        <f t="shared" ref="C27:M27" si="17">C14*C15*2.4%</f>
        <v>41040</v>
      </c>
      <c r="D27" s="46">
        <f t="shared" si="17"/>
        <v>41040</v>
      </c>
      <c r="E27" s="46">
        <f t="shared" si="17"/>
        <v>41040</v>
      </c>
      <c r="F27" s="46">
        <f t="shared" si="17"/>
        <v>38304</v>
      </c>
      <c r="G27" s="46">
        <f t="shared" si="17"/>
        <v>41040</v>
      </c>
      <c r="H27" s="46">
        <f t="shared" si="17"/>
        <v>12996</v>
      </c>
      <c r="I27" s="46">
        <f t="shared" si="17"/>
        <v>0</v>
      </c>
      <c r="J27" s="46">
        <f t="shared" si="17"/>
        <v>0</v>
      </c>
      <c r="K27" s="46">
        <f t="shared" si="17"/>
        <v>0</v>
      </c>
      <c r="L27" s="46">
        <f t="shared" si="17"/>
        <v>0</v>
      </c>
      <c r="M27" s="46">
        <f t="shared" si="17"/>
        <v>0</v>
      </c>
      <c r="O27" s="24"/>
      <c r="U27" s="15"/>
      <c r="V27" s="15"/>
      <c r="W27" s="15"/>
      <c r="X27" s="15"/>
      <c r="Y27" s="15"/>
      <c r="Z27" s="15"/>
    </row>
    <row r="28" ht="17.25" customHeight="1">
      <c r="A28" s="44" t="s">
        <v>163</v>
      </c>
      <c r="B28" s="74">
        <v>20000.0</v>
      </c>
      <c r="C28" s="74"/>
      <c r="D28" s="46"/>
      <c r="E28" s="46"/>
      <c r="F28" s="46"/>
      <c r="G28" s="46"/>
      <c r="H28" s="74">
        <v>20000.0</v>
      </c>
      <c r="I28" s="46"/>
      <c r="J28" s="46"/>
      <c r="K28" s="46"/>
      <c r="L28" s="46"/>
      <c r="M28" s="74"/>
      <c r="O28" s="24"/>
      <c r="U28" s="15"/>
      <c r="V28" s="15"/>
      <c r="W28" s="15"/>
      <c r="X28" s="15"/>
      <c r="Y28" s="15"/>
      <c r="Z28" s="15"/>
    </row>
    <row r="29" ht="17.25" customHeight="1">
      <c r="A29" s="43" t="s">
        <v>164</v>
      </c>
      <c r="B29" s="46">
        <f t="shared" ref="B29:M29" si="18">IF((B7-SUM(B21:B28))*15% &lt; 0,0,(B7-SUM(B21:B28))*15%)</f>
        <v>0</v>
      </c>
      <c r="C29" s="46">
        <f t="shared" si="18"/>
        <v>90444</v>
      </c>
      <c r="D29" s="46">
        <f t="shared" si="18"/>
        <v>90444</v>
      </c>
      <c r="E29" s="46">
        <f t="shared" si="18"/>
        <v>90444</v>
      </c>
      <c r="F29" s="46">
        <f t="shared" si="18"/>
        <v>79664.4</v>
      </c>
      <c r="G29" s="46">
        <f t="shared" si="18"/>
        <v>90444</v>
      </c>
      <c r="H29" s="46">
        <f t="shared" si="18"/>
        <v>0</v>
      </c>
      <c r="I29" s="46">
        <f t="shared" si="18"/>
        <v>13500</v>
      </c>
      <c r="J29" s="46">
        <f t="shared" si="18"/>
        <v>13500</v>
      </c>
      <c r="K29" s="46">
        <f t="shared" si="18"/>
        <v>13500</v>
      </c>
      <c r="L29" s="46">
        <f t="shared" si="18"/>
        <v>13500</v>
      </c>
      <c r="M29" s="46">
        <f t="shared" si="18"/>
        <v>13500</v>
      </c>
      <c r="O29" s="46"/>
      <c r="U29" s="15"/>
      <c r="V29" s="15"/>
      <c r="W29" s="15"/>
      <c r="X29" s="15"/>
      <c r="Y29" s="15"/>
      <c r="Z29" s="15"/>
    </row>
    <row r="30" ht="17.25" customHeight="1">
      <c r="A30" s="47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O30" s="24"/>
      <c r="U30" s="15"/>
      <c r="V30" s="15"/>
      <c r="W30" s="15"/>
      <c r="X30" s="15"/>
      <c r="Y30" s="15"/>
      <c r="Z30" s="15"/>
    </row>
    <row r="31" ht="17.25" customHeight="1">
      <c r="A31" s="48" t="s">
        <v>29</v>
      </c>
      <c r="B31" s="49">
        <f t="shared" ref="B31:M31" si="19">B7-B20</f>
        <v>-5120000</v>
      </c>
      <c r="C31" s="49">
        <f t="shared" si="19"/>
        <v>512516</v>
      </c>
      <c r="D31" s="49">
        <f t="shared" si="19"/>
        <v>512516</v>
      </c>
      <c r="E31" s="49">
        <f t="shared" si="19"/>
        <v>512516</v>
      </c>
      <c r="F31" s="49">
        <f t="shared" si="19"/>
        <v>451431.6</v>
      </c>
      <c r="G31" s="49">
        <f t="shared" si="19"/>
        <v>512516</v>
      </c>
      <c r="H31" s="49">
        <f t="shared" si="19"/>
        <v>-3646</v>
      </c>
      <c r="I31" s="49">
        <f t="shared" si="19"/>
        <v>76500</v>
      </c>
      <c r="J31" s="49">
        <f t="shared" si="19"/>
        <v>76500</v>
      </c>
      <c r="K31" s="49">
        <f t="shared" si="19"/>
        <v>76500</v>
      </c>
      <c r="L31" s="50">
        <f t="shared" si="19"/>
        <v>76500</v>
      </c>
      <c r="M31" s="50">
        <f t="shared" si="19"/>
        <v>76500</v>
      </c>
      <c r="O31" s="50">
        <f>SUM(C31:M31)</f>
        <v>2880349.6</v>
      </c>
      <c r="U31" s="51"/>
      <c r="V31" s="51"/>
      <c r="W31" s="51"/>
      <c r="X31" s="51"/>
      <c r="Y31" s="51"/>
      <c r="Z31" s="51"/>
    </row>
    <row r="32" ht="17.25" customHeight="1">
      <c r="A32" s="43" t="s">
        <v>165</v>
      </c>
      <c r="B32" s="52"/>
      <c r="C32" s="52">
        <f t="shared" ref="C32:M32" si="20">C31/C7*100%</f>
        <v>0.2997169591</v>
      </c>
      <c r="D32" s="52">
        <f t="shared" si="20"/>
        <v>0.2997169591</v>
      </c>
      <c r="E32" s="52">
        <f t="shared" si="20"/>
        <v>0.2997169591</v>
      </c>
      <c r="F32" s="52">
        <f t="shared" si="20"/>
        <v>0.2828518797</v>
      </c>
      <c r="G32" s="52">
        <f t="shared" si="20"/>
        <v>0.2997169591</v>
      </c>
      <c r="H32" s="52">
        <f t="shared" si="20"/>
        <v>-0.006733148661</v>
      </c>
      <c r="I32" s="52">
        <f t="shared" si="20"/>
        <v>0.51</v>
      </c>
      <c r="J32" s="52">
        <f t="shared" si="20"/>
        <v>0.51</v>
      </c>
      <c r="K32" s="52">
        <f t="shared" si="20"/>
        <v>0.51</v>
      </c>
      <c r="L32" s="52">
        <f t="shared" si="20"/>
        <v>0.51</v>
      </c>
      <c r="M32" s="52">
        <f t="shared" si="20"/>
        <v>0.51</v>
      </c>
      <c r="O32" s="52">
        <f>O31/O7*100%</f>
        <v>0.2961037882</v>
      </c>
      <c r="U32" s="15"/>
      <c r="V32" s="15"/>
      <c r="W32" s="15"/>
      <c r="X32" s="15"/>
      <c r="Y32" s="15"/>
      <c r="Z32" s="15"/>
    </row>
    <row r="33" ht="17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O33" s="17"/>
      <c r="U33" s="15"/>
      <c r="V33" s="15"/>
      <c r="W33" s="15"/>
      <c r="X33" s="15"/>
      <c r="Y33" s="15"/>
      <c r="Z33" s="15"/>
    </row>
    <row r="34" ht="17.25" customHeight="1">
      <c r="A34" s="10" t="s">
        <v>38</v>
      </c>
      <c r="B34" s="56"/>
      <c r="C34" s="56"/>
      <c r="D34" s="56"/>
      <c r="E34" s="57"/>
      <c r="F34" s="56"/>
      <c r="G34" s="56"/>
      <c r="H34" s="56"/>
      <c r="I34" s="56"/>
      <c r="J34" s="56"/>
      <c r="K34" s="56"/>
      <c r="L34" s="56"/>
      <c r="M34" s="56"/>
      <c r="O34" s="58"/>
      <c r="U34" s="15"/>
      <c r="V34" s="15"/>
      <c r="W34" s="15"/>
      <c r="X34" s="15"/>
      <c r="Y34" s="15"/>
      <c r="Z34" s="15"/>
    </row>
    <row r="35" ht="17.25" customHeight="1">
      <c r="A35" s="43" t="s">
        <v>166</v>
      </c>
      <c r="B35" s="24">
        <f>B4</f>
        <v>5200000</v>
      </c>
      <c r="C35" s="24">
        <f t="shared" ref="C35:M35" si="21">B36</f>
        <v>80000</v>
      </c>
      <c r="D35" s="24">
        <f t="shared" si="21"/>
        <v>592516</v>
      </c>
      <c r="E35" s="24">
        <f t="shared" si="21"/>
        <v>1105032</v>
      </c>
      <c r="F35" s="24">
        <f t="shared" si="21"/>
        <v>1617548</v>
      </c>
      <c r="G35" s="24">
        <f t="shared" si="21"/>
        <v>2068979.6</v>
      </c>
      <c r="H35" s="75">
        <f t="shared" si="21"/>
        <v>2581495.6</v>
      </c>
      <c r="I35" s="24">
        <f t="shared" si="21"/>
        <v>2577849.6</v>
      </c>
      <c r="J35" s="24">
        <f t="shared" si="21"/>
        <v>2654349.6</v>
      </c>
      <c r="K35" s="24">
        <f t="shared" si="21"/>
        <v>2730849.6</v>
      </c>
      <c r="L35" s="24">
        <f t="shared" si="21"/>
        <v>2807349.6</v>
      </c>
      <c r="M35" s="24">
        <f t="shared" si="21"/>
        <v>2883849.6</v>
      </c>
      <c r="O35" s="46">
        <f>B35</f>
        <v>5200000</v>
      </c>
      <c r="U35" s="15"/>
      <c r="V35" s="15"/>
      <c r="W35" s="15"/>
      <c r="X35" s="15"/>
      <c r="Y35" s="15"/>
      <c r="Z35" s="15"/>
    </row>
    <row r="36" ht="17.25" customHeight="1">
      <c r="A36" s="43" t="s">
        <v>167</v>
      </c>
      <c r="B36" s="76">
        <f>B4+B31</f>
        <v>80000</v>
      </c>
      <c r="C36" s="24">
        <f t="shared" ref="C36:M36" si="22">C35+C4+C31</f>
        <v>592516</v>
      </c>
      <c r="D36" s="24">
        <f t="shared" si="22"/>
        <v>1105032</v>
      </c>
      <c r="E36" s="24">
        <f t="shared" si="22"/>
        <v>1617548</v>
      </c>
      <c r="F36" s="24">
        <f t="shared" si="22"/>
        <v>2068979.6</v>
      </c>
      <c r="G36" s="24">
        <f t="shared" si="22"/>
        <v>2581495.6</v>
      </c>
      <c r="H36" s="24">
        <f t="shared" si="22"/>
        <v>2577849.6</v>
      </c>
      <c r="I36" s="24">
        <f t="shared" si="22"/>
        <v>2654349.6</v>
      </c>
      <c r="J36" s="24">
        <f t="shared" si="22"/>
        <v>2730849.6</v>
      </c>
      <c r="K36" s="24">
        <f t="shared" si="22"/>
        <v>2807349.6</v>
      </c>
      <c r="L36" s="24">
        <f t="shared" si="22"/>
        <v>2883849.6</v>
      </c>
      <c r="M36" s="24">
        <f t="shared" si="22"/>
        <v>2960349.6</v>
      </c>
      <c r="O36" s="46">
        <f>M36</f>
        <v>2960349.6</v>
      </c>
      <c r="U36" s="15"/>
      <c r="V36" s="15"/>
      <c r="W36" s="15"/>
      <c r="X36" s="15"/>
      <c r="Y36" s="15"/>
      <c r="Z36" s="15"/>
    </row>
    <row r="37" ht="17.25" customHeight="1">
      <c r="A37" s="43" t="s">
        <v>41</v>
      </c>
      <c r="B37" s="60">
        <f t="shared" ref="B37:M37" si="23">(B36-B35)/B35</f>
        <v>-0.9846153846</v>
      </c>
      <c r="C37" s="60">
        <f t="shared" si="23"/>
        <v>6.40645</v>
      </c>
      <c r="D37" s="60">
        <f t="shared" si="23"/>
        <v>0.864982549</v>
      </c>
      <c r="E37" s="60">
        <f t="shared" si="23"/>
        <v>0.4638019532</v>
      </c>
      <c r="F37" s="60">
        <f t="shared" si="23"/>
        <v>0.2790838974</v>
      </c>
      <c r="G37" s="60">
        <f t="shared" si="23"/>
        <v>0.2477143806</v>
      </c>
      <c r="H37" s="60">
        <f t="shared" si="23"/>
        <v>-0.001412359564</v>
      </c>
      <c r="I37" s="60">
        <f t="shared" si="23"/>
        <v>0.02967589731</v>
      </c>
      <c r="J37" s="60">
        <f t="shared" si="23"/>
        <v>0.02882061956</v>
      </c>
      <c r="K37" s="60">
        <f t="shared" si="23"/>
        <v>0.02801326005</v>
      </c>
      <c r="L37" s="60">
        <f t="shared" si="23"/>
        <v>0.02724990147</v>
      </c>
      <c r="M37" s="60">
        <f t="shared" si="23"/>
        <v>0.02652704219</v>
      </c>
      <c r="N37" s="60"/>
      <c r="O37" s="60">
        <f>(O36-O35)/O35</f>
        <v>-0.430702</v>
      </c>
      <c r="U37" s="15"/>
      <c r="V37" s="15"/>
      <c r="W37" s="15"/>
      <c r="X37" s="15"/>
      <c r="Y37" s="15"/>
      <c r="Z37" s="15"/>
    </row>
    <row r="38" ht="13.5" customHeight="1">
      <c r="A38" s="53"/>
      <c r="B38" s="53"/>
      <c r="C38" s="53"/>
      <c r="D38" s="53"/>
      <c r="U38" s="3"/>
      <c r="V38" s="3"/>
      <c r="W38" s="3"/>
      <c r="X38" s="3"/>
      <c r="Y38" s="3"/>
      <c r="Z38" s="3"/>
    </row>
    <row r="39" ht="13.5" customHeight="1">
      <c r="B39" s="53"/>
      <c r="C39" s="53"/>
      <c r="U39" s="3"/>
      <c r="V39" s="3"/>
      <c r="W39" s="3"/>
      <c r="X39" s="3"/>
      <c r="Y39" s="3"/>
      <c r="Z39" s="3"/>
    </row>
    <row r="40" ht="13.5" customHeight="1">
      <c r="B40" s="81"/>
      <c r="C40" s="82" t="s">
        <v>168</v>
      </c>
      <c r="U40" s="3"/>
      <c r="V40" s="3"/>
      <c r="W40" s="3"/>
      <c r="X40" s="3"/>
      <c r="Y40" s="3"/>
      <c r="Z40" s="3"/>
    </row>
    <row r="41" ht="13.5" customHeight="1">
      <c r="B41" s="53"/>
      <c r="C41" s="53"/>
      <c r="U41" s="3"/>
      <c r="V41" s="3"/>
      <c r="W41" s="3"/>
      <c r="X41" s="3"/>
      <c r="Y41" s="3"/>
      <c r="Z41" s="3"/>
    </row>
    <row r="42" ht="13.5" customHeight="1">
      <c r="B42" s="53"/>
      <c r="C42" s="53"/>
      <c r="U42" s="3"/>
      <c r="V42" s="3"/>
      <c r="W42" s="3"/>
      <c r="X42" s="3"/>
      <c r="Y42" s="3"/>
      <c r="Z42" s="3"/>
    </row>
    <row r="43" ht="33.75" customHeight="1">
      <c r="B43" s="53"/>
      <c r="C43" s="53"/>
      <c r="U43" s="3"/>
      <c r="V43" s="3"/>
      <c r="W43" s="3"/>
      <c r="X43" s="3"/>
      <c r="Y43" s="3"/>
      <c r="Z43" s="3"/>
    </row>
    <row r="44" ht="13.5" customHeight="1">
      <c r="B44" s="53"/>
      <c r="C44" s="53"/>
      <c r="U44" s="3"/>
      <c r="V44" s="3"/>
      <c r="W44" s="3"/>
      <c r="X44" s="3"/>
      <c r="Y44" s="3"/>
      <c r="Z44" s="3"/>
    </row>
    <row r="45" ht="13.5" customHeight="1">
      <c r="B45" s="53"/>
      <c r="C45" s="53"/>
      <c r="U45" s="3"/>
      <c r="V45" s="3"/>
      <c r="W45" s="3"/>
      <c r="X45" s="3"/>
      <c r="Y45" s="3"/>
      <c r="Z45" s="3"/>
    </row>
    <row r="46" ht="15.75" customHeight="1">
      <c r="B46" s="53"/>
      <c r="C46" s="53"/>
      <c r="U46" s="3"/>
      <c r="V46" s="3"/>
      <c r="W46" s="3"/>
      <c r="X46" s="3"/>
      <c r="Y46" s="3"/>
      <c r="Z46" s="3"/>
    </row>
    <row r="47" ht="15.75" customHeight="1">
      <c r="B47" s="53"/>
      <c r="C47" s="53"/>
      <c r="U47" s="3"/>
      <c r="V47" s="3"/>
      <c r="W47" s="3"/>
      <c r="X47" s="3"/>
      <c r="Y47" s="3"/>
      <c r="Z47" s="3"/>
    </row>
    <row r="48" ht="15.75" customHeight="1">
      <c r="B48" s="53"/>
      <c r="C48" s="53"/>
      <c r="U48" s="3"/>
      <c r="V48" s="3"/>
      <c r="W48" s="3"/>
      <c r="X48" s="3"/>
      <c r="Y48" s="3"/>
      <c r="Z48" s="3"/>
    </row>
    <row r="49" ht="15.75" customHeight="1">
      <c r="B49" s="53"/>
      <c r="C49" s="53"/>
      <c r="U49" s="3"/>
      <c r="V49" s="3"/>
      <c r="W49" s="3"/>
      <c r="X49" s="3"/>
      <c r="Y49" s="3"/>
      <c r="Z49" s="3"/>
    </row>
    <row r="50" ht="15.75" customHeight="1">
      <c r="B50" s="53"/>
      <c r="C50" s="53"/>
      <c r="U50" s="3"/>
      <c r="V50" s="3"/>
      <c r="W50" s="3"/>
      <c r="X50" s="3"/>
      <c r="Y50" s="3"/>
      <c r="Z50" s="3"/>
    </row>
    <row r="51" ht="15.75" customHeight="1">
      <c r="B51" s="53"/>
      <c r="C51" s="5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62"/>
      <c r="M55" s="6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64"/>
      <c r="M56" s="65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66"/>
      <c r="M57" s="6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67"/>
      <c r="M58" s="6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8">
    <mergeCell ref="D1:O1"/>
    <mergeCell ref="P2:T2"/>
    <mergeCell ref="D3:M3"/>
    <mergeCell ref="N3:N36"/>
    <mergeCell ref="P3:T51"/>
    <mergeCell ref="D6:M6"/>
    <mergeCell ref="A38:A51"/>
    <mergeCell ref="D38:O51"/>
  </mergeCells>
  <conditionalFormatting sqref="E35:G35 I35:M35">
    <cfRule type="cellIs" dxfId="0" priority="1" operator="lessThan">
      <formula>0</formula>
    </cfRule>
  </conditionalFormatting>
  <conditionalFormatting sqref="B31:M31">
    <cfRule type="cellIs" dxfId="1" priority="2" operator="lessThan">
      <formula>0</formula>
    </cfRule>
  </conditionalFormatting>
  <conditionalFormatting sqref="B31:M31">
    <cfRule type="cellIs" dxfId="2" priority="3" operator="between">
      <formula>0</formula>
      <formula>20000</formula>
    </cfRule>
  </conditionalFormatting>
  <conditionalFormatting sqref="B31:M31">
    <cfRule type="cellIs" dxfId="3" priority="4" operator="greaterThan">
      <formula>20000</formula>
    </cfRule>
  </conditionalFormatting>
  <conditionalFormatting sqref="C32:M32">
    <cfRule type="colorScale" priority="5">
      <colorScale>
        <cfvo type="min"/>
        <cfvo type="formula" val="0"/>
        <cfvo type="max"/>
        <color rgb="FFE67C73"/>
        <color rgb="FFFFFFFF"/>
        <color rgb="FF57BB8A"/>
      </colorScale>
    </cfRule>
  </conditionalFormatting>
  <conditionalFormatting sqref="D37:O37">
    <cfRule type="colorScale" priority="6">
      <colorScale>
        <cfvo type="min"/>
        <cfvo type="formula" val="0"/>
        <cfvo type="max"/>
        <color rgb="FFE67C73"/>
        <color rgb="FFFFFFFF"/>
        <color rgb="FF57BB8A"/>
      </colorScale>
    </cfRule>
  </conditionalFormatting>
  <hyperlinks>
    <hyperlink r:id="rId2" ref="C40"/>
  </hyperlinks>
  <printOptions/>
  <pageMargins bottom="0.75" footer="0.0" header="0.0" left="0.7" right="0.7" top="0.75"/>
  <pageSetup paperSize="9" orientation="portrait"/>
  <drawing r:id="rId3"/>
  <legacyDrawing r:id="rId4"/>
</worksheet>
</file>