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tabRatio="494"/>
  </bookViews>
  <sheets>
    <sheet name="Лист2" sheetId="2" r:id="rId1"/>
  </sheets>
  <definedNames>
    <definedName name="_xlnm.Print_Area" localSheetId="0">Лист2!$A$1:$Y$27</definedName>
  </definedNames>
  <calcPr calcId="145621"/>
</workbook>
</file>

<file path=xl/calcChain.xml><?xml version="1.0" encoding="utf-8"?>
<calcChain xmlns="http://schemas.openxmlformats.org/spreadsheetml/2006/main">
  <c r="W12" i="2" l="1"/>
  <c r="W17" i="2"/>
  <c r="W19" i="2"/>
  <c r="W21" i="2"/>
  <c r="W23" i="2"/>
  <c r="W24" i="2"/>
  <c r="W26" i="2"/>
  <c r="W22" i="2"/>
  <c r="W14" i="2"/>
  <c r="P9" i="2"/>
  <c r="N30" i="2"/>
  <c r="N31" i="2"/>
  <c r="N32" i="2"/>
  <c r="M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W16" i="2"/>
  <c r="W13" i="2"/>
  <c r="W9" i="2"/>
  <c r="W10" i="2"/>
  <c r="W25" i="2"/>
  <c r="W20" i="2"/>
  <c r="W18" i="2"/>
  <c r="W15" i="2"/>
  <c r="W11" i="2"/>
  <c r="U9" i="2"/>
  <c r="U10" i="2"/>
  <c r="U18" i="2"/>
  <c r="U11" i="2"/>
  <c r="U23" i="2"/>
  <c r="U26" i="2"/>
  <c r="U24" i="2"/>
  <c r="U22" i="2"/>
  <c r="U21" i="2"/>
  <c r="U20" i="2"/>
  <c r="U19" i="2"/>
  <c r="U17" i="2"/>
  <c r="U16" i="2"/>
  <c r="U15" i="2"/>
  <c r="U14" i="2"/>
  <c r="U12" i="2"/>
  <c r="Y27" i="2" l="1"/>
  <c r="W27" i="2"/>
  <c r="U27" i="2"/>
  <c r="L27" i="2"/>
  <c r="H26" i="2" l="1"/>
  <c r="S26" i="2" s="1"/>
  <c r="H25" i="2"/>
  <c r="S25" i="2" s="1"/>
  <c r="H24" i="2"/>
  <c r="S24" i="2" s="1"/>
  <c r="H23" i="2"/>
  <c r="S23" i="2" s="1"/>
  <c r="H22" i="2"/>
  <c r="S22" i="2" s="1"/>
  <c r="H21" i="2"/>
  <c r="S21" i="2" s="1"/>
  <c r="H20" i="2"/>
  <c r="S20" i="2" s="1"/>
  <c r="H19" i="2"/>
  <c r="S19" i="2" s="1"/>
  <c r="H18" i="2"/>
  <c r="S18" i="2" s="1"/>
  <c r="H17" i="2"/>
  <c r="S17" i="2" s="1"/>
  <c r="H16" i="2"/>
  <c r="S16" i="2" s="1"/>
  <c r="H15" i="2"/>
  <c r="S15" i="2" s="1"/>
  <c r="H14" i="2"/>
  <c r="S14" i="2" s="1"/>
  <c r="H13" i="2"/>
  <c r="S13" i="2" s="1"/>
  <c r="H12" i="2"/>
  <c r="S12" i="2" s="1"/>
  <c r="H11" i="2"/>
  <c r="S11" i="2" s="1"/>
  <c r="H10" i="2"/>
  <c r="S10" i="2" s="1"/>
  <c r="H9" i="2"/>
  <c r="S9" i="2" l="1"/>
  <c r="S27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R9" i="2" l="1"/>
  <c r="K9" i="2"/>
  <c r="R11" i="2"/>
  <c r="K11" i="2"/>
  <c r="R15" i="2"/>
  <c r="K15" i="2"/>
  <c r="R17" i="2"/>
  <c r="K17" i="2"/>
  <c r="R21" i="2"/>
  <c r="K21" i="2"/>
  <c r="R23" i="2"/>
  <c r="K23" i="2"/>
  <c r="R10" i="2"/>
  <c r="K10" i="2"/>
  <c r="R12" i="2"/>
  <c r="K12" i="2"/>
  <c r="R14" i="2"/>
  <c r="K14" i="2"/>
  <c r="R16" i="2"/>
  <c r="K16" i="2"/>
  <c r="R18" i="2"/>
  <c r="K18" i="2"/>
  <c r="R20" i="2"/>
  <c r="K20" i="2"/>
  <c r="R22" i="2"/>
  <c r="K22" i="2"/>
  <c r="R24" i="2"/>
  <c r="K24" i="2"/>
  <c r="R26" i="2"/>
  <c r="K26" i="2"/>
  <c r="R13" i="2"/>
  <c r="K13" i="2"/>
  <c r="R19" i="2"/>
  <c r="K19" i="2"/>
  <c r="R25" i="2"/>
  <c r="K25" i="2"/>
  <c r="R27" i="2"/>
  <c r="F9" i="2"/>
  <c r="I9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I27" i="2" l="1"/>
  <c r="K27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9" i="2"/>
  <c r="O9" i="2" s="1"/>
  <c r="V9" i="2" l="1"/>
  <c r="X9" i="2"/>
  <c r="O27" i="2" l="1"/>
  <c r="J27" i="2"/>
  <c r="E27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9" i="2"/>
  <c r="T9" i="2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V24" i="2" l="1"/>
  <c r="T24" i="2"/>
  <c r="V20" i="2"/>
  <c r="T20" i="2"/>
  <c r="V18" i="2"/>
  <c r="T18" i="2"/>
  <c r="V14" i="2"/>
  <c r="T14" i="2"/>
  <c r="T25" i="2"/>
  <c r="V25" i="2"/>
  <c r="T23" i="2"/>
  <c r="V23" i="2"/>
  <c r="T21" i="2"/>
  <c r="V21" i="2"/>
  <c r="T19" i="2"/>
  <c r="V19" i="2"/>
  <c r="T17" i="2"/>
  <c r="V17" i="2"/>
  <c r="T15" i="2"/>
  <c r="V15" i="2"/>
  <c r="T13" i="2"/>
  <c r="V13" i="2"/>
  <c r="V11" i="2"/>
  <c r="T11" i="2"/>
  <c r="V26" i="2"/>
  <c r="T26" i="2"/>
  <c r="V22" i="2"/>
  <c r="T22" i="2"/>
  <c r="V16" i="2"/>
  <c r="T16" i="2"/>
  <c r="V12" i="2"/>
  <c r="T12" i="2"/>
  <c r="V10" i="2"/>
  <c r="V27" i="2" s="1"/>
  <c r="T10" i="2"/>
  <c r="X23" i="2"/>
  <c r="X19" i="2"/>
  <c r="X15" i="2"/>
  <c r="X26" i="2"/>
  <c r="X24" i="2"/>
  <c r="X22" i="2"/>
  <c r="X20" i="2"/>
  <c r="X18" i="2"/>
  <c r="X16" i="2"/>
  <c r="X14" i="2"/>
  <c r="X12" i="2"/>
  <c r="X10" i="2"/>
  <c r="X25" i="2"/>
  <c r="X21" i="2"/>
  <c r="X17" i="2"/>
  <c r="X13" i="2"/>
  <c r="X11" i="2"/>
  <c r="P27" i="2"/>
  <c r="Q27" i="2"/>
  <c r="X27" i="2" l="1"/>
  <c r="T27" i="2"/>
</calcChain>
</file>

<file path=xl/sharedStrings.xml><?xml version="1.0" encoding="utf-8"?>
<sst xmlns="http://schemas.openxmlformats.org/spreadsheetml/2006/main" count="57" uniqueCount="54">
  <si>
    <t>Наименование муниципального образования</t>
  </si>
  <si>
    <t>Бокситогорский муниципальный район</t>
  </si>
  <si>
    <t>Волосовский муниципальный район</t>
  </si>
  <si>
    <t>Волховский муниципальный район</t>
  </si>
  <si>
    <t>Всеволожский муниципальный район</t>
  </si>
  <si>
    <t>Гатчинский муниципальный район</t>
  </si>
  <si>
    <t>Кингисеппский муниципальный район</t>
  </si>
  <si>
    <t>Киришский муниципальный район</t>
  </si>
  <si>
    <t>Кировский муниципальный район</t>
  </si>
  <si>
    <t>Лодейнопольский муниципальный район</t>
  </si>
  <si>
    <t>Ломоносовский муниципальный район</t>
  </si>
  <si>
    <t>Лужский муниципальный район</t>
  </si>
  <si>
    <t>Подпорожский муниципальный район</t>
  </si>
  <si>
    <t>Приозерский муниципальный район</t>
  </si>
  <si>
    <t>Сланцевский муниципальный район</t>
  </si>
  <si>
    <t>Сосновоборский городской округ</t>
  </si>
  <si>
    <t>Тихвинский муниципальный район</t>
  </si>
  <si>
    <t>Количество безнадзорных животных по результатам заявок 09.2013</t>
  </si>
  <si>
    <t>Численность работников на осуществление ОГП (В соответствии с 38-оз 10.06.2014)</t>
  </si>
  <si>
    <t>ФОТ на год (оклад спец-та 1 кат. в соответсвии с 12-оз от 25.02.2005) умноженное на 55,7 (годовой коэффициент выплат) + 30,2% (сумма начислений на оплату труда)</t>
  </si>
  <si>
    <t>ИТОГО:</t>
  </si>
  <si>
    <t>гр. 6*6989</t>
  </si>
  <si>
    <t>ФОТ*1,1 (где 1,1 - доля текущих расходов от ФОТ)</t>
  </si>
  <si>
    <t>количество собак, подлежащих отлову в 2015 году</t>
  </si>
  <si>
    <t>количество собак, подлежащих отлову в 2016 году</t>
  </si>
  <si>
    <t>количество собак, подлежащих отлову в 2017году</t>
  </si>
  <si>
    <t>расчетная стоимость услуг по отлову, транспортировке, содержанию , учету, стерилизации в соответствии с приказом Комитета по жкх от 14.08.2014 № 51 (6989 рублей) 2015 год</t>
  </si>
  <si>
    <t>расчетная стоимость услуг по отлову, транспортировке, содержанию , учету, стерилизации в соответствии с приказом Комитета по жкх от 14.08.2014 № 51 (6989 рублей) 2016 год</t>
  </si>
  <si>
    <t>расчетная стоимость услуг по отлову, транспортировке, содержанию , учету, стерилизации в соответствии с приказом Комитета по жкх от 14.08.2014 № 51 (6989 рублей) 2017 год</t>
  </si>
  <si>
    <t>реально возможный показатель отлова животных за 2015 год (16,9995%)</t>
  </si>
  <si>
    <t>реально возможный показатель отлова животных за 2016 год (36,31003%)</t>
  </si>
  <si>
    <t>реально возможный показатель отлова животных за 2017 год (36,31003%)</t>
  </si>
  <si>
    <t>653780,421 (з/п спец. 1 кат. На год )*гр.9</t>
  </si>
  <si>
    <t>гр.10*1,1</t>
  </si>
  <si>
    <t>гр. 7*6989</t>
  </si>
  <si>
    <t>гр. 8*6989</t>
  </si>
  <si>
    <t>гр. 11+ гр.12</t>
  </si>
  <si>
    <t>гр. 11+ гр.13</t>
  </si>
  <si>
    <t>гр. 11+ гр.14</t>
  </si>
  <si>
    <t>Выборгский район</t>
  </si>
  <si>
    <t>Тосненский район</t>
  </si>
  <si>
    <t>Сумма в бюджет на 2015 год                          (тыс. руб.)</t>
  </si>
  <si>
    <t>Сумма в бюджет на 2016 год                          (тыс. руб.)</t>
  </si>
  <si>
    <t>гр. 2*гр.3/100</t>
  </si>
  <si>
    <t>расчетное количество  в 2015 году</t>
  </si>
  <si>
    <t>расчетное количество  в 2016 и 2017 годах</t>
  </si>
  <si>
    <t>расчетная сумма в бюджет на 2015 год                          (руб.)</t>
  </si>
  <si>
    <t>Расчетная сумма в бюджет на 2016 год               (руб.)</t>
  </si>
  <si>
    <t>Расчетная сумма в бюджет на 2017 год               (руб.)</t>
  </si>
  <si>
    <t>Сумма в бюджет на 2017 год                          (тыс. руб.)</t>
  </si>
  <si>
    <t>гр.2*гр.4/100</t>
  </si>
  <si>
    <t>гр.2*гр.5/100</t>
  </si>
  <si>
    <t>Расчет Субвенции бюджетам мцниципальных образований на осуществление  отдельных государственных полномочий Ленинградской области в сфере обращения с безнадзорными животными на территории Ленинградской области на 2015 год и на плановый период 2016 и 2017 годов</t>
  </si>
  <si>
    <t>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</si>
</sst>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&quot;р.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" fontId="0" fillId="0" borderId="1" xfId="0" applyNumberFormat="1" applyFill="1" applyBorder="1" applyAlignment="1"/>
    <xf numFmtId="4" fontId="3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/>
    <xf numFmtId="0" fontId="3" fillId="0" borderId="1" xfId="0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zoomScale="90" zoomScaleNormal="90" workbookViewId="0">
      <selection activeCell="Y5" sqref="Y5"/>
    </sheetView>
  </sheetViews>
  <sheetFormatPr defaultRowHeight="15" x14ac:dyDescent="0.25"/>
  <cols>
    <col min="1" max="1" width="14.28515625" customWidth="1"/>
    <col min="4" max="4" width="6.7109375" customWidth="1"/>
    <col min="5" max="5" width="15" customWidth="1"/>
    <col min="6" max="8" width="15.5703125" customWidth="1"/>
    <col min="9" max="9" width="12.5703125" hidden="1" customWidth="1"/>
    <col min="10" max="10" width="15.42578125" customWidth="1"/>
    <col min="11" max="11" width="13.140625" hidden="1" customWidth="1"/>
    <col min="12" max="13" width="15.5703125" customWidth="1"/>
    <col min="14" max="14" width="14.140625" customWidth="1"/>
    <col min="15" max="15" width="16.140625" customWidth="1"/>
    <col min="16" max="16" width="14" customWidth="1"/>
    <col min="17" max="17" width="16.5703125" customWidth="1"/>
    <col min="18" max="18" width="17.5703125" customWidth="1"/>
    <col min="19" max="19" width="18" customWidth="1"/>
    <col min="20" max="20" width="16" hidden="1" customWidth="1"/>
    <col min="21" max="21" width="13.5703125" customWidth="1"/>
    <col min="22" max="22" width="0.140625" customWidth="1"/>
    <col min="23" max="23" width="14.28515625" customWidth="1"/>
    <col min="24" max="24" width="15.42578125" hidden="1" customWidth="1"/>
    <col min="25" max="25" width="13.42578125" customWidth="1"/>
  </cols>
  <sheetData>
    <row r="1" spans="1:25" ht="62.25" customHeight="1" x14ac:dyDescent="0.25">
      <c r="G1" s="19" t="s">
        <v>52</v>
      </c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5" ht="21" customHeight="1" x14ac:dyDescent="0.3">
      <c r="L2" s="16"/>
    </row>
    <row r="3" spans="1:25" ht="3" customHeight="1" x14ac:dyDescent="0.25"/>
    <row r="4" spans="1:25" ht="18.75" hidden="1" x14ac:dyDescent="0.3">
      <c r="G4" s="16"/>
    </row>
    <row r="5" spans="1:25" x14ac:dyDescent="0.25">
      <c r="Y5" s="29" t="s">
        <v>53</v>
      </c>
    </row>
    <row r="6" spans="1:25" x14ac:dyDescent="0.25">
      <c r="A6" s="23">
        <v>1</v>
      </c>
      <c r="B6" s="24"/>
      <c r="C6" s="24"/>
      <c r="D6" s="24"/>
      <c r="E6" s="1">
        <v>2</v>
      </c>
      <c r="F6" s="1">
        <v>3</v>
      </c>
      <c r="G6" s="1">
        <v>4</v>
      </c>
      <c r="H6" s="1">
        <v>5</v>
      </c>
      <c r="I6" s="6"/>
      <c r="J6" s="1">
        <v>6</v>
      </c>
      <c r="K6" s="6"/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  <c r="S6" s="1">
        <v>14</v>
      </c>
      <c r="T6" s="1">
        <v>15</v>
      </c>
      <c r="U6" s="6">
        <v>15</v>
      </c>
      <c r="V6" s="1">
        <v>1</v>
      </c>
      <c r="W6" s="6">
        <v>16</v>
      </c>
      <c r="X6" s="1">
        <v>17</v>
      </c>
      <c r="Y6" s="6">
        <v>17</v>
      </c>
    </row>
    <row r="7" spans="1:25" ht="45" x14ac:dyDescent="0.25">
      <c r="A7" s="22"/>
      <c r="B7" s="22"/>
      <c r="C7" s="22"/>
      <c r="D7" s="22"/>
      <c r="E7" s="4"/>
      <c r="F7" s="1"/>
      <c r="G7" s="1"/>
      <c r="H7" s="1"/>
      <c r="I7" s="6"/>
      <c r="J7" s="1" t="s">
        <v>43</v>
      </c>
      <c r="K7" s="6"/>
      <c r="L7" s="1" t="s">
        <v>50</v>
      </c>
      <c r="M7" s="1" t="s">
        <v>51</v>
      </c>
      <c r="N7" s="1"/>
      <c r="O7" s="17" t="s">
        <v>32</v>
      </c>
      <c r="P7" s="1" t="s">
        <v>33</v>
      </c>
      <c r="Q7" s="1" t="s">
        <v>21</v>
      </c>
      <c r="R7" s="1" t="s">
        <v>34</v>
      </c>
      <c r="S7" s="1" t="s">
        <v>35</v>
      </c>
      <c r="T7" s="1" t="s">
        <v>36</v>
      </c>
      <c r="U7" s="18" t="s">
        <v>36</v>
      </c>
      <c r="V7" s="1" t="s">
        <v>37</v>
      </c>
      <c r="W7" s="18" t="s">
        <v>37</v>
      </c>
      <c r="X7" s="1" t="s">
        <v>38</v>
      </c>
      <c r="Y7" s="18" t="s">
        <v>38</v>
      </c>
    </row>
    <row r="8" spans="1:25" ht="195" customHeight="1" x14ac:dyDescent="0.25">
      <c r="A8" s="26" t="s">
        <v>0</v>
      </c>
      <c r="B8" s="27"/>
      <c r="C8" s="27"/>
      <c r="D8" s="28"/>
      <c r="E8" s="2" t="s">
        <v>17</v>
      </c>
      <c r="F8" s="2" t="s">
        <v>29</v>
      </c>
      <c r="G8" s="2" t="s">
        <v>30</v>
      </c>
      <c r="H8" s="2" t="s">
        <v>31</v>
      </c>
      <c r="I8" s="2" t="s">
        <v>44</v>
      </c>
      <c r="J8" s="2" t="s">
        <v>23</v>
      </c>
      <c r="K8" s="2" t="s">
        <v>45</v>
      </c>
      <c r="L8" s="2" t="s">
        <v>24</v>
      </c>
      <c r="M8" s="2" t="s">
        <v>25</v>
      </c>
      <c r="N8" s="2" t="s">
        <v>18</v>
      </c>
      <c r="O8" s="2" t="s">
        <v>19</v>
      </c>
      <c r="P8" s="2" t="s">
        <v>22</v>
      </c>
      <c r="Q8" s="2" t="s">
        <v>26</v>
      </c>
      <c r="R8" s="2" t="s">
        <v>27</v>
      </c>
      <c r="S8" s="2" t="s">
        <v>28</v>
      </c>
      <c r="T8" s="2" t="s">
        <v>46</v>
      </c>
      <c r="U8" s="2" t="s">
        <v>41</v>
      </c>
      <c r="V8" s="2" t="s">
        <v>47</v>
      </c>
      <c r="W8" s="2" t="s">
        <v>42</v>
      </c>
      <c r="X8" s="2" t="s">
        <v>48</v>
      </c>
      <c r="Y8" s="2" t="s">
        <v>49</v>
      </c>
    </row>
    <row r="9" spans="1:25" x14ac:dyDescent="0.25">
      <c r="A9" s="20" t="s">
        <v>1</v>
      </c>
      <c r="B9" s="20"/>
      <c r="C9" s="20"/>
      <c r="D9" s="20"/>
      <c r="E9" s="8">
        <v>311</v>
      </c>
      <c r="F9" s="8">
        <f>F30</f>
        <v>16.999500000000001</v>
      </c>
      <c r="G9" s="8">
        <f>G30</f>
        <v>36.310029999999998</v>
      </c>
      <c r="H9" s="8">
        <f>H30</f>
        <v>36.310029999999998</v>
      </c>
      <c r="I9" s="9">
        <f>E9*F9/100</f>
        <v>52.868445000000001</v>
      </c>
      <c r="J9" s="8">
        <v>53</v>
      </c>
      <c r="K9" s="14">
        <f>E9*G9/100</f>
        <v>112.92419329999998</v>
      </c>
      <c r="L9" s="8">
        <v>113</v>
      </c>
      <c r="M9" s="8">
        <v>113</v>
      </c>
      <c r="N9" s="5">
        <f t="shared" ref="N9:N26" si="0">IF(AND(E9&gt;=1500),1,IF(AND(E9&gt;=1000,E9&lt;1500),0.8,IF(AND(E9&gt;=600,E9&lt;1000),0.6,IF(AND(E9&gt;=400,E9&lt;600),0.4,IF(AND(E9&gt;=100,E9&lt;400),0.2,IF(AND(E9&lt;100),0.1))))))</f>
        <v>0.2</v>
      </c>
      <c r="O9" s="3">
        <f t="shared" ref="O9:O26" si="1">653780.421*N9</f>
        <v>130756.0842</v>
      </c>
      <c r="P9" s="3">
        <f>O9+(O9*0.1)</f>
        <v>143831.69261999999</v>
      </c>
      <c r="Q9" s="3">
        <f>J9*6989</f>
        <v>370417</v>
      </c>
      <c r="R9" s="3">
        <f>L9*6989</f>
        <v>789757</v>
      </c>
      <c r="S9" s="3">
        <f>M9*6989</f>
        <v>789757</v>
      </c>
      <c r="T9" s="3">
        <f t="shared" ref="T9:T26" si="2">P9+Q9</f>
        <v>514248.69261999999</v>
      </c>
      <c r="U9" s="3">
        <f>514.2+0.3</f>
        <v>514.5</v>
      </c>
      <c r="V9" s="3">
        <f t="shared" ref="V9:V26" si="3">P9+R9</f>
        <v>933588.69261999999</v>
      </c>
      <c r="W9" s="3">
        <f>934.1</f>
        <v>934.1</v>
      </c>
      <c r="X9" s="3">
        <f t="shared" ref="X9:X26" si="4">P9+S9</f>
        <v>933588.69261999999</v>
      </c>
      <c r="Y9" s="3">
        <f>934.1</f>
        <v>934.1</v>
      </c>
    </row>
    <row r="10" spans="1:25" x14ac:dyDescent="0.25">
      <c r="A10" s="20" t="s">
        <v>2</v>
      </c>
      <c r="B10" s="20"/>
      <c r="C10" s="20"/>
      <c r="D10" s="20"/>
      <c r="E10" s="8">
        <v>310</v>
      </c>
      <c r="F10" s="8">
        <f>F30</f>
        <v>16.999500000000001</v>
      </c>
      <c r="G10" s="8">
        <f>G30</f>
        <v>36.310029999999998</v>
      </c>
      <c r="H10" s="8">
        <f>H30</f>
        <v>36.310029999999998</v>
      </c>
      <c r="I10" s="9">
        <f>E10*F10/100</f>
        <v>52.698450000000001</v>
      </c>
      <c r="J10" s="8">
        <v>53</v>
      </c>
      <c r="K10" s="14">
        <f t="shared" ref="K10:K26" si="5">E10*G10/100</f>
        <v>112.561093</v>
      </c>
      <c r="L10" s="8">
        <v>113</v>
      </c>
      <c r="M10" s="8">
        <v>113</v>
      </c>
      <c r="N10" s="5">
        <f t="shared" si="0"/>
        <v>0.2</v>
      </c>
      <c r="O10" s="3">
        <f t="shared" si="1"/>
        <v>130756.0842</v>
      </c>
      <c r="P10" s="3">
        <f t="shared" ref="P10:P26" si="6">O10+(O10*0.1)</f>
        <v>143831.69261999999</v>
      </c>
      <c r="Q10" s="3">
        <f t="shared" ref="Q10:Q26" si="7">J10*6989</f>
        <v>370417</v>
      </c>
      <c r="R10" s="3">
        <f t="shared" ref="R10:R26" si="8">L10*6989</f>
        <v>789757</v>
      </c>
      <c r="S10" s="3">
        <f t="shared" ref="S10:S26" si="9">M10*6989</f>
        <v>789757</v>
      </c>
      <c r="T10" s="3">
        <f t="shared" si="2"/>
        <v>514248.69261999999</v>
      </c>
      <c r="U10" s="3">
        <f>514.2+0.1</f>
        <v>514.30000000000007</v>
      </c>
      <c r="V10" s="3">
        <f t="shared" si="3"/>
        <v>933588.69261999999</v>
      </c>
      <c r="W10" s="3">
        <f>934</f>
        <v>934</v>
      </c>
      <c r="X10" s="3">
        <f t="shared" si="4"/>
        <v>933588.69261999999</v>
      </c>
      <c r="Y10" s="3">
        <f>934</f>
        <v>934</v>
      </c>
    </row>
    <row r="11" spans="1:25" x14ac:dyDescent="0.25">
      <c r="A11" s="20" t="s">
        <v>3</v>
      </c>
      <c r="B11" s="20"/>
      <c r="C11" s="20"/>
      <c r="D11" s="20"/>
      <c r="E11" s="8">
        <v>400</v>
      </c>
      <c r="F11" s="8">
        <f>F30</f>
        <v>16.999500000000001</v>
      </c>
      <c r="G11" s="8">
        <f>G30</f>
        <v>36.310029999999998</v>
      </c>
      <c r="H11" s="8">
        <f>H30</f>
        <v>36.310029999999998</v>
      </c>
      <c r="I11" s="9">
        <f t="shared" ref="I11:I26" si="10">E11*F11/100</f>
        <v>67.998000000000005</v>
      </c>
      <c r="J11" s="8">
        <v>68</v>
      </c>
      <c r="K11" s="14">
        <f t="shared" si="5"/>
        <v>145.24011999999999</v>
      </c>
      <c r="L11" s="8">
        <v>145</v>
      </c>
      <c r="M11" s="8">
        <v>145</v>
      </c>
      <c r="N11" s="5">
        <f t="shared" si="0"/>
        <v>0.4</v>
      </c>
      <c r="O11" s="3">
        <f t="shared" si="1"/>
        <v>261512.1684</v>
      </c>
      <c r="P11" s="3">
        <f t="shared" si="6"/>
        <v>287663.38523999997</v>
      </c>
      <c r="Q11" s="3">
        <f t="shared" si="7"/>
        <v>475252</v>
      </c>
      <c r="R11" s="3">
        <f t="shared" si="8"/>
        <v>1013405</v>
      </c>
      <c r="S11" s="3">
        <f t="shared" si="9"/>
        <v>1013405</v>
      </c>
      <c r="T11" s="3">
        <f t="shared" si="2"/>
        <v>762915.38523999997</v>
      </c>
      <c r="U11" s="3">
        <f>762.9+0.1</f>
        <v>763</v>
      </c>
      <c r="V11" s="3">
        <f t="shared" si="3"/>
        <v>1301068.38524</v>
      </c>
      <c r="W11" s="3">
        <f>1301</f>
        <v>1301</v>
      </c>
      <c r="X11" s="3">
        <f t="shared" si="4"/>
        <v>1301068.38524</v>
      </c>
      <c r="Y11" s="3">
        <f>1301</f>
        <v>1301</v>
      </c>
    </row>
    <row r="12" spans="1:25" x14ac:dyDescent="0.25">
      <c r="A12" s="20" t="s">
        <v>4</v>
      </c>
      <c r="B12" s="20"/>
      <c r="C12" s="20"/>
      <c r="D12" s="20"/>
      <c r="E12" s="8">
        <v>1150</v>
      </c>
      <c r="F12" s="8">
        <f>F30</f>
        <v>16.999500000000001</v>
      </c>
      <c r="G12" s="8">
        <f>G30</f>
        <v>36.310029999999998</v>
      </c>
      <c r="H12" s="8">
        <f>H30</f>
        <v>36.310029999999998</v>
      </c>
      <c r="I12" s="9">
        <f t="shared" si="10"/>
        <v>195.49425000000002</v>
      </c>
      <c r="J12" s="8">
        <v>195</v>
      </c>
      <c r="K12" s="14">
        <f t="shared" si="5"/>
        <v>417.56534499999992</v>
      </c>
      <c r="L12" s="8">
        <v>417</v>
      </c>
      <c r="M12" s="8">
        <v>417</v>
      </c>
      <c r="N12" s="5">
        <f t="shared" si="0"/>
        <v>0.8</v>
      </c>
      <c r="O12" s="3">
        <f t="shared" si="1"/>
        <v>523024.33679999999</v>
      </c>
      <c r="P12" s="3">
        <f t="shared" si="6"/>
        <v>575326.77047999995</v>
      </c>
      <c r="Q12" s="3">
        <f t="shared" si="7"/>
        <v>1362855</v>
      </c>
      <c r="R12" s="3">
        <f t="shared" si="8"/>
        <v>2914413</v>
      </c>
      <c r="S12" s="3">
        <f t="shared" si="9"/>
        <v>2914413</v>
      </c>
      <c r="T12" s="3">
        <f t="shared" si="2"/>
        <v>1938181.7704799999</v>
      </c>
      <c r="U12" s="3">
        <f>1938.2</f>
        <v>1938.2</v>
      </c>
      <c r="V12" s="3">
        <f t="shared" si="3"/>
        <v>3489739.7704799999</v>
      </c>
      <c r="W12" s="3">
        <f>3489.74+0.16</f>
        <v>3489.8999999999996</v>
      </c>
      <c r="X12" s="3">
        <f t="shared" si="4"/>
        <v>3489739.7704799999</v>
      </c>
      <c r="Y12" s="3">
        <f>3489.74+0.06</f>
        <v>3489.7999999999997</v>
      </c>
    </row>
    <row r="13" spans="1:25" x14ac:dyDescent="0.25">
      <c r="A13" s="21" t="s">
        <v>39</v>
      </c>
      <c r="B13" s="20"/>
      <c r="C13" s="20"/>
      <c r="D13" s="20"/>
      <c r="E13" s="8">
        <v>1100</v>
      </c>
      <c r="F13" s="8">
        <f>F30</f>
        <v>16.999500000000001</v>
      </c>
      <c r="G13" s="8">
        <f>G30</f>
        <v>36.310029999999998</v>
      </c>
      <c r="H13" s="8">
        <f>H30</f>
        <v>36.310029999999998</v>
      </c>
      <c r="I13" s="9">
        <f t="shared" si="10"/>
        <v>186.99450000000002</v>
      </c>
      <c r="J13" s="8">
        <v>187</v>
      </c>
      <c r="K13" s="14">
        <f t="shared" si="5"/>
        <v>399.41032999999993</v>
      </c>
      <c r="L13" s="8">
        <v>399</v>
      </c>
      <c r="M13" s="8">
        <v>399</v>
      </c>
      <c r="N13" s="5">
        <f t="shared" si="0"/>
        <v>0.8</v>
      </c>
      <c r="O13" s="3">
        <f t="shared" si="1"/>
        <v>523024.33679999999</v>
      </c>
      <c r="P13" s="3">
        <f t="shared" si="6"/>
        <v>575326.77047999995</v>
      </c>
      <c r="Q13" s="3">
        <f t="shared" si="7"/>
        <v>1306943</v>
      </c>
      <c r="R13" s="3">
        <f t="shared" si="8"/>
        <v>2788611</v>
      </c>
      <c r="S13" s="3">
        <f t="shared" si="9"/>
        <v>2788611</v>
      </c>
      <c r="T13" s="3">
        <f t="shared" si="2"/>
        <v>1882269.7704799999</v>
      </c>
      <c r="U13" s="3">
        <v>1882.3</v>
      </c>
      <c r="V13" s="3">
        <f t="shared" si="3"/>
        <v>3363937.7704799999</v>
      </c>
      <c r="W13" s="3">
        <f>3363.94+0.06</f>
        <v>3364</v>
      </c>
      <c r="X13" s="3">
        <f t="shared" si="4"/>
        <v>3363937.7704799999</v>
      </c>
      <c r="Y13" s="3">
        <f>3363.94+0.06</f>
        <v>3364</v>
      </c>
    </row>
    <row r="14" spans="1:25" x14ac:dyDescent="0.25">
      <c r="A14" s="20" t="s">
        <v>5</v>
      </c>
      <c r="B14" s="20"/>
      <c r="C14" s="20"/>
      <c r="D14" s="20"/>
      <c r="E14" s="8">
        <v>1200</v>
      </c>
      <c r="F14" s="8">
        <f>F30</f>
        <v>16.999500000000001</v>
      </c>
      <c r="G14" s="8">
        <f>G30</f>
        <v>36.310029999999998</v>
      </c>
      <c r="H14" s="8">
        <f>H30</f>
        <v>36.310029999999998</v>
      </c>
      <c r="I14" s="9">
        <f t="shared" si="10"/>
        <v>203.99400000000003</v>
      </c>
      <c r="J14" s="8">
        <v>204</v>
      </c>
      <c r="K14" s="14">
        <f t="shared" si="5"/>
        <v>435.72036000000003</v>
      </c>
      <c r="L14" s="8">
        <v>436</v>
      </c>
      <c r="M14" s="8">
        <v>436</v>
      </c>
      <c r="N14" s="5">
        <f t="shared" si="0"/>
        <v>0.8</v>
      </c>
      <c r="O14" s="3">
        <f t="shared" si="1"/>
        <v>523024.33679999999</v>
      </c>
      <c r="P14" s="3">
        <f t="shared" si="6"/>
        <v>575326.77047999995</v>
      </c>
      <c r="Q14" s="3">
        <f t="shared" si="7"/>
        <v>1425756</v>
      </c>
      <c r="R14" s="3">
        <f t="shared" si="8"/>
        <v>3047204</v>
      </c>
      <c r="S14" s="3">
        <f t="shared" si="9"/>
        <v>3047204</v>
      </c>
      <c r="T14" s="3">
        <f t="shared" si="2"/>
        <v>2001082.7704799999</v>
      </c>
      <c r="U14" s="3">
        <f>2001.1</f>
        <v>2001.1</v>
      </c>
      <c r="V14" s="3">
        <f t="shared" si="3"/>
        <v>3622530.7704799999</v>
      </c>
      <c r="W14" s="3">
        <f>3622.53-0.03</f>
        <v>3622.5</v>
      </c>
      <c r="X14" s="3">
        <f t="shared" si="4"/>
        <v>3622530.7704799999</v>
      </c>
      <c r="Y14" s="3">
        <f>3622.53</f>
        <v>3622.53</v>
      </c>
    </row>
    <row r="15" spans="1:25" x14ac:dyDescent="0.25">
      <c r="A15" s="20" t="s">
        <v>6</v>
      </c>
      <c r="B15" s="20"/>
      <c r="C15" s="20"/>
      <c r="D15" s="20"/>
      <c r="E15" s="8">
        <v>825</v>
      </c>
      <c r="F15" s="8">
        <f>F30</f>
        <v>16.999500000000001</v>
      </c>
      <c r="G15" s="8">
        <f>G30</f>
        <v>36.310029999999998</v>
      </c>
      <c r="H15" s="8">
        <f>H30</f>
        <v>36.310029999999998</v>
      </c>
      <c r="I15" s="9">
        <f t="shared" si="10"/>
        <v>140.24587500000001</v>
      </c>
      <c r="J15" s="8">
        <v>140</v>
      </c>
      <c r="K15" s="14">
        <f t="shared" si="5"/>
        <v>299.55774749999995</v>
      </c>
      <c r="L15" s="8">
        <v>300</v>
      </c>
      <c r="M15" s="8">
        <v>300</v>
      </c>
      <c r="N15" s="5">
        <f t="shared" si="0"/>
        <v>0.6</v>
      </c>
      <c r="O15" s="3">
        <f t="shared" si="1"/>
        <v>392268.25259999995</v>
      </c>
      <c r="P15" s="3">
        <f t="shared" si="6"/>
        <v>431495.07785999996</v>
      </c>
      <c r="Q15" s="3">
        <f t="shared" si="7"/>
        <v>978460</v>
      </c>
      <c r="R15" s="3">
        <f t="shared" si="8"/>
        <v>2096700</v>
      </c>
      <c r="S15" s="3">
        <f t="shared" si="9"/>
        <v>2096700</v>
      </c>
      <c r="T15" s="3">
        <f t="shared" si="2"/>
        <v>1409955.0778600001</v>
      </c>
      <c r="U15" s="3">
        <f>1410</f>
        <v>1410</v>
      </c>
      <c r="V15" s="3">
        <f t="shared" si="3"/>
        <v>2528195.0778600001</v>
      </c>
      <c r="W15" s="3">
        <f>2528.2</f>
        <v>2528.1999999999998</v>
      </c>
      <c r="X15" s="3">
        <f t="shared" si="4"/>
        <v>2528195.0778600001</v>
      </c>
      <c r="Y15" s="3">
        <f>2528.2</f>
        <v>2528.1999999999998</v>
      </c>
    </row>
    <row r="16" spans="1:25" x14ac:dyDescent="0.25">
      <c r="A16" s="20" t="s">
        <v>7</v>
      </c>
      <c r="B16" s="20"/>
      <c r="C16" s="20"/>
      <c r="D16" s="20"/>
      <c r="E16" s="8">
        <v>430</v>
      </c>
      <c r="F16" s="8">
        <f>F30</f>
        <v>16.999500000000001</v>
      </c>
      <c r="G16" s="8">
        <f>G30</f>
        <v>36.310029999999998</v>
      </c>
      <c r="H16" s="8">
        <f>H30</f>
        <v>36.310029999999998</v>
      </c>
      <c r="I16" s="9">
        <f t="shared" si="10"/>
        <v>73.097850000000008</v>
      </c>
      <c r="J16" s="8">
        <v>73</v>
      </c>
      <c r="K16" s="14">
        <f t="shared" si="5"/>
        <v>156.133129</v>
      </c>
      <c r="L16" s="8">
        <v>156</v>
      </c>
      <c r="M16" s="8">
        <v>156</v>
      </c>
      <c r="N16" s="5">
        <f t="shared" si="0"/>
        <v>0.4</v>
      </c>
      <c r="O16" s="3">
        <f t="shared" si="1"/>
        <v>261512.1684</v>
      </c>
      <c r="P16" s="3">
        <f t="shared" si="6"/>
        <v>287663.38523999997</v>
      </c>
      <c r="Q16" s="3">
        <f t="shared" si="7"/>
        <v>510197</v>
      </c>
      <c r="R16" s="3">
        <f t="shared" si="8"/>
        <v>1090284</v>
      </c>
      <c r="S16" s="3">
        <f t="shared" si="9"/>
        <v>1090284</v>
      </c>
      <c r="T16" s="3">
        <f t="shared" si="2"/>
        <v>797860.38523999997</v>
      </c>
      <c r="U16" s="3">
        <f>797.9</f>
        <v>797.9</v>
      </c>
      <c r="V16" s="3">
        <f t="shared" si="3"/>
        <v>1377947.38524</v>
      </c>
      <c r="W16" s="3">
        <f>1377.95+0.05</f>
        <v>1378</v>
      </c>
      <c r="X16" s="3">
        <f t="shared" si="4"/>
        <v>1377947.38524</v>
      </c>
      <c r="Y16" s="3">
        <f>1377.95+0.05</f>
        <v>1378</v>
      </c>
    </row>
    <row r="17" spans="1:25" x14ac:dyDescent="0.25">
      <c r="A17" s="20" t="s">
        <v>8</v>
      </c>
      <c r="B17" s="20"/>
      <c r="C17" s="20"/>
      <c r="D17" s="20"/>
      <c r="E17" s="8">
        <v>1000</v>
      </c>
      <c r="F17" s="8">
        <f>F30</f>
        <v>16.999500000000001</v>
      </c>
      <c r="G17" s="8">
        <f>G30</f>
        <v>36.310029999999998</v>
      </c>
      <c r="H17" s="8">
        <f>H30</f>
        <v>36.310029999999998</v>
      </c>
      <c r="I17" s="9">
        <f t="shared" si="10"/>
        <v>169.995</v>
      </c>
      <c r="J17" s="8">
        <v>170</v>
      </c>
      <c r="K17" s="14">
        <f t="shared" si="5"/>
        <v>363.1003</v>
      </c>
      <c r="L17" s="8">
        <v>363</v>
      </c>
      <c r="M17" s="8">
        <v>363</v>
      </c>
      <c r="N17" s="5">
        <f t="shared" si="0"/>
        <v>0.8</v>
      </c>
      <c r="O17" s="3">
        <f t="shared" si="1"/>
        <v>523024.33679999999</v>
      </c>
      <c r="P17" s="3">
        <f t="shared" si="6"/>
        <v>575326.77047999995</v>
      </c>
      <c r="Q17" s="3">
        <f t="shared" si="7"/>
        <v>1188130</v>
      </c>
      <c r="R17" s="3">
        <f t="shared" si="8"/>
        <v>2537007</v>
      </c>
      <c r="S17" s="3">
        <f t="shared" si="9"/>
        <v>2537007</v>
      </c>
      <c r="T17" s="3">
        <f t="shared" si="2"/>
        <v>1763456.7704799999</v>
      </c>
      <c r="U17" s="3">
        <f>1763.5</f>
        <v>1763.5</v>
      </c>
      <c r="V17" s="3">
        <f t="shared" si="3"/>
        <v>3112333.7704799999</v>
      </c>
      <c r="W17" s="3">
        <f>3112.33-0.03</f>
        <v>3112.2999999999997</v>
      </c>
      <c r="X17" s="3">
        <f t="shared" si="4"/>
        <v>3112333.7704799999</v>
      </c>
      <c r="Y17" s="3">
        <f>3112.33</f>
        <v>3112.33</v>
      </c>
    </row>
    <row r="18" spans="1:25" x14ac:dyDescent="0.25">
      <c r="A18" s="20" t="s">
        <v>9</v>
      </c>
      <c r="B18" s="20"/>
      <c r="C18" s="20"/>
      <c r="D18" s="20"/>
      <c r="E18" s="8">
        <v>310</v>
      </c>
      <c r="F18" s="8">
        <f>F30</f>
        <v>16.999500000000001</v>
      </c>
      <c r="G18" s="8">
        <f>G30</f>
        <v>36.310029999999998</v>
      </c>
      <c r="H18" s="8">
        <f>H30</f>
        <v>36.310029999999998</v>
      </c>
      <c r="I18" s="9">
        <f t="shared" si="10"/>
        <v>52.698450000000001</v>
      </c>
      <c r="J18" s="8">
        <v>53</v>
      </c>
      <c r="K18" s="14">
        <f t="shared" si="5"/>
        <v>112.561093</v>
      </c>
      <c r="L18" s="8">
        <v>113</v>
      </c>
      <c r="M18" s="8">
        <v>113</v>
      </c>
      <c r="N18" s="5">
        <f t="shared" si="0"/>
        <v>0.2</v>
      </c>
      <c r="O18" s="3">
        <f t="shared" si="1"/>
        <v>130756.0842</v>
      </c>
      <c r="P18" s="3">
        <f t="shared" si="6"/>
        <v>143831.69261999999</v>
      </c>
      <c r="Q18" s="3">
        <f t="shared" si="7"/>
        <v>370417</v>
      </c>
      <c r="R18" s="3">
        <f t="shared" si="8"/>
        <v>789757</v>
      </c>
      <c r="S18" s="3">
        <f t="shared" si="9"/>
        <v>789757</v>
      </c>
      <c r="T18" s="3">
        <f t="shared" si="2"/>
        <v>514248.69261999999</v>
      </c>
      <c r="U18" s="3">
        <f>514.2+0.1</f>
        <v>514.30000000000007</v>
      </c>
      <c r="V18" s="3">
        <f t="shared" si="3"/>
        <v>933588.69261999999</v>
      </c>
      <c r="W18" s="3">
        <f>934</f>
        <v>934</v>
      </c>
      <c r="X18" s="3">
        <f t="shared" si="4"/>
        <v>933588.69261999999</v>
      </c>
      <c r="Y18" s="3">
        <f>934</f>
        <v>934</v>
      </c>
    </row>
    <row r="19" spans="1:25" x14ac:dyDescent="0.25">
      <c r="A19" s="20" t="s">
        <v>10</v>
      </c>
      <c r="B19" s="20"/>
      <c r="C19" s="20"/>
      <c r="D19" s="20"/>
      <c r="E19" s="8">
        <v>810</v>
      </c>
      <c r="F19" s="8">
        <f>F30</f>
        <v>16.999500000000001</v>
      </c>
      <c r="G19" s="8">
        <f>G30</f>
        <v>36.310029999999998</v>
      </c>
      <c r="H19" s="8">
        <f>H30</f>
        <v>36.310029999999998</v>
      </c>
      <c r="I19" s="9">
        <f t="shared" si="10"/>
        <v>137.69595000000001</v>
      </c>
      <c r="J19" s="8">
        <v>138</v>
      </c>
      <c r="K19" s="14">
        <f t="shared" si="5"/>
        <v>294.111243</v>
      </c>
      <c r="L19" s="8">
        <v>294</v>
      </c>
      <c r="M19" s="8">
        <v>294</v>
      </c>
      <c r="N19" s="5">
        <f t="shared" si="0"/>
        <v>0.6</v>
      </c>
      <c r="O19" s="3">
        <f t="shared" si="1"/>
        <v>392268.25259999995</v>
      </c>
      <c r="P19" s="3">
        <f t="shared" si="6"/>
        <v>431495.07785999996</v>
      </c>
      <c r="Q19" s="3">
        <f t="shared" si="7"/>
        <v>964482</v>
      </c>
      <c r="R19" s="3">
        <f t="shared" si="8"/>
        <v>2054766</v>
      </c>
      <c r="S19" s="3">
        <f t="shared" si="9"/>
        <v>2054766</v>
      </c>
      <c r="T19" s="3">
        <f t="shared" si="2"/>
        <v>1395977.0778600001</v>
      </c>
      <c r="U19" s="3">
        <f>1396</f>
        <v>1396</v>
      </c>
      <c r="V19" s="3">
        <f t="shared" si="3"/>
        <v>2486261.0778600001</v>
      </c>
      <c r="W19" s="3">
        <f>2486.26+0.04</f>
        <v>2486.3000000000002</v>
      </c>
      <c r="X19" s="3">
        <f t="shared" si="4"/>
        <v>2486261.0778600001</v>
      </c>
      <c r="Y19" s="3">
        <f>2486.26+0.02</f>
        <v>2486.2800000000002</v>
      </c>
    </row>
    <row r="20" spans="1:25" x14ac:dyDescent="0.25">
      <c r="A20" s="20" t="s">
        <v>11</v>
      </c>
      <c r="B20" s="20"/>
      <c r="C20" s="20"/>
      <c r="D20" s="20"/>
      <c r="E20" s="8">
        <v>400</v>
      </c>
      <c r="F20" s="8">
        <f>F30</f>
        <v>16.999500000000001</v>
      </c>
      <c r="G20" s="8">
        <f>G30</f>
        <v>36.310029999999998</v>
      </c>
      <c r="H20" s="8">
        <f>H30</f>
        <v>36.310029999999998</v>
      </c>
      <c r="I20" s="9">
        <f t="shared" si="10"/>
        <v>67.998000000000005</v>
      </c>
      <c r="J20" s="8">
        <v>68</v>
      </c>
      <c r="K20" s="14">
        <f t="shared" si="5"/>
        <v>145.24011999999999</v>
      </c>
      <c r="L20" s="8">
        <v>145</v>
      </c>
      <c r="M20" s="8">
        <v>145</v>
      </c>
      <c r="N20" s="5">
        <f t="shared" si="0"/>
        <v>0.4</v>
      </c>
      <c r="O20" s="3">
        <f t="shared" si="1"/>
        <v>261512.1684</v>
      </c>
      <c r="P20" s="3">
        <f t="shared" si="6"/>
        <v>287663.38523999997</v>
      </c>
      <c r="Q20" s="3">
        <f t="shared" si="7"/>
        <v>475252</v>
      </c>
      <c r="R20" s="3">
        <f t="shared" si="8"/>
        <v>1013405</v>
      </c>
      <c r="S20" s="3">
        <f t="shared" si="9"/>
        <v>1013405</v>
      </c>
      <c r="T20" s="3">
        <f t="shared" si="2"/>
        <v>762915.38523999997</v>
      </c>
      <c r="U20" s="3">
        <f>762.9</f>
        <v>762.9</v>
      </c>
      <c r="V20" s="3">
        <f t="shared" si="3"/>
        <v>1301068.38524</v>
      </c>
      <c r="W20" s="3">
        <f>1301</f>
        <v>1301</v>
      </c>
      <c r="X20" s="3">
        <f t="shared" si="4"/>
        <v>1301068.38524</v>
      </c>
      <c r="Y20" s="3">
        <f>1301</f>
        <v>1301</v>
      </c>
    </row>
    <row r="21" spans="1:25" x14ac:dyDescent="0.25">
      <c r="A21" s="20" t="s">
        <v>12</v>
      </c>
      <c r="B21" s="20"/>
      <c r="C21" s="20"/>
      <c r="D21" s="20"/>
      <c r="E21" s="8">
        <v>300</v>
      </c>
      <c r="F21" s="8">
        <f>F30</f>
        <v>16.999500000000001</v>
      </c>
      <c r="G21" s="8">
        <f>G30</f>
        <v>36.310029999999998</v>
      </c>
      <c r="H21" s="8">
        <f>H30</f>
        <v>36.310029999999998</v>
      </c>
      <c r="I21" s="9">
        <f t="shared" si="10"/>
        <v>50.998500000000007</v>
      </c>
      <c r="J21" s="8">
        <v>51</v>
      </c>
      <c r="K21" s="14">
        <f t="shared" si="5"/>
        <v>108.93009000000001</v>
      </c>
      <c r="L21" s="8">
        <v>109</v>
      </c>
      <c r="M21" s="8">
        <v>109</v>
      </c>
      <c r="N21" s="5">
        <f t="shared" si="0"/>
        <v>0.2</v>
      </c>
      <c r="O21" s="3">
        <f t="shared" si="1"/>
        <v>130756.0842</v>
      </c>
      <c r="P21" s="3">
        <f t="shared" si="6"/>
        <v>143831.69261999999</v>
      </c>
      <c r="Q21" s="3">
        <f t="shared" si="7"/>
        <v>356439</v>
      </c>
      <c r="R21" s="3">
        <f t="shared" si="8"/>
        <v>761801</v>
      </c>
      <c r="S21" s="3">
        <f t="shared" si="9"/>
        <v>761801</v>
      </c>
      <c r="T21" s="3">
        <f t="shared" si="2"/>
        <v>500270.69261999999</v>
      </c>
      <c r="U21" s="3">
        <f>500.3</f>
        <v>500.3</v>
      </c>
      <c r="V21" s="3">
        <f t="shared" si="3"/>
        <v>905632.69261999999</v>
      </c>
      <c r="W21" s="3">
        <f>905.63-0.03</f>
        <v>905.6</v>
      </c>
      <c r="X21" s="3">
        <f t="shared" si="4"/>
        <v>905632.69261999999</v>
      </c>
      <c r="Y21" s="3">
        <f>905.63</f>
        <v>905.63</v>
      </c>
    </row>
    <row r="22" spans="1:25" x14ac:dyDescent="0.25">
      <c r="A22" s="20" t="s">
        <v>13</v>
      </c>
      <c r="B22" s="20"/>
      <c r="C22" s="20"/>
      <c r="D22" s="20"/>
      <c r="E22" s="8">
        <v>1250</v>
      </c>
      <c r="F22" s="8">
        <f>F30</f>
        <v>16.999500000000001</v>
      </c>
      <c r="G22" s="8">
        <f>G30</f>
        <v>36.310029999999998</v>
      </c>
      <c r="H22" s="8">
        <f>H30</f>
        <v>36.310029999999998</v>
      </c>
      <c r="I22" s="9">
        <f t="shared" si="10"/>
        <v>212.49375000000001</v>
      </c>
      <c r="J22" s="8">
        <v>212</v>
      </c>
      <c r="K22" s="14">
        <f t="shared" si="5"/>
        <v>453.87537499999996</v>
      </c>
      <c r="L22" s="8">
        <v>454</v>
      </c>
      <c r="M22" s="8">
        <v>454</v>
      </c>
      <c r="N22" s="5">
        <f t="shared" si="0"/>
        <v>0.8</v>
      </c>
      <c r="O22" s="3">
        <f t="shared" si="1"/>
        <v>523024.33679999999</v>
      </c>
      <c r="P22" s="3">
        <f t="shared" si="6"/>
        <v>575326.77047999995</v>
      </c>
      <c r="Q22" s="3">
        <f t="shared" si="7"/>
        <v>1481668</v>
      </c>
      <c r="R22" s="3">
        <f t="shared" si="8"/>
        <v>3173006</v>
      </c>
      <c r="S22" s="3">
        <f t="shared" si="9"/>
        <v>3173006</v>
      </c>
      <c r="T22" s="3">
        <f t="shared" si="2"/>
        <v>2056994.7704799999</v>
      </c>
      <c r="U22" s="3">
        <f>2057</f>
        <v>2057</v>
      </c>
      <c r="V22" s="3">
        <f t="shared" si="3"/>
        <v>3748332.7704799999</v>
      </c>
      <c r="W22" s="3">
        <f>3748.33-0.03</f>
        <v>3748.2999999999997</v>
      </c>
      <c r="X22" s="3">
        <f t="shared" si="4"/>
        <v>3748332.7704799999</v>
      </c>
      <c r="Y22" s="3">
        <f>3748.33</f>
        <v>3748.33</v>
      </c>
    </row>
    <row r="23" spans="1:25" x14ac:dyDescent="0.25">
      <c r="A23" s="20" t="s">
        <v>14</v>
      </c>
      <c r="B23" s="20"/>
      <c r="C23" s="20"/>
      <c r="D23" s="20"/>
      <c r="E23" s="8">
        <v>400</v>
      </c>
      <c r="F23" s="8">
        <f>F30</f>
        <v>16.999500000000001</v>
      </c>
      <c r="G23" s="8">
        <f>G30</f>
        <v>36.310029999999998</v>
      </c>
      <c r="H23" s="8">
        <f>H30</f>
        <v>36.310029999999998</v>
      </c>
      <c r="I23" s="9">
        <f t="shared" si="10"/>
        <v>67.998000000000005</v>
      </c>
      <c r="J23" s="8">
        <v>68</v>
      </c>
      <c r="K23" s="14">
        <f t="shared" si="5"/>
        <v>145.24011999999999</v>
      </c>
      <c r="L23" s="8">
        <v>145</v>
      </c>
      <c r="M23" s="8">
        <v>145</v>
      </c>
      <c r="N23" s="5">
        <f t="shared" si="0"/>
        <v>0.4</v>
      </c>
      <c r="O23" s="3">
        <f t="shared" si="1"/>
        <v>261512.1684</v>
      </c>
      <c r="P23" s="3">
        <f t="shared" si="6"/>
        <v>287663.38523999997</v>
      </c>
      <c r="Q23" s="3">
        <f t="shared" si="7"/>
        <v>475252</v>
      </c>
      <c r="R23" s="3">
        <f t="shared" si="8"/>
        <v>1013405</v>
      </c>
      <c r="S23" s="3">
        <f t="shared" si="9"/>
        <v>1013405</v>
      </c>
      <c r="T23" s="3">
        <f t="shared" si="2"/>
        <v>762915.38523999997</v>
      </c>
      <c r="U23" s="3">
        <f>762.9+0.1</f>
        <v>763</v>
      </c>
      <c r="V23" s="3">
        <f t="shared" si="3"/>
        <v>1301068.38524</v>
      </c>
      <c r="W23" s="3">
        <f>1301.07+0.03</f>
        <v>1301.0999999999999</v>
      </c>
      <c r="X23" s="3">
        <f t="shared" si="4"/>
        <v>1301068.38524</v>
      </c>
      <c r="Y23" s="3">
        <f>1301.07+0.03</f>
        <v>1301.0999999999999</v>
      </c>
    </row>
    <row r="24" spans="1:25" x14ac:dyDescent="0.25">
      <c r="A24" s="20" t="s">
        <v>15</v>
      </c>
      <c r="B24" s="20"/>
      <c r="C24" s="20"/>
      <c r="D24" s="20"/>
      <c r="E24" s="8">
        <v>300</v>
      </c>
      <c r="F24" s="8">
        <f>F30</f>
        <v>16.999500000000001</v>
      </c>
      <c r="G24" s="8">
        <f>G30</f>
        <v>36.310029999999998</v>
      </c>
      <c r="H24" s="8">
        <f>H30</f>
        <v>36.310029999999998</v>
      </c>
      <c r="I24" s="9">
        <f t="shared" si="10"/>
        <v>50.998500000000007</v>
      </c>
      <c r="J24" s="8">
        <v>51</v>
      </c>
      <c r="K24" s="14">
        <f t="shared" si="5"/>
        <v>108.93009000000001</v>
      </c>
      <c r="L24" s="8">
        <v>109</v>
      </c>
      <c r="M24" s="8">
        <v>109</v>
      </c>
      <c r="N24" s="5">
        <f t="shared" si="0"/>
        <v>0.2</v>
      </c>
      <c r="O24" s="3">
        <f t="shared" si="1"/>
        <v>130756.0842</v>
      </c>
      <c r="P24" s="3">
        <f t="shared" si="6"/>
        <v>143831.69261999999</v>
      </c>
      <c r="Q24" s="3">
        <f t="shared" si="7"/>
        <v>356439</v>
      </c>
      <c r="R24" s="3">
        <f t="shared" si="8"/>
        <v>761801</v>
      </c>
      <c r="S24" s="3">
        <f t="shared" si="9"/>
        <v>761801</v>
      </c>
      <c r="T24" s="3">
        <f t="shared" si="2"/>
        <v>500270.69261999999</v>
      </c>
      <c r="U24" s="3">
        <f>500.3</f>
        <v>500.3</v>
      </c>
      <c r="V24" s="3">
        <f t="shared" si="3"/>
        <v>905632.69261999999</v>
      </c>
      <c r="W24" s="3">
        <f>905.63+0.07</f>
        <v>905.7</v>
      </c>
      <c r="X24" s="3">
        <f t="shared" si="4"/>
        <v>905632.69261999999</v>
      </c>
      <c r="Y24" s="3">
        <f>905.63</f>
        <v>905.63</v>
      </c>
    </row>
    <row r="25" spans="1:25" x14ac:dyDescent="0.25">
      <c r="A25" s="20" t="s">
        <v>16</v>
      </c>
      <c r="B25" s="20"/>
      <c r="C25" s="20"/>
      <c r="D25" s="20"/>
      <c r="E25" s="8">
        <v>400</v>
      </c>
      <c r="F25" s="8">
        <f>F30</f>
        <v>16.999500000000001</v>
      </c>
      <c r="G25" s="8">
        <f>G30</f>
        <v>36.310029999999998</v>
      </c>
      <c r="H25" s="8">
        <f>H30</f>
        <v>36.310029999999998</v>
      </c>
      <c r="I25" s="9">
        <f t="shared" si="10"/>
        <v>67.998000000000005</v>
      </c>
      <c r="J25" s="8">
        <v>68</v>
      </c>
      <c r="K25" s="14">
        <f t="shared" si="5"/>
        <v>145.24011999999999</v>
      </c>
      <c r="L25" s="8">
        <v>145</v>
      </c>
      <c r="M25" s="8">
        <v>145</v>
      </c>
      <c r="N25" s="5">
        <f t="shared" si="0"/>
        <v>0.4</v>
      </c>
      <c r="O25" s="3">
        <f t="shared" si="1"/>
        <v>261512.1684</v>
      </c>
      <c r="P25" s="3">
        <f t="shared" si="6"/>
        <v>287663.38523999997</v>
      </c>
      <c r="Q25" s="3">
        <f t="shared" si="7"/>
        <v>475252</v>
      </c>
      <c r="R25" s="3">
        <f t="shared" si="8"/>
        <v>1013405</v>
      </c>
      <c r="S25" s="3">
        <f t="shared" si="9"/>
        <v>1013405</v>
      </c>
      <c r="T25" s="3">
        <f t="shared" si="2"/>
        <v>762915.38523999997</v>
      </c>
      <c r="U25" s="3">
        <v>763</v>
      </c>
      <c r="V25" s="3">
        <f t="shared" si="3"/>
        <v>1301068.38524</v>
      </c>
      <c r="W25" s="3">
        <f>1301</f>
        <v>1301</v>
      </c>
      <c r="X25" s="3">
        <f t="shared" si="4"/>
        <v>1301068.38524</v>
      </c>
      <c r="Y25" s="3">
        <f>1301</f>
        <v>1301</v>
      </c>
    </row>
    <row r="26" spans="1:25" ht="17.25" customHeight="1" x14ac:dyDescent="0.25">
      <c r="A26" s="21" t="s">
        <v>40</v>
      </c>
      <c r="B26" s="20"/>
      <c r="C26" s="20"/>
      <c r="D26" s="20"/>
      <c r="E26" s="8">
        <v>611</v>
      </c>
      <c r="F26" s="8">
        <f>F30</f>
        <v>16.999500000000001</v>
      </c>
      <c r="G26" s="8">
        <f>G30</f>
        <v>36.310029999999998</v>
      </c>
      <c r="H26" s="8">
        <f>H30</f>
        <v>36.310029999999998</v>
      </c>
      <c r="I26" s="9">
        <f t="shared" si="10"/>
        <v>103.86694500000002</v>
      </c>
      <c r="J26" s="8">
        <v>104</v>
      </c>
      <c r="K26" s="14">
        <f t="shared" si="5"/>
        <v>221.85428329999999</v>
      </c>
      <c r="L26" s="8">
        <v>222</v>
      </c>
      <c r="M26" s="8">
        <v>222</v>
      </c>
      <c r="N26" s="5">
        <f t="shared" si="0"/>
        <v>0.6</v>
      </c>
      <c r="O26" s="3">
        <f t="shared" si="1"/>
        <v>392268.25259999995</v>
      </c>
      <c r="P26" s="3">
        <f t="shared" si="6"/>
        <v>431495.07785999996</v>
      </c>
      <c r="Q26" s="3">
        <f t="shared" si="7"/>
        <v>726856</v>
      </c>
      <c r="R26" s="3">
        <f t="shared" si="8"/>
        <v>1551558</v>
      </c>
      <c r="S26" s="3">
        <f t="shared" si="9"/>
        <v>1551558</v>
      </c>
      <c r="T26" s="3">
        <f t="shared" si="2"/>
        <v>1158351.0778600001</v>
      </c>
      <c r="U26" s="3">
        <f>1158.4</f>
        <v>1158.4000000000001</v>
      </c>
      <c r="V26" s="3">
        <f t="shared" si="3"/>
        <v>1983053.0778600001</v>
      </c>
      <c r="W26" s="3">
        <f>1983.05-0.05</f>
        <v>1983</v>
      </c>
      <c r="X26" s="3">
        <f t="shared" si="4"/>
        <v>1983053.0778600001</v>
      </c>
      <c r="Y26" s="3">
        <f>1983.05</f>
        <v>1983.05</v>
      </c>
    </row>
    <row r="27" spans="1:25" ht="42" customHeight="1" x14ac:dyDescent="0.25">
      <c r="A27" s="25" t="s">
        <v>20</v>
      </c>
      <c r="B27" s="25"/>
      <c r="C27" s="25"/>
      <c r="D27" s="25"/>
      <c r="E27" s="7">
        <f>SUM(E9:E26)</f>
        <v>11507</v>
      </c>
      <c r="F27" s="10"/>
      <c r="G27" s="10"/>
      <c r="H27" s="10"/>
      <c r="I27" s="15">
        <f>SUM(I9:I26)</f>
        <v>1956.1324650000004</v>
      </c>
      <c r="J27" s="7">
        <f>SUM(J9:J26)</f>
        <v>1956</v>
      </c>
      <c r="K27" s="12">
        <f>SUM(K9:K26)</f>
        <v>4178.1951520999992</v>
      </c>
      <c r="L27" s="11">
        <f>SUM(L9:L26)</f>
        <v>4178</v>
      </c>
      <c r="M27" s="11">
        <f>SUM(M9:M26)</f>
        <v>4178</v>
      </c>
      <c r="N27" s="10"/>
      <c r="O27" s="12">
        <f t="shared" ref="O27:X27" si="11">SUM(O9:O26)</f>
        <v>5753267.7047999995</v>
      </c>
      <c r="P27" s="12">
        <f t="shared" si="11"/>
        <v>6328594.475279998</v>
      </c>
      <c r="Q27" s="12">
        <f t="shared" si="11"/>
        <v>13670484</v>
      </c>
      <c r="R27" s="12">
        <f t="shared" si="11"/>
        <v>29200042</v>
      </c>
      <c r="S27" s="12">
        <f t="shared" si="11"/>
        <v>29200042</v>
      </c>
      <c r="T27" s="12">
        <f t="shared" si="11"/>
        <v>19999078.475280002</v>
      </c>
      <c r="U27" s="12">
        <f t="shared" si="11"/>
        <v>19999.999999999996</v>
      </c>
      <c r="V27" s="12">
        <f t="shared" si="11"/>
        <v>35528636.475280002</v>
      </c>
      <c r="W27" s="13">
        <f t="shared" si="11"/>
        <v>35530</v>
      </c>
      <c r="X27" s="12">
        <f t="shared" si="11"/>
        <v>35528636.475280002</v>
      </c>
      <c r="Y27" s="13">
        <f t="shared" ref="Y27" si="12">SUM(Y9:Y26)</f>
        <v>35529.979999999996</v>
      </c>
    </row>
    <row r="30" spans="1:25" x14ac:dyDescent="0.25">
      <c r="F30">
        <v>16.999500000000001</v>
      </c>
      <c r="G30">
        <v>36.310029999999998</v>
      </c>
      <c r="H30">
        <v>36.310029999999998</v>
      </c>
      <c r="N30">
        <f>IF(400&gt;E9&gt;100,0.2,0.1)</f>
        <v>0.2</v>
      </c>
    </row>
    <row r="31" spans="1:25" x14ac:dyDescent="0.25">
      <c r="E31">
        <v>1600</v>
      </c>
      <c r="N31">
        <f>IF(E31&gt;1500,1,0.8)</f>
        <v>1</v>
      </c>
    </row>
    <row r="32" spans="1:25" x14ac:dyDescent="0.25">
      <c r="E32">
        <v>800</v>
      </c>
      <c r="N32">
        <f>IF(AND(E32&gt;=1500),1,IF(AND(E32&gt;=1000,E32&lt;1500),0.8,IF(AND(E32&gt;=600,E32&lt;1000),0.6,IF(AND(E32&gt;=400,E32&lt;600),0.4,IF(AND(E32&gt;=100,E32&lt;400),0.2,IF(AND(E32&lt;100),0.1))))))</f>
        <v>0.6</v>
      </c>
    </row>
  </sheetData>
  <mergeCells count="23">
    <mergeCell ref="A19:D19"/>
    <mergeCell ref="A20:D20"/>
    <mergeCell ref="A15:D15"/>
    <mergeCell ref="A16:D16"/>
    <mergeCell ref="A8:D8"/>
    <mergeCell ref="A9:D9"/>
    <mergeCell ref="A10:D10"/>
    <mergeCell ref="A27:D27"/>
    <mergeCell ref="A21:D21"/>
    <mergeCell ref="A22:D22"/>
    <mergeCell ref="A23:D23"/>
    <mergeCell ref="A24:D24"/>
    <mergeCell ref="A25:D25"/>
    <mergeCell ref="A26:D26"/>
    <mergeCell ref="G1:Q1"/>
    <mergeCell ref="A18:D18"/>
    <mergeCell ref="A11:D11"/>
    <mergeCell ref="A12:D12"/>
    <mergeCell ref="A13:D13"/>
    <mergeCell ref="A14:D14"/>
    <mergeCell ref="A17:D17"/>
    <mergeCell ref="A7:D7"/>
    <mergeCell ref="A6:D6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  <headerFooter>
    <oddHeader xml:space="preserve">&amp;RТаблица 53 к пояснительной записке 2015 года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Лист2</vt:lpstr>
      <vt:lpstr>Лист2!Область_печати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2014-10-13T10:21:55Z</dcterms:modified>
</cp:coreProperties>
</file>