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20C42560-205B-456F-BBB5-CB4F8D05E6CD}" xr6:coauthVersionLast="47" xr6:coauthVersionMax="47" xr10:uidLastSave="{00000000-0000-0000-0000-000000000000}"/>
  <bookViews>
    <workbookView xWindow="6030" yWindow="-120" windowWidth="2400" windowHeight="2385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C7" i="1"/>
  <c r="C6" i="1"/>
  <c r="C5" i="1"/>
  <c r="C4" i="1"/>
  <c r="C3" i="1"/>
  <c r="B58" i="1" l="1"/>
  <c r="D76" i="1"/>
  <c r="D75" i="1"/>
  <c r="D74" i="1"/>
  <c r="D73" i="1"/>
  <c r="B91" i="1" l="1"/>
  <c r="C91" i="1" l="1"/>
  <c r="E91" i="1"/>
  <c r="C99" i="1" s="1"/>
  <c r="D91" i="1"/>
  <c r="B62" i="1"/>
  <c r="C62" i="1" s="1"/>
  <c r="D4" i="1"/>
  <c r="H51" i="1" s="1"/>
  <c r="D5" i="1"/>
  <c r="H52" i="1" s="1"/>
  <c r="D6" i="1"/>
  <c r="H53" i="1" s="1"/>
  <c r="D7" i="1"/>
  <c r="H54" i="1" s="1"/>
  <c r="D3" i="1"/>
  <c r="H50" i="1" l="1"/>
  <c r="E3" i="1"/>
  <c r="C58" i="1"/>
  <c r="E58" i="1"/>
  <c r="D58" i="1"/>
  <c r="G58" i="1" s="1"/>
  <c r="E7" i="1" l="1"/>
  <c r="E6" i="1"/>
  <c r="E5" i="1"/>
  <c r="E4" i="1"/>
  <c r="C84" i="1" l="1"/>
  <c r="E84" i="1" s="1"/>
  <c r="C85" i="1"/>
  <c r="E85" i="1" s="1"/>
  <c r="C86" i="1"/>
  <c r="E86" i="1" s="1"/>
  <c r="C83" i="1"/>
  <c r="E83" i="1" s="1"/>
  <c r="C82" i="1"/>
  <c r="D72" i="1"/>
  <c r="F52" i="1"/>
  <c r="F53" i="1"/>
  <c r="F54" i="1"/>
  <c r="F51" i="1"/>
  <c r="F50" i="1"/>
  <c r="E82" i="1" l="1"/>
  <c r="E87" i="1" s="1"/>
  <c r="G103" i="1" s="1"/>
  <c r="C100" i="1"/>
  <c r="B69" i="1"/>
  <c r="D62" i="1"/>
  <c r="E62" i="1" s="1"/>
  <c r="E75" i="1" l="1"/>
  <c r="F75" i="1" s="1"/>
  <c r="E74" i="1"/>
  <c r="F74" i="1" s="1"/>
  <c r="E76" i="1"/>
  <c r="F76" i="1" s="1"/>
  <c r="E72" i="1"/>
  <c r="F72" i="1" s="1"/>
  <c r="E73" i="1"/>
  <c r="F73" i="1" s="1"/>
  <c r="C95" i="1"/>
  <c r="C97" i="1" s="1"/>
  <c r="C101" i="1"/>
  <c r="C102" i="1" s="1"/>
  <c r="B66" i="1"/>
  <c r="C66" i="1" s="1"/>
  <c r="C51" i="1"/>
  <c r="C52" i="1"/>
  <c r="C53" i="1"/>
  <c r="C54" i="1"/>
  <c r="C50" i="1"/>
  <c r="F7" i="1"/>
  <c r="F6" i="1"/>
  <c r="F5" i="1"/>
  <c r="F4" i="1"/>
  <c r="G4" i="1" s="1"/>
  <c r="H4" i="1" s="1"/>
  <c r="F3" i="1"/>
  <c r="G3" i="1" s="1"/>
  <c r="H3" i="1" s="1"/>
  <c r="D51" i="1" l="1"/>
  <c r="C23" i="1"/>
  <c r="D13" i="1"/>
  <c r="E77" i="1"/>
  <c r="F77" i="1" s="1"/>
  <c r="F65" i="1"/>
  <c r="G6" i="1"/>
  <c r="H6" i="1" s="1"/>
  <c r="G5" i="1"/>
  <c r="H5" i="1" s="1"/>
  <c r="G7" i="1"/>
  <c r="H7" i="1" s="1"/>
  <c r="D52" i="1" l="1"/>
  <c r="C24" i="1"/>
  <c r="F24" i="1" s="1"/>
  <c r="D14" i="1"/>
  <c r="D53" i="1"/>
  <c r="C25" i="1"/>
  <c r="F25" i="1" s="1"/>
  <c r="D15" i="1"/>
  <c r="E15" i="1" s="1"/>
  <c r="C26" i="1"/>
  <c r="F26" i="1" s="1"/>
  <c r="D54" i="1"/>
  <c r="G54" i="1" s="1"/>
  <c r="D16" i="1"/>
  <c r="E16" i="1" s="1"/>
  <c r="C44" i="1" s="1"/>
  <c r="E44" i="1" s="1"/>
  <c r="G8" i="1"/>
  <c r="F23" i="1"/>
  <c r="E13" i="1"/>
  <c r="C41" i="1" s="1"/>
  <c r="E41" i="1" s="1"/>
  <c r="D12" i="1"/>
  <c r="E12" i="1" s="1"/>
  <c r="D50" i="1"/>
  <c r="C22" i="1"/>
  <c r="F22" i="1" s="1"/>
  <c r="F27" i="1" l="1"/>
  <c r="G27" i="1" s="1"/>
  <c r="I54" i="1"/>
  <c r="G50" i="1"/>
  <c r="I50" i="1"/>
  <c r="C43" i="1"/>
  <c r="E43" i="1" s="1"/>
  <c r="E14" i="1"/>
  <c r="E17" i="1" s="1"/>
  <c r="G53" i="1"/>
  <c r="I53" i="1"/>
  <c r="G52" i="1"/>
  <c r="I52" i="1"/>
  <c r="I51" i="1"/>
  <c r="G51" i="1"/>
  <c r="C40" i="1"/>
  <c r="E40" i="1" s="1"/>
  <c r="J50" i="1" l="1"/>
  <c r="D32" i="1"/>
  <c r="D33" i="1" s="1"/>
  <c r="D31" i="1"/>
  <c r="C42" i="1"/>
  <c r="E42" i="1" s="1"/>
  <c r="D35" i="1" l="1"/>
  <c r="D34" i="1"/>
  <c r="C45" i="1"/>
  <c r="E45" i="1" s="1"/>
  <c r="E46" i="1" l="1"/>
  <c r="E103" i="1" s="1"/>
  <c r="H103" i="1" s="1"/>
  <c r="C103" i="1" s="1"/>
  <c r="F103" i="1"/>
  <c r="I103" i="1" s="1"/>
  <c r="C104" i="1" s="1"/>
  <c r="D36" i="1"/>
  <c r="C1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M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<sst xmlns="http://schemas.openxmlformats.org/spreadsheetml/2006/main" count="191" uniqueCount="140">
  <si>
    <t>Наименование операций</t>
  </si>
  <si>
    <t>Фрезерование</t>
  </si>
  <si>
    <t xml:space="preserve">Сверление </t>
  </si>
  <si>
    <t xml:space="preserve">Расточка </t>
  </si>
  <si>
    <t xml:space="preserve">Шлифование </t>
  </si>
  <si>
    <t xml:space="preserve">Токарная </t>
  </si>
  <si>
    <t>Количество единиц оборудования</t>
  </si>
  <si>
    <t>№ пп</t>
  </si>
  <si>
    <t>Норма времени на операцию, ч</t>
  </si>
  <si>
    <t>Годовой объём производства, шт</t>
  </si>
  <si>
    <t>Трудоёмкость годового объёма производства, ч</t>
  </si>
  <si>
    <t>Количество единиц оборудования, шт</t>
  </si>
  <si>
    <t>Годовой эффективный фонд времени работы единицы оборудования, ч</t>
  </si>
  <si>
    <t>Виды оборудования</t>
  </si>
  <si>
    <t>Фрезерный станок</t>
  </si>
  <si>
    <t>Сверлильный станок</t>
  </si>
  <si>
    <t>Расточный станок</t>
  </si>
  <si>
    <t>Шлифовальный станок</t>
  </si>
  <si>
    <t>Токарный станок</t>
  </si>
  <si>
    <t>Цена за  единицу оборудования</t>
  </si>
  <si>
    <t>Общая стоимость оборудования</t>
  </si>
  <si>
    <t>Расчет потребности в оборудовании</t>
  </si>
  <si>
    <t>Расчет стоимости оборудования цеха</t>
  </si>
  <si>
    <r>
      <t>Площадь, занимаемая единицей оборудования,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</si>
  <si>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основная</t>
  </si>
  <si>
    <t>дополнит.</t>
  </si>
  <si>
    <t xml:space="preserve">Фрезерный станок </t>
  </si>
  <si>
    <t>ИТОГО</t>
  </si>
  <si>
    <t xml:space="preserve"> </t>
  </si>
  <si>
    <r>
      <t>Общая площадь,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</si>
  <si>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Расчет занимаемой площади</t>
  </si>
  <si>
    <t>Классификационные группы</t>
  </si>
  <si>
    <t xml:space="preserve">Стоимость </t>
  </si>
  <si>
    <t>Здания</t>
  </si>
  <si>
    <t>Рабочие машины</t>
  </si>
  <si>
    <t>Транспортные средства</t>
  </si>
  <si>
    <t>Производственный инвентарь</t>
  </si>
  <si>
    <t>Инструменты</t>
  </si>
  <si>
    <t>Стоимость основных фондов цеха по классификационным группам</t>
  </si>
  <si>
    <t>Виды основных фондов</t>
  </si>
  <si>
    <t>Стоимость</t>
  </si>
  <si>
    <t>Расчет амортизационных отчислений</t>
  </si>
  <si>
    <t>Норма амортизации</t>
  </si>
  <si>
    <t>Начисленная сумма амортизации</t>
  </si>
  <si>
    <t>Коэффициент загрузки</t>
  </si>
  <si>
    <t xml:space="preserve">Количество единиц оборудования </t>
  </si>
  <si>
    <t>Расчет мощности и загрузки оборудования</t>
  </si>
  <si>
    <t>Коэфициент выполнения норм</t>
  </si>
  <si>
    <t>Мощность оборудования, шт</t>
  </si>
  <si>
    <t xml:space="preserve">ИТОГО </t>
  </si>
  <si>
    <t>Норма потребления, кг</t>
  </si>
  <si>
    <t>Запас текущий максимальный, руб</t>
  </si>
  <si>
    <t>Запас текущий средний, руб</t>
  </si>
  <si>
    <t>Запас страховой, руб</t>
  </si>
  <si>
    <t>Запас технологический, руб</t>
  </si>
  <si>
    <t>Норматив производственного запаса, руб</t>
  </si>
  <si>
    <t>Стоимость материала заготовки, руб</t>
  </si>
  <si>
    <t>Среднесуточные затраты на производство продукции, руб</t>
  </si>
  <si>
    <t>Коэффициент нарастания затрат</t>
  </si>
  <si>
    <t>Норматив незавершенного производства, руб</t>
  </si>
  <si>
    <t>Норматив незавершенного производства</t>
  </si>
  <si>
    <t>Норматив производственного запаса</t>
  </si>
  <si>
    <t>Норматив готовой продукции</t>
  </si>
  <si>
    <t>Себестоимость детали, руб</t>
  </si>
  <si>
    <t>Норматив готовой продукции, руб</t>
  </si>
  <si>
    <t>Расчет численности рабочих-сдельщиков</t>
  </si>
  <si>
    <t>Годовой эффективный фонд времени одного рабочего, ч</t>
  </si>
  <si>
    <t>Численность рабочих-сдельщиков, чел</t>
  </si>
  <si>
    <t>Наименование операции</t>
  </si>
  <si>
    <t>Разряд работы</t>
  </si>
  <si>
    <t>IV</t>
  </si>
  <si>
    <t>III</t>
  </si>
  <si>
    <t>V</t>
  </si>
  <si>
    <t>Фонд основной заработной платы</t>
  </si>
  <si>
    <t>Часовая тарифная ставка</t>
  </si>
  <si>
    <t>Масса изделия, кг</t>
  </si>
  <si>
    <t>Норма расходов материала, кг</t>
  </si>
  <si>
    <t>Стоимость материалов, руб</t>
  </si>
  <si>
    <t>Стоимость возвратных отходов, руб</t>
  </si>
  <si>
    <t>Расчет стоимости материалов и возвратных отходов</t>
  </si>
  <si>
    <t>Фонд основной заработной платы, руб</t>
  </si>
  <si>
    <t>№№</t>
  </si>
  <si>
    <t>Наименование статей затрат</t>
  </si>
  <si>
    <t>Сумма, руб.</t>
  </si>
  <si>
    <t>1.</t>
  </si>
  <si>
    <t>Основные материалы</t>
  </si>
  <si>
    <t>2.</t>
  </si>
  <si>
    <t>Покупные полуфабрикаты и комплектующие изделия</t>
  </si>
  <si>
    <t>3.</t>
  </si>
  <si>
    <t>Транспортные расходы (8% от п.1)</t>
  </si>
  <si>
    <t>4.</t>
  </si>
  <si>
    <t>Полуфабрикаты собственного производства</t>
  </si>
  <si>
    <t>5.</t>
  </si>
  <si>
    <t xml:space="preserve">Отходы возвратные </t>
  </si>
  <si>
    <t>6.</t>
  </si>
  <si>
    <t>Основная заработная плата производственных рабочих</t>
  </si>
  <si>
    <t>7.</t>
  </si>
  <si>
    <t xml:space="preserve">Дополнительная заработная плата производственных рабочих </t>
  </si>
  <si>
    <t>8.</t>
  </si>
  <si>
    <t>Начисления на заработную плату</t>
  </si>
  <si>
    <t>9.</t>
  </si>
  <si>
    <t>Расходы по содержанию и эксплуатации оборудования</t>
  </si>
  <si>
    <t>10.</t>
  </si>
  <si>
    <t xml:space="preserve">Цеховые накладные расходы </t>
  </si>
  <si>
    <t xml:space="preserve">Итого цеховая себестоимость </t>
  </si>
  <si>
    <t>Калькуляция цеховой себестоимости детали</t>
  </si>
  <si>
    <t>РСО</t>
  </si>
  <si>
    <t>Фонд оплаты труда</t>
  </si>
  <si>
    <t>ЦНР</t>
  </si>
  <si>
    <t>К(РСО)</t>
  </si>
  <si>
    <t>К(ЦНР)</t>
  </si>
  <si>
    <t>Общая стоимость оборотных средств цеха</t>
  </si>
  <si>
    <t>стоимость цеха</t>
  </si>
  <si>
    <t>Годовая программа выпуска, тыс.шт.</t>
  </si>
  <si>
    <t>Размеры заготовки,мм</t>
  </si>
  <si>
    <t>Материал</t>
  </si>
  <si>
    <t>Фрезерование,4 разряд</t>
  </si>
  <si>
    <t>Сверление,3 разряд</t>
  </si>
  <si>
    <t>Расточка,4 разряд</t>
  </si>
  <si>
    <t>Шлифование,4 разряд</t>
  </si>
  <si>
    <t>Токарная,3 разряд</t>
  </si>
  <si>
    <t>Сталь</t>
  </si>
  <si>
    <t>Коэффициент использования  металла</t>
  </si>
  <si>
    <t>Издалие А</t>
  </si>
  <si>
    <t>Размеры загатовки</t>
  </si>
  <si>
    <t>Фрезерование 4 разряд</t>
  </si>
  <si>
    <t>Сверление 3 разряд</t>
  </si>
  <si>
    <t>Расточка 4 разряд</t>
  </si>
  <si>
    <t>Шлифование 4 разряд</t>
  </si>
  <si>
    <t>Токарная 3 разряд</t>
  </si>
  <si>
    <t>Технологический процесс и нормы времени по операциям с указанием разряда работ, мин.</t>
  </si>
  <si>
    <t>0.6</t>
  </si>
  <si>
    <t>Коэффициент использования металла</t>
  </si>
  <si>
    <t>3.2</t>
  </si>
  <si>
    <t>3.4</t>
  </si>
  <si>
    <t>2.4</t>
  </si>
  <si>
    <t>3.1</t>
  </si>
  <si>
    <t>2.5</t>
  </si>
  <si>
    <t>30х20х10</t>
  </si>
  <si>
    <t>Стоимость цеха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</si>
</sst>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#,##0.0"/>
    <numFmt numFmtId="166" formatCode="0.0%"/>
    <numFmt numFmtId="167" formatCode="#,##0.000"/>
    <numFmt numFmtId="168" formatCode="#,##0_ ;\-#,##0\ "/>
    <numFmt numFmtId="169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3" fontId="3" fillId="0" borderId="13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4" fontId="3" fillId="0" borderId="16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4" fontId="3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1" fillId="0" borderId="0" xfId="0" applyFont="1" applyBorder="1"/>
    <xf numFmtId="166" fontId="3" fillId="0" borderId="7" xfId="0" applyNumberFormat="1" applyFont="1" applyBorder="1" applyAlignment="1">
      <alignment horizontal="center" vertical="center" wrapText="1"/>
    </xf>
    <xf numFmtId="9" fontId="3" fillId="0" borderId="19" xfId="0" applyNumberFormat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23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3" fontId="3" fillId="0" borderId="19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3" fontId="3" fillId="0" borderId="23" xfId="0" applyNumberFormat="1" applyFont="1" applyBorder="1" applyAlignment="1">
      <alignment horizontal="center" vertical="center" wrapText="1"/>
    </xf>
    <xf numFmtId="4" fontId="3" fillId="0" borderId="20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0" borderId="24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/>
    <xf numFmtId="2" fontId="1" fillId="0" borderId="0" xfId="0" applyNumberFormat="1" applyFont="1"/>
    <xf numFmtId="168" fontId="3" fillId="0" borderId="19" xfId="1" applyNumberFormat="1" applyFont="1" applyBorder="1" applyAlignment="1">
      <alignment horizontal="center"/>
    </xf>
    <xf numFmtId="168" fontId="3" fillId="0" borderId="12" xfId="1" applyNumberFormat="1" applyFont="1" applyBorder="1" applyAlignment="1">
      <alignment horizontal="center"/>
    </xf>
    <xf numFmtId="168" fontId="3" fillId="0" borderId="23" xfId="1" applyNumberFormat="1" applyFont="1" applyBorder="1" applyAlignment="1">
      <alignment horizontal="center"/>
    </xf>
    <xf numFmtId="167" fontId="3" fillId="0" borderId="25" xfId="0" applyNumberFormat="1" applyFont="1" applyBorder="1" applyAlignment="1">
      <alignment horizontal="center" vertical="center" wrapText="1"/>
    </xf>
    <xf numFmtId="4" fontId="3" fillId="0" borderId="25" xfId="0" applyNumberFormat="1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3" fontId="7" fillId="0" borderId="13" xfId="0" applyNumberFormat="1" applyFont="1" applyBorder="1" applyAlignment="1">
      <alignment horizontal="center" vertical="center" wrapText="1"/>
    </xf>
    <xf numFmtId="3" fontId="1" fillId="0" borderId="0" xfId="0" applyNumberFormat="1" applyFont="1"/>
    <xf numFmtId="0" fontId="1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textRotation="90"/>
    </xf>
    <xf numFmtId="0" fontId="8" fillId="0" borderId="2" xfId="0" applyFont="1" applyBorder="1" applyAlignment="1">
      <alignment textRotation="90" wrapText="1"/>
    </xf>
    <xf numFmtId="0" fontId="8" fillId="0" borderId="6" xfId="0" applyFont="1" applyBorder="1" applyAlignment="1">
      <alignment textRotation="90" wrapText="1"/>
    </xf>
    <xf numFmtId="0" fontId="8" fillId="0" borderId="0" xfId="0" applyFont="1" applyAlignment="1">
      <alignment textRotation="90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7" fontId="3" fillId="0" borderId="14" xfId="0" applyNumberFormat="1" applyFont="1" applyBorder="1" applyAlignment="1">
      <alignment horizontal="center" vertical="center" wrapText="1"/>
    </xf>
    <xf numFmtId="167" fontId="3" fillId="0" borderId="19" xfId="0" applyNumberFormat="1" applyFont="1" applyBorder="1" applyAlignment="1">
      <alignment horizontal="center" vertical="center" wrapText="1"/>
    </xf>
    <xf numFmtId="167" fontId="3" fillId="0" borderId="12" xfId="0" applyNumberFormat="1" applyFont="1" applyBorder="1" applyAlignment="1">
      <alignment horizontal="center" vertical="center" wrapText="1"/>
    </xf>
    <xf numFmtId="167" fontId="3" fillId="0" borderId="18" xfId="0" applyNumberFormat="1" applyFont="1" applyBorder="1" applyAlignment="1">
      <alignment horizontal="center" vertical="center" wrapText="1"/>
    </xf>
    <xf numFmtId="167" fontId="3" fillId="0" borderId="2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1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abSelected="1" topLeftCell="A82" zoomScale="85" zoomScaleNormal="85" workbookViewId="0">
      <selection activeCell="C105" sqref="A94:C105"/>
    </sheetView>
  </sheetViews>
  <sheetFormatPr defaultColWidth="9.140625" defaultRowHeight="15" x14ac:dyDescent="0.25"/>
  <cols>
    <col min="1" max="1" width="5.42578125" style="4" bestFit="1" customWidth="1"/>
    <col min="2" max="2" width="27.140625" style="4" customWidth="1"/>
    <col min="3" max="3" width="18.42578125" style="4" customWidth="1"/>
    <col min="4" max="4" width="16.28515625" style="4" customWidth="1"/>
    <col min="5" max="5" width="16.28515625" style="4" bestFit="1" customWidth="1"/>
    <col min="6" max="6" width="16.42578125" style="4" bestFit="1" customWidth="1"/>
    <col min="7" max="7" width="17.42578125" style="4" customWidth="1"/>
    <col min="8" max="8" width="10" style="4" bestFit="1" customWidth="1"/>
    <col min="9" max="9" width="11.28515625" style="4" bestFit="1" customWidth="1"/>
    <col min="10" max="10" width="30.28515625" style="4" customWidth="1"/>
    <col min="11" max="11" width="18.85546875" style="4" customWidth="1"/>
    <col min="12" max="15" width="9.140625" style="4"/>
    <col min="16" max="18" width="11.7109375" style="4" bestFit="1" customWidth="1"/>
    <col min="19" max="16384" width="9.140625" style="4"/>
  </cols>
  <sheetData>
    <row r="1" spans="1:18" ht="19.5" thickBot="1" x14ac:dyDescent="0.3">
      <c r="A1" s="97" t="s">
        <v>21</v>
      </c>
      <c r="B1" s="97"/>
      <c r="C1" s="97"/>
      <c r="D1" s="97"/>
      <c r="E1" s="97"/>
      <c r="F1" s="97"/>
      <c r="G1" s="97"/>
    </row>
    <row r="2" spans="1:18" ht="171" thickBot="1" x14ac:dyDescent="0.3">
      <c r="A2" s="1" t="s">
        <v>7</v>
      </c>
      <c r="B2" s="1" t="s">
        <v>0</v>
      </c>
      <c r="C2" s="7" t="s">
        <v>8</v>
      </c>
      <c r="D2" s="6" t="s">
        <v>9</v>
      </c>
      <c r="E2" s="6" t="s">
        <v>10</v>
      </c>
      <c r="F2" s="6" t="s">
        <v>12</v>
      </c>
      <c r="G2" s="7" t="s">
        <v>11</v>
      </c>
      <c r="J2" s="74" t="s">
        <v>113</v>
      </c>
      <c r="K2" s="71" t="s">
        <v>114</v>
      </c>
      <c r="L2" s="71" t="s">
        <v>115</v>
      </c>
      <c r="M2" s="71" t="s">
        <v>122</v>
      </c>
      <c r="N2" s="72" t="s">
        <v>116</v>
      </c>
      <c r="O2" s="73" t="s">
        <v>117</v>
      </c>
      <c r="P2" s="73" t="s">
        <v>118</v>
      </c>
      <c r="Q2" s="73" t="s">
        <v>119</v>
      </c>
      <c r="R2" s="73" t="s">
        <v>120</v>
      </c>
    </row>
    <row r="3" spans="1:18" ht="19.899999999999999" customHeight="1" thickBot="1" x14ac:dyDescent="0.35">
      <c r="A3" s="5">
        <v>1</v>
      </c>
      <c r="B3" s="5" t="s">
        <v>1</v>
      </c>
      <c r="C3" s="82">
        <f>N$3/60</f>
        <v>5.3333333333333337E-2</v>
      </c>
      <c r="D3" s="10">
        <f>$J$3*1000</f>
        <v>195000</v>
      </c>
      <c r="E3" s="11">
        <f>C3*D3</f>
        <v>10400</v>
      </c>
      <c r="F3" s="12">
        <f>250*2*8*(1-0.06)</f>
        <v>3760</v>
      </c>
      <c r="G3" s="13">
        <f>E3/F3</f>
        <v>2.7659574468085109</v>
      </c>
      <c r="H3" s="4">
        <f>IF(G3&lt;1, 1, ROUNDUP(G3, 0))</f>
        <v>3</v>
      </c>
      <c r="J3" s="77">
        <v>195</v>
      </c>
      <c r="K3" s="78">
        <v>30</v>
      </c>
      <c r="L3" s="76" t="s">
        <v>121</v>
      </c>
      <c r="M3" s="87">
        <v>0.6</v>
      </c>
      <c r="N3" s="75">
        <v>3.2</v>
      </c>
      <c r="O3" s="81">
        <v>3.4</v>
      </c>
      <c r="P3" s="81">
        <v>2.4</v>
      </c>
      <c r="Q3" s="81">
        <v>3.1</v>
      </c>
      <c r="R3" s="81">
        <v>2.5</v>
      </c>
    </row>
    <row r="4" spans="1:18" ht="19.899999999999999" customHeight="1" thickBot="1" x14ac:dyDescent="0.35">
      <c r="A4" s="5">
        <v>2</v>
      </c>
      <c r="B4" s="5" t="s">
        <v>2</v>
      </c>
      <c r="C4" s="82">
        <f>O$3/60</f>
        <v>5.6666666666666664E-2</v>
      </c>
      <c r="D4" s="10">
        <f t="shared" ref="D4:D7" si="0">$J$3*1000</f>
        <v>195000</v>
      </c>
      <c r="E4" s="15">
        <f>C4*D4</f>
        <v>11050</v>
      </c>
      <c r="F4" s="16">
        <f>250*2*8*(1-0.06)</f>
        <v>3760</v>
      </c>
      <c r="G4" s="13">
        <f>E4/F4</f>
        <v>2.9388297872340425</v>
      </c>
      <c r="H4" s="4">
        <f t="shared" ref="H4:H7" si="1">IF(G4&lt;1, 1, ROUNDUP(G4, 0))</f>
        <v>3</v>
      </c>
      <c r="K4" s="79">
        <v>25</v>
      </c>
    </row>
    <row r="5" spans="1:18" ht="19.899999999999999" customHeight="1" thickBot="1" x14ac:dyDescent="0.35">
      <c r="A5" s="5">
        <v>3</v>
      </c>
      <c r="B5" s="5" t="s">
        <v>3</v>
      </c>
      <c r="C5" s="82">
        <f>P$3/60</f>
        <v>0.04</v>
      </c>
      <c r="D5" s="10">
        <f t="shared" si="0"/>
        <v>195000</v>
      </c>
      <c r="E5" s="15">
        <f>C5*D5</f>
        <v>7800</v>
      </c>
      <c r="F5" s="16">
        <f>250*2*8*(1-0.06)</f>
        <v>3760</v>
      </c>
      <c r="G5" s="13">
        <f>E5/F5</f>
        <v>2.0744680851063828</v>
      </c>
      <c r="H5" s="4">
        <f t="shared" si="1"/>
        <v>3</v>
      </c>
      <c r="K5" s="79">
        <v>10</v>
      </c>
    </row>
    <row r="6" spans="1:18" ht="19.899999999999999" customHeight="1" thickBot="1" x14ac:dyDescent="0.35">
      <c r="A6" s="5">
        <v>4</v>
      </c>
      <c r="B6" s="5" t="s">
        <v>4</v>
      </c>
      <c r="C6" s="82">
        <f>Q$3/60</f>
        <v>5.1666666666666666E-2</v>
      </c>
      <c r="D6" s="10">
        <f t="shared" si="0"/>
        <v>195000</v>
      </c>
      <c r="E6" s="15">
        <f>C6*D6</f>
        <v>10075</v>
      </c>
      <c r="F6" s="16">
        <f>250*2*8*(1-0.06)</f>
        <v>3760</v>
      </c>
      <c r="G6" s="13">
        <f>E6/F6</f>
        <v>2.6795212765957448</v>
      </c>
      <c r="H6" s="4">
        <f t="shared" si="1"/>
        <v>3</v>
      </c>
    </row>
    <row r="7" spans="1:18" ht="19.899999999999999" customHeight="1" thickBot="1" x14ac:dyDescent="0.35">
      <c r="A7" s="5">
        <v>5</v>
      </c>
      <c r="B7" s="5" t="s">
        <v>5</v>
      </c>
      <c r="C7" s="82">
        <f>R$3/60</f>
        <v>4.1666666666666664E-2</v>
      </c>
      <c r="D7" s="10">
        <f t="shared" si="0"/>
        <v>195000</v>
      </c>
      <c r="E7" s="17">
        <f>C7*D7</f>
        <v>8125</v>
      </c>
      <c r="F7" s="18">
        <f>250*2*8*(1-0.06)</f>
        <v>3760</v>
      </c>
      <c r="G7" s="13">
        <f>E7/F7</f>
        <v>2.1609042553191489</v>
      </c>
      <c r="H7" s="4">
        <f t="shared" si="1"/>
        <v>3</v>
      </c>
    </row>
    <row r="8" spans="1:18" ht="19.899999999999999" customHeight="1" thickBot="1" x14ac:dyDescent="0.3">
      <c r="A8" s="94" t="s">
        <v>27</v>
      </c>
      <c r="B8" s="95"/>
      <c r="C8" s="95"/>
      <c r="D8" s="95"/>
      <c r="E8" s="95"/>
      <c r="F8" s="96"/>
      <c r="G8" s="45">
        <f>SUM(H3:H7)</f>
        <v>15</v>
      </c>
    </row>
    <row r="10" spans="1:18" ht="19.5" thickBot="1" x14ac:dyDescent="0.3">
      <c r="A10" s="97" t="s">
        <v>22</v>
      </c>
      <c r="B10" s="97"/>
      <c r="C10" s="97"/>
      <c r="D10" s="97"/>
      <c r="E10" s="97"/>
    </row>
    <row r="11" spans="1:18" ht="45.75" thickBot="1" x14ac:dyDescent="0.3">
      <c r="A11" s="1" t="s">
        <v>7</v>
      </c>
      <c r="B11" s="2" t="s">
        <v>13</v>
      </c>
      <c r="C11" s="2" t="s">
        <v>19</v>
      </c>
      <c r="D11" s="2" t="s">
        <v>6</v>
      </c>
      <c r="E11" s="2" t="s">
        <v>20</v>
      </c>
    </row>
    <row r="12" spans="1:18" ht="19.5" thickBot="1" x14ac:dyDescent="0.3">
      <c r="A12" s="5">
        <v>1</v>
      </c>
      <c r="B12" s="5" t="s">
        <v>14</v>
      </c>
      <c r="C12" s="22">
        <v>2398000</v>
      </c>
      <c r="D12" s="22">
        <f>H3</f>
        <v>3</v>
      </c>
      <c r="E12" s="22">
        <f>C12*D12</f>
        <v>7194000</v>
      </c>
    </row>
    <row r="13" spans="1:18" ht="19.5" thickBot="1" x14ac:dyDescent="0.3">
      <c r="A13" s="5">
        <v>2</v>
      </c>
      <c r="B13" s="5" t="s">
        <v>15</v>
      </c>
      <c r="C13" s="22">
        <v>1865000</v>
      </c>
      <c r="D13" s="22">
        <f t="shared" ref="D13:D16" si="2">H4</f>
        <v>3</v>
      </c>
      <c r="E13" s="22">
        <f>C13*D13</f>
        <v>5595000</v>
      </c>
    </row>
    <row r="14" spans="1:18" ht="19.5" thickBot="1" x14ac:dyDescent="0.3">
      <c r="A14" s="5">
        <v>3</v>
      </c>
      <c r="B14" s="5" t="s">
        <v>16</v>
      </c>
      <c r="C14" s="45">
        <v>1669000</v>
      </c>
      <c r="D14" s="22">
        <f t="shared" si="2"/>
        <v>3</v>
      </c>
      <c r="E14" s="22">
        <f>C14*D14</f>
        <v>5007000</v>
      </c>
    </row>
    <row r="15" spans="1:18" ht="19.5" thickBot="1" x14ac:dyDescent="0.3">
      <c r="A15" s="5">
        <v>4</v>
      </c>
      <c r="B15" s="5" t="s">
        <v>17</v>
      </c>
      <c r="C15" s="88">
        <v>1510000</v>
      </c>
      <c r="D15" s="22">
        <f t="shared" si="2"/>
        <v>3</v>
      </c>
      <c r="E15" s="22">
        <f>C15*D15</f>
        <v>4530000</v>
      </c>
    </row>
    <row r="16" spans="1:18" ht="19.5" thickBot="1" x14ac:dyDescent="0.3">
      <c r="A16" s="5">
        <v>5</v>
      </c>
      <c r="B16" s="5" t="s">
        <v>18</v>
      </c>
      <c r="C16" s="88">
        <v>1815000</v>
      </c>
      <c r="D16" s="22">
        <f t="shared" si="2"/>
        <v>3</v>
      </c>
      <c r="E16" s="22">
        <f>C16*D16</f>
        <v>5445000</v>
      </c>
    </row>
    <row r="17" spans="1:7" ht="19.5" thickBot="1" x14ac:dyDescent="0.3">
      <c r="A17" s="94" t="s">
        <v>49</v>
      </c>
      <c r="B17" s="95"/>
      <c r="C17" s="95"/>
      <c r="D17" s="96"/>
      <c r="E17" s="45">
        <f>SUM(E12:E16)</f>
        <v>27771000</v>
      </c>
    </row>
    <row r="19" spans="1:7" ht="19.5" thickBot="1" x14ac:dyDescent="0.3">
      <c r="A19" s="97" t="s">
        <v>30</v>
      </c>
      <c r="B19" s="97"/>
      <c r="C19" s="97"/>
      <c r="D19" s="97"/>
      <c r="E19" s="97"/>
      <c r="F19" s="97"/>
    </row>
    <row r="20" spans="1:7" ht="45" customHeight="1" thickBot="1" x14ac:dyDescent="0.3">
      <c r="A20" s="100" t="s">
        <v>7</v>
      </c>
      <c r="B20" s="100" t="s">
        <v>13</v>
      </c>
      <c r="C20" s="100" t="s">
        <v>11</v>
      </c>
      <c r="D20" s="98" t="s">
        <v>23</v>
      </c>
      <c r="E20" s="99"/>
      <c r="F20" s="100" t="s">
        <v>29</v>
      </c>
    </row>
    <row r="21" spans="1:7" ht="15.75" thickBot="1" x14ac:dyDescent="0.3">
      <c r="A21" s="102"/>
      <c r="B21" s="101"/>
      <c r="C21" s="102"/>
      <c r="D21" s="1" t="s">
        <v>24</v>
      </c>
      <c r="E21" s="1" t="s">
        <v>25</v>
      </c>
      <c r="F21" s="101"/>
    </row>
    <row r="22" spans="1:7" ht="15.75" customHeight="1" thickBot="1" x14ac:dyDescent="0.3">
      <c r="A22" s="5">
        <v>1</v>
      </c>
      <c r="B22" s="5" t="s">
        <v>26</v>
      </c>
      <c r="C22" s="22">
        <f>H3</f>
        <v>3</v>
      </c>
      <c r="D22" s="20">
        <v>3.7</v>
      </c>
      <c r="E22" s="24">
        <v>8</v>
      </c>
      <c r="F22" s="24">
        <f>(D22+E22)*C22</f>
        <v>35.099999999999994</v>
      </c>
    </row>
    <row r="23" spans="1:7" ht="15.75" customHeight="1" thickBot="1" x14ac:dyDescent="0.3">
      <c r="A23" s="5">
        <v>2</v>
      </c>
      <c r="B23" s="5" t="s">
        <v>15</v>
      </c>
      <c r="C23" s="22">
        <f t="shared" ref="C23:C26" si="3">H4</f>
        <v>3</v>
      </c>
      <c r="D23" s="21">
        <v>1</v>
      </c>
      <c r="E23" s="25">
        <v>4</v>
      </c>
      <c r="F23" s="24">
        <f>(D23+E23)*C23</f>
        <v>15</v>
      </c>
    </row>
    <row r="24" spans="1:7" ht="15.75" customHeight="1" thickBot="1" x14ac:dyDescent="0.3">
      <c r="A24" s="5">
        <v>3</v>
      </c>
      <c r="B24" s="5" t="s">
        <v>16</v>
      </c>
      <c r="C24" s="22">
        <f t="shared" si="3"/>
        <v>3</v>
      </c>
      <c r="D24" s="21">
        <v>16.3</v>
      </c>
      <c r="E24" s="25">
        <v>34</v>
      </c>
      <c r="F24" s="24">
        <f>(D24+E24)*C24</f>
        <v>150.89999999999998</v>
      </c>
    </row>
    <row r="25" spans="1:7" ht="15.75" customHeight="1" thickBot="1" x14ac:dyDescent="0.3">
      <c r="A25" s="5">
        <v>4</v>
      </c>
      <c r="B25" s="5" t="s">
        <v>17</v>
      </c>
      <c r="C25" s="22">
        <f t="shared" si="3"/>
        <v>3</v>
      </c>
      <c r="D25" s="21">
        <v>4.8</v>
      </c>
      <c r="E25" s="25">
        <v>10</v>
      </c>
      <c r="F25" s="24">
        <f>(D25+E25)*C25</f>
        <v>44.400000000000006</v>
      </c>
    </row>
    <row r="26" spans="1:7" ht="15.75" customHeight="1" thickBot="1" x14ac:dyDescent="0.3">
      <c r="A26" s="5">
        <v>5</v>
      </c>
      <c r="B26" s="5" t="s">
        <v>18</v>
      </c>
      <c r="C26" s="22">
        <f t="shared" si="3"/>
        <v>3</v>
      </c>
      <c r="D26" s="21">
        <v>7.6</v>
      </c>
      <c r="E26" s="25">
        <v>16</v>
      </c>
      <c r="F26" s="24">
        <f>(D26+E26)*C26</f>
        <v>70.800000000000011</v>
      </c>
      <c r="G26" s="4" t="s">
        <v>112</v>
      </c>
    </row>
    <row r="27" spans="1:7" ht="19.5" thickBot="1" x14ac:dyDescent="0.3">
      <c r="A27" s="94" t="s">
        <v>27</v>
      </c>
      <c r="B27" s="95"/>
      <c r="C27" s="95"/>
      <c r="D27" s="95"/>
      <c r="E27" s="96"/>
      <c r="F27" s="24">
        <f>SUM(F22:F26)</f>
        <v>316.2</v>
      </c>
      <c r="G27" s="4">
        <f>F27*9400</f>
        <v>2972280</v>
      </c>
    </row>
    <row r="28" spans="1:7" ht="19.5" thickBot="1" x14ac:dyDescent="0.3">
      <c r="A28" s="94" t="s">
        <v>139</v>
      </c>
      <c r="B28" s="95"/>
      <c r="C28" s="95"/>
      <c r="D28" s="95"/>
      <c r="E28" s="96"/>
      <c r="F28" s="110">
        <f>F27*9400</f>
        <v>2972280</v>
      </c>
    </row>
    <row r="29" spans="1:7" ht="19.5" thickBot="1" x14ac:dyDescent="0.3">
      <c r="A29" s="104" t="s">
        <v>38</v>
      </c>
      <c r="B29" s="104"/>
      <c r="C29" s="104"/>
      <c r="D29" s="104"/>
      <c r="E29" s="104"/>
      <c r="F29" s="104"/>
    </row>
    <row r="30" spans="1:7" ht="30.75" thickBot="1" x14ac:dyDescent="0.3">
      <c r="A30" s="8" t="s">
        <v>7</v>
      </c>
      <c r="B30" s="6" t="s">
        <v>31</v>
      </c>
      <c r="C30" s="6" t="s">
        <v>28</v>
      </c>
      <c r="D30" s="6" t="s">
        <v>32</v>
      </c>
    </row>
    <row r="31" spans="1:7" ht="19.5" thickBot="1" x14ac:dyDescent="0.3">
      <c r="A31" s="47">
        <v>1</v>
      </c>
      <c r="B31" s="46" t="s">
        <v>33</v>
      </c>
      <c r="C31" s="3"/>
      <c r="D31" s="89">
        <f>9400*F27</f>
        <v>2972280</v>
      </c>
    </row>
    <row r="32" spans="1:7" ht="19.5" thickBot="1" x14ac:dyDescent="0.3">
      <c r="A32" s="47">
        <v>2</v>
      </c>
      <c r="B32" s="46" t="s">
        <v>34</v>
      </c>
      <c r="C32" s="3"/>
      <c r="D32" s="89">
        <f>E17</f>
        <v>27771000</v>
      </c>
    </row>
    <row r="33" spans="1:6" ht="19.5" thickBot="1" x14ac:dyDescent="0.3">
      <c r="A33" s="47">
        <v>3</v>
      </c>
      <c r="B33" s="46" t="s">
        <v>35</v>
      </c>
      <c r="C33" s="26">
        <v>0.1</v>
      </c>
      <c r="D33" s="89">
        <f>D32*C33</f>
        <v>2777100</v>
      </c>
    </row>
    <row r="34" spans="1:6" ht="30.75" thickBot="1" x14ac:dyDescent="0.3">
      <c r="A34" s="47">
        <v>4</v>
      </c>
      <c r="B34" s="46" t="s">
        <v>36</v>
      </c>
      <c r="C34" s="26">
        <v>0.04</v>
      </c>
      <c r="D34" s="89">
        <f>D32*C34</f>
        <v>1110840</v>
      </c>
    </row>
    <row r="35" spans="1:6" ht="19.5" thickBot="1" x14ac:dyDescent="0.3">
      <c r="A35" s="47">
        <v>5</v>
      </c>
      <c r="B35" s="46" t="s">
        <v>37</v>
      </c>
      <c r="C35" s="26">
        <v>0.04</v>
      </c>
      <c r="D35" s="89">
        <f>D32*C35</f>
        <v>1110840</v>
      </c>
    </row>
    <row r="36" spans="1:6" ht="19.5" thickBot="1" x14ac:dyDescent="0.3">
      <c r="A36" s="94" t="s">
        <v>27</v>
      </c>
      <c r="B36" s="95"/>
      <c r="C36" s="96"/>
      <c r="D36" s="89">
        <f>SUM(D31:D35)</f>
        <v>35742060</v>
      </c>
    </row>
    <row r="38" spans="1:6" ht="19.5" thickBot="1" x14ac:dyDescent="0.3">
      <c r="A38" s="97" t="s">
        <v>41</v>
      </c>
      <c r="B38" s="97"/>
      <c r="C38" s="97"/>
      <c r="D38" s="97"/>
      <c r="E38" s="97"/>
      <c r="F38" s="28"/>
    </row>
    <row r="39" spans="1:6" ht="45.75" thickBot="1" x14ac:dyDescent="0.3">
      <c r="A39" s="8" t="s">
        <v>7</v>
      </c>
      <c r="B39" s="6" t="s">
        <v>39</v>
      </c>
      <c r="C39" s="6" t="s">
        <v>40</v>
      </c>
      <c r="D39" s="7" t="s">
        <v>42</v>
      </c>
      <c r="E39" s="6" t="s">
        <v>43</v>
      </c>
      <c r="F39" s="29"/>
    </row>
    <row r="40" spans="1:6" ht="19.5" thickBot="1" x14ac:dyDescent="0.3">
      <c r="A40" s="48">
        <v>1</v>
      </c>
      <c r="B40" s="46" t="s">
        <v>26</v>
      </c>
      <c r="C40" s="89">
        <f>E12</f>
        <v>7194000</v>
      </c>
      <c r="D40" s="30">
        <v>0.2</v>
      </c>
      <c r="E40" s="89">
        <f>C40*D40</f>
        <v>1438800</v>
      </c>
    </row>
    <row r="41" spans="1:6" ht="19.5" thickBot="1" x14ac:dyDescent="0.3">
      <c r="A41" s="48">
        <v>2</v>
      </c>
      <c r="B41" s="46" t="s">
        <v>15</v>
      </c>
      <c r="C41" s="90">
        <f>E13</f>
        <v>5595000</v>
      </c>
      <c r="D41" s="30">
        <v>0.2</v>
      </c>
      <c r="E41" s="89">
        <f t="shared" ref="E41:E44" si="4">C41*D41</f>
        <v>1119000</v>
      </c>
    </row>
    <row r="42" spans="1:6" ht="19.5" thickBot="1" x14ac:dyDescent="0.3">
      <c r="A42" s="48">
        <v>3</v>
      </c>
      <c r="B42" s="46" t="s">
        <v>16</v>
      </c>
      <c r="C42" s="90">
        <f>E14</f>
        <v>5007000</v>
      </c>
      <c r="D42" s="30">
        <v>0.2</v>
      </c>
      <c r="E42" s="89">
        <f t="shared" si="4"/>
        <v>1001400</v>
      </c>
    </row>
    <row r="43" spans="1:6" ht="19.5" thickBot="1" x14ac:dyDescent="0.3">
      <c r="A43" s="48">
        <v>4</v>
      </c>
      <c r="B43" s="46" t="s">
        <v>17</v>
      </c>
      <c r="C43" s="90">
        <f>E15</f>
        <v>4530000</v>
      </c>
      <c r="D43" s="30">
        <v>0.2</v>
      </c>
      <c r="E43" s="89">
        <f t="shared" si="4"/>
        <v>906000</v>
      </c>
    </row>
    <row r="44" spans="1:6" ht="19.5" thickBot="1" x14ac:dyDescent="0.3">
      <c r="A44" s="48">
        <v>5</v>
      </c>
      <c r="B44" s="46" t="s">
        <v>18</v>
      </c>
      <c r="C44" s="90">
        <f>E16</f>
        <v>5445000</v>
      </c>
      <c r="D44" s="30">
        <v>0.2</v>
      </c>
      <c r="E44" s="89">
        <f t="shared" si="4"/>
        <v>1089000</v>
      </c>
    </row>
    <row r="45" spans="1:6" ht="19.5" thickBot="1" x14ac:dyDescent="0.3">
      <c r="A45" s="48">
        <v>6</v>
      </c>
      <c r="B45" s="46" t="s">
        <v>33</v>
      </c>
      <c r="C45" s="90">
        <f>D31</f>
        <v>2972280</v>
      </c>
      <c r="D45" s="30">
        <v>2.5000000000000001E-2</v>
      </c>
      <c r="E45" s="89">
        <f>C45*D45</f>
        <v>74307</v>
      </c>
    </row>
    <row r="46" spans="1:6" ht="19.5" thickBot="1" x14ac:dyDescent="0.3">
      <c r="A46" s="94" t="s">
        <v>27</v>
      </c>
      <c r="B46" s="95"/>
      <c r="C46" s="95"/>
      <c r="D46" s="96"/>
      <c r="E46" s="90">
        <f>SUM(E40:E45)</f>
        <v>5628507</v>
      </c>
    </row>
    <row r="48" spans="1:6" ht="19.5" thickBot="1" x14ac:dyDescent="0.35">
      <c r="A48" s="103" t="s">
        <v>46</v>
      </c>
      <c r="B48" s="103"/>
      <c r="C48" s="103"/>
      <c r="D48" s="103"/>
      <c r="E48" s="103"/>
    </row>
    <row r="49" spans="1:10" ht="75.75" thickBot="1" x14ac:dyDescent="0.3">
      <c r="A49" s="1" t="s">
        <v>7</v>
      </c>
      <c r="B49" s="1" t="s">
        <v>13</v>
      </c>
      <c r="C49" s="1" t="s">
        <v>12</v>
      </c>
      <c r="D49" s="2" t="s">
        <v>45</v>
      </c>
      <c r="E49" s="1" t="s">
        <v>47</v>
      </c>
      <c r="F49" s="2" t="s">
        <v>8</v>
      </c>
      <c r="G49" s="42" t="s">
        <v>48</v>
      </c>
      <c r="H49" s="70" t="s">
        <v>9</v>
      </c>
      <c r="I49" s="43" t="s">
        <v>44</v>
      </c>
    </row>
    <row r="50" spans="1:10" ht="15" customHeight="1" thickBot="1" x14ac:dyDescent="0.35">
      <c r="A50" s="9">
        <v>1</v>
      </c>
      <c r="B50" s="49" t="s">
        <v>26</v>
      </c>
      <c r="C50" s="34">
        <f>250*2*8*(1-0.06)</f>
        <v>3760</v>
      </c>
      <c r="D50" s="35">
        <f>H3</f>
        <v>3</v>
      </c>
      <c r="E50" s="31">
        <v>1.03</v>
      </c>
      <c r="F50" s="83">
        <f>C3</f>
        <v>5.3333333333333337E-2</v>
      </c>
      <c r="G50" s="38">
        <f>C50*D50*E50/F50</f>
        <v>217844.99999999997</v>
      </c>
      <c r="H50" s="68">
        <f>D3</f>
        <v>195000</v>
      </c>
      <c r="I50" s="39">
        <f>H50*F50/(C50*D50*E50)</f>
        <v>0.89513185980857957</v>
      </c>
      <c r="J50" s="69">
        <f>SUM(G50:G54)</f>
        <v>1217049.4462998102</v>
      </c>
    </row>
    <row r="51" spans="1:10" ht="15.75" customHeight="1" thickBot="1" x14ac:dyDescent="0.35">
      <c r="A51" s="9">
        <v>2</v>
      </c>
      <c r="B51" s="49" t="s">
        <v>15</v>
      </c>
      <c r="C51" s="36">
        <f t="shared" ref="C51:C54" si="5">250*2*8*(1-0.06)</f>
        <v>3760</v>
      </c>
      <c r="D51" s="35">
        <f t="shared" ref="D51:D54" si="6">H4</f>
        <v>3</v>
      </c>
      <c r="E51" s="32">
        <v>1.03</v>
      </c>
      <c r="F51" s="84">
        <f>C4</f>
        <v>5.6666666666666664E-2</v>
      </c>
      <c r="G51" s="14">
        <f>C51*D51*E51/F51</f>
        <v>205030.58823529413</v>
      </c>
      <c r="H51" s="68">
        <f t="shared" ref="H51:H54" si="7">D4</f>
        <v>195000</v>
      </c>
      <c r="I51" s="40">
        <f>H51*F51/(C51*D51*E51)</f>
        <v>0.95107760104661576</v>
      </c>
    </row>
    <row r="52" spans="1:10" ht="15" customHeight="1" thickBot="1" x14ac:dyDescent="0.35">
      <c r="A52" s="9">
        <v>3</v>
      </c>
      <c r="B52" s="49" t="s">
        <v>16</v>
      </c>
      <c r="C52" s="36">
        <f t="shared" si="5"/>
        <v>3760</v>
      </c>
      <c r="D52" s="35">
        <f t="shared" si="6"/>
        <v>3</v>
      </c>
      <c r="E52" s="32">
        <v>1.03</v>
      </c>
      <c r="F52" s="83">
        <f t="shared" ref="F52:F54" si="8">C5</f>
        <v>0.04</v>
      </c>
      <c r="G52" s="14">
        <f>C52*D52*E52/F52</f>
        <v>290460</v>
      </c>
      <c r="H52" s="68">
        <f t="shared" si="7"/>
        <v>195000</v>
      </c>
      <c r="I52" s="40">
        <f>H52*F52/(C52*D52*E52)</f>
        <v>0.67134889485643467</v>
      </c>
    </row>
    <row r="53" spans="1:10" ht="15.75" customHeight="1" thickBot="1" x14ac:dyDescent="0.35">
      <c r="A53" s="9">
        <v>4</v>
      </c>
      <c r="B53" s="49" t="s">
        <v>17</v>
      </c>
      <c r="C53" s="36">
        <f t="shared" si="5"/>
        <v>3760</v>
      </c>
      <c r="D53" s="35">
        <f t="shared" si="6"/>
        <v>3</v>
      </c>
      <c r="E53" s="32">
        <v>1.03</v>
      </c>
      <c r="F53" s="84">
        <f t="shared" si="8"/>
        <v>5.1666666666666666E-2</v>
      </c>
      <c r="G53" s="14">
        <f>C53*D53*E53/F53</f>
        <v>224872.25806451612</v>
      </c>
      <c r="H53" s="68">
        <f t="shared" si="7"/>
        <v>195000</v>
      </c>
      <c r="I53" s="40">
        <f>H53*F53/(C53*D53*E53)</f>
        <v>0.86715898918956136</v>
      </c>
    </row>
    <row r="54" spans="1:10" ht="15" customHeight="1" thickBot="1" x14ac:dyDescent="0.35">
      <c r="A54" s="23">
        <v>5</v>
      </c>
      <c r="B54" s="50" t="s">
        <v>18</v>
      </c>
      <c r="C54" s="37">
        <f t="shared" si="5"/>
        <v>3760</v>
      </c>
      <c r="D54" s="35">
        <f t="shared" si="6"/>
        <v>3</v>
      </c>
      <c r="E54" s="33">
        <v>1.03</v>
      </c>
      <c r="F54" s="83">
        <f t="shared" si="8"/>
        <v>4.1666666666666664E-2</v>
      </c>
      <c r="G54" s="38">
        <f>C54*D54*E54/F54</f>
        <v>278841.60000000003</v>
      </c>
      <c r="H54" s="68">
        <f t="shared" si="7"/>
        <v>195000</v>
      </c>
      <c r="I54" s="41">
        <f>H54*F54/(C54*D54*E54)</f>
        <v>0.69932176547545277</v>
      </c>
    </row>
    <row r="56" spans="1:10" ht="19.5" thickBot="1" x14ac:dyDescent="0.35">
      <c r="B56" s="103" t="s">
        <v>61</v>
      </c>
      <c r="C56" s="103"/>
      <c r="D56" s="103"/>
      <c r="E56" s="103"/>
      <c r="F56" s="103"/>
      <c r="G56" s="103"/>
    </row>
    <row r="57" spans="1:10" ht="45.75" thickBot="1" x14ac:dyDescent="0.3">
      <c r="B57" s="44" t="s">
        <v>50</v>
      </c>
      <c r="C57" s="44" t="s">
        <v>51</v>
      </c>
      <c r="D57" s="44" t="s">
        <v>52</v>
      </c>
      <c r="E57" s="42" t="s">
        <v>53</v>
      </c>
      <c r="F57" s="44" t="s">
        <v>54</v>
      </c>
      <c r="G57" s="44" t="s">
        <v>55</v>
      </c>
    </row>
    <row r="58" spans="1:10" ht="16.5" thickBot="1" x14ac:dyDescent="0.3">
      <c r="B58" s="52">
        <f>((K3*K4*K5*7800*J3*1000)/360/1000000000)</f>
        <v>31.6875</v>
      </c>
      <c r="C58" s="52">
        <f>B58*40*350</f>
        <v>443625</v>
      </c>
      <c r="D58" s="52">
        <f>(B58*40*350)/2</f>
        <v>221812.5</v>
      </c>
      <c r="E58" s="52">
        <f>B58*2*350</f>
        <v>22181.25</v>
      </c>
      <c r="F58" s="51">
        <v>0</v>
      </c>
      <c r="G58" s="52">
        <f>D58+E58+F58</f>
        <v>243993.75</v>
      </c>
    </row>
    <row r="60" spans="1:10" ht="19.5" thickBot="1" x14ac:dyDescent="0.35">
      <c r="B60" s="103" t="s">
        <v>60</v>
      </c>
      <c r="C60" s="103"/>
      <c r="D60" s="103"/>
      <c r="E60" s="103"/>
    </row>
    <row r="61" spans="1:10" ht="60.75" thickBot="1" x14ac:dyDescent="0.3">
      <c r="B61" s="44" t="s">
        <v>56</v>
      </c>
      <c r="C61" s="44" t="s">
        <v>57</v>
      </c>
      <c r="D61" s="44" t="s">
        <v>58</v>
      </c>
      <c r="E61" s="44" t="s">
        <v>59</v>
      </c>
    </row>
    <row r="62" spans="1:10" ht="16.5" thickBot="1" x14ac:dyDescent="0.3">
      <c r="B62" s="52">
        <f>(K3*K4*K5*7800*350)/1000000000</f>
        <v>20.475000000000001</v>
      </c>
      <c r="C62" s="52">
        <f>(B62*J3*1000)/(0.45*360)</f>
        <v>24645.833333333336</v>
      </c>
      <c r="D62" s="52">
        <f>0.45+(1-0.45)/2</f>
        <v>0.72500000000000009</v>
      </c>
      <c r="E62" s="52">
        <f>C62*7*D62</f>
        <v>125077.60416666669</v>
      </c>
    </row>
    <row r="64" spans="1:10" ht="19.5" thickBot="1" x14ac:dyDescent="0.35">
      <c r="B64" s="103" t="s">
        <v>62</v>
      </c>
      <c r="C64" s="103"/>
      <c r="D64" s="53"/>
      <c r="E64" s="53"/>
    </row>
    <row r="65" spans="1:6" ht="60.75" thickBot="1" x14ac:dyDescent="0.3">
      <c r="B65" s="44" t="s">
        <v>63</v>
      </c>
      <c r="C65" s="44" t="s">
        <v>64</v>
      </c>
      <c r="E65" s="6" t="s">
        <v>111</v>
      </c>
      <c r="F65" s="52">
        <f>G58+E62+C66</f>
        <v>475541.35416666669</v>
      </c>
    </row>
    <row r="66" spans="1:6" ht="16.5" thickBot="1" x14ac:dyDescent="0.3">
      <c r="B66" s="52">
        <f>B62/0.45</f>
        <v>45.5</v>
      </c>
      <c r="C66" s="52">
        <f>B66*(J3*1000/250)*3</f>
        <v>106470</v>
      </c>
    </row>
    <row r="68" spans="1:6" x14ac:dyDescent="0.25">
      <c r="B68" s="4" t="s">
        <v>66</v>
      </c>
    </row>
    <row r="69" spans="1:6" x14ac:dyDescent="0.25">
      <c r="B69" s="54">
        <f>250*8*(1-0.15)</f>
        <v>1700</v>
      </c>
    </row>
    <row r="70" spans="1:6" ht="19.5" thickBot="1" x14ac:dyDescent="0.35">
      <c r="B70" s="105" t="s">
        <v>65</v>
      </c>
      <c r="C70" s="105"/>
      <c r="D70" s="105"/>
      <c r="E70" s="105"/>
    </row>
    <row r="71" spans="1:6" ht="45.75" thickBot="1" x14ac:dyDescent="0.3">
      <c r="A71" s="44" t="s">
        <v>7</v>
      </c>
      <c r="B71" s="44" t="s">
        <v>68</v>
      </c>
      <c r="C71" s="44" t="s">
        <v>69</v>
      </c>
      <c r="D71" s="43" t="s">
        <v>8</v>
      </c>
      <c r="E71" s="43" t="s">
        <v>67</v>
      </c>
    </row>
    <row r="72" spans="1:6" ht="19.5" thickBot="1" x14ac:dyDescent="0.35">
      <c r="A72" s="9">
        <v>1</v>
      </c>
      <c r="B72" s="49" t="s">
        <v>26</v>
      </c>
      <c r="C72" s="34" t="s">
        <v>70</v>
      </c>
      <c r="D72" s="83">
        <f>C3</f>
        <v>5.3333333333333337E-2</v>
      </c>
      <c r="E72" s="39">
        <f>(D72*$J$3*1000)/($B$69*1.03)</f>
        <v>5.9394631639063391</v>
      </c>
      <c r="F72" s="4">
        <f>IF(E72&lt;1, 1, ROUNDUP(E72, 0))</f>
        <v>6</v>
      </c>
    </row>
    <row r="73" spans="1:6" ht="19.5" thickBot="1" x14ac:dyDescent="0.35">
      <c r="A73" s="9">
        <v>2</v>
      </c>
      <c r="B73" s="49" t="s">
        <v>15</v>
      </c>
      <c r="C73" s="36" t="s">
        <v>71</v>
      </c>
      <c r="D73" s="83">
        <f t="shared" ref="D73:D76" si="9">C4</f>
        <v>5.6666666666666664E-2</v>
      </c>
      <c r="E73" s="39">
        <f t="shared" ref="E73:E76" si="10">(D73*$J$3*1000)/($B$69*1.03)</f>
        <v>6.3106796116504844</v>
      </c>
      <c r="F73" s="4">
        <f t="shared" ref="F73:F76" si="11">IF(E73&lt;1, 1, ROUNDUP(E73, 0))</f>
        <v>7</v>
      </c>
    </row>
    <row r="74" spans="1:6" ht="19.5" thickBot="1" x14ac:dyDescent="0.35">
      <c r="A74" s="9">
        <v>3</v>
      </c>
      <c r="B74" s="49" t="s">
        <v>16</v>
      </c>
      <c r="C74" s="36" t="s">
        <v>72</v>
      </c>
      <c r="D74" s="83">
        <f t="shared" si="9"/>
        <v>0.04</v>
      </c>
      <c r="E74" s="39">
        <f t="shared" si="10"/>
        <v>4.4545973729297543</v>
      </c>
      <c r="F74" s="4">
        <f t="shared" si="11"/>
        <v>5</v>
      </c>
    </row>
    <row r="75" spans="1:6" ht="19.5" thickBot="1" x14ac:dyDescent="0.35">
      <c r="A75" s="9">
        <v>4</v>
      </c>
      <c r="B75" s="49" t="s">
        <v>17</v>
      </c>
      <c r="C75" s="36" t="s">
        <v>72</v>
      </c>
      <c r="D75" s="83">
        <f t="shared" si="9"/>
        <v>5.1666666666666666E-2</v>
      </c>
      <c r="E75" s="39">
        <f t="shared" si="10"/>
        <v>5.753854940034266</v>
      </c>
      <c r="F75" s="4">
        <f t="shared" si="11"/>
        <v>6</v>
      </c>
    </row>
    <row r="76" spans="1:6" ht="19.5" thickBot="1" x14ac:dyDescent="0.35">
      <c r="A76" s="23">
        <v>5</v>
      </c>
      <c r="B76" s="50" t="s">
        <v>18</v>
      </c>
      <c r="C76" s="37" t="s">
        <v>71</v>
      </c>
      <c r="D76" s="83">
        <f t="shared" si="9"/>
        <v>4.1666666666666664E-2</v>
      </c>
      <c r="E76" s="39">
        <f t="shared" si="10"/>
        <v>4.6402055968018274</v>
      </c>
      <c r="F76" s="4">
        <f t="shared" si="11"/>
        <v>5</v>
      </c>
    </row>
    <row r="77" spans="1:6" ht="19.5" customHeight="1" thickBot="1" x14ac:dyDescent="0.3">
      <c r="A77" s="94" t="s">
        <v>27</v>
      </c>
      <c r="B77" s="95"/>
      <c r="C77" s="95"/>
      <c r="D77" s="95"/>
      <c r="E77" s="19">
        <f>SUM(E72:E76)</f>
        <v>27.098800685322672</v>
      </c>
      <c r="F77" s="4">
        <f>IF(E77&lt;1, 1, ROUNDUP(E77, 0))</f>
        <v>28</v>
      </c>
    </row>
    <row r="80" spans="1:6" ht="19.5" thickBot="1" x14ac:dyDescent="0.35">
      <c r="B80" s="105" t="s">
        <v>73</v>
      </c>
      <c r="C80" s="105"/>
      <c r="D80" s="105"/>
      <c r="E80" s="105"/>
    </row>
    <row r="81" spans="1:6" ht="45.75" thickBot="1" x14ac:dyDescent="0.3">
      <c r="A81" s="44" t="s">
        <v>7</v>
      </c>
      <c r="B81" s="44" t="s">
        <v>68</v>
      </c>
      <c r="C81" s="43" t="s">
        <v>8</v>
      </c>
      <c r="D81" s="44" t="s">
        <v>74</v>
      </c>
      <c r="E81" s="43" t="s">
        <v>80</v>
      </c>
    </row>
    <row r="82" spans="1:6" ht="19.5" thickBot="1" x14ac:dyDescent="0.35">
      <c r="A82" s="9">
        <v>1</v>
      </c>
      <c r="B82" s="49" t="s">
        <v>26</v>
      </c>
      <c r="C82" s="85">
        <f>C3</f>
        <v>5.3333333333333337E-2</v>
      </c>
      <c r="D82" s="55">
        <v>28</v>
      </c>
      <c r="E82" s="39">
        <f>C82*D82*$J$3*1000</f>
        <v>291200</v>
      </c>
    </row>
    <row r="83" spans="1:6" ht="19.5" thickBot="1" x14ac:dyDescent="0.35">
      <c r="A83" s="9">
        <v>2</v>
      </c>
      <c r="B83" s="49" t="s">
        <v>15</v>
      </c>
      <c r="C83" s="86">
        <f>C4</f>
        <v>5.6666666666666664E-2</v>
      </c>
      <c r="D83" s="56">
        <v>22</v>
      </c>
      <c r="E83" s="39">
        <f t="shared" ref="E83:E86" si="12">C83*D83*$J$3*1000</f>
        <v>243100</v>
      </c>
    </row>
    <row r="84" spans="1:6" ht="19.5" thickBot="1" x14ac:dyDescent="0.35">
      <c r="A84" s="9">
        <v>3</v>
      </c>
      <c r="B84" s="49" t="s">
        <v>16</v>
      </c>
      <c r="C84" s="85">
        <f t="shared" ref="C84:C86" si="13">C5</f>
        <v>0.04</v>
      </c>
      <c r="D84" s="56">
        <v>35</v>
      </c>
      <c r="E84" s="39">
        <f t="shared" si="12"/>
        <v>273000</v>
      </c>
    </row>
    <row r="85" spans="1:6" ht="19.5" thickBot="1" x14ac:dyDescent="0.35">
      <c r="A85" s="9">
        <v>4</v>
      </c>
      <c r="B85" s="49" t="s">
        <v>17</v>
      </c>
      <c r="C85" s="86">
        <f t="shared" si="13"/>
        <v>5.1666666666666666E-2</v>
      </c>
      <c r="D85" s="56">
        <v>35</v>
      </c>
      <c r="E85" s="39">
        <f t="shared" si="12"/>
        <v>352625</v>
      </c>
    </row>
    <row r="86" spans="1:6" ht="19.5" thickBot="1" x14ac:dyDescent="0.35">
      <c r="A86" s="23">
        <v>5</v>
      </c>
      <c r="B86" s="50" t="s">
        <v>18</v>
      </c>
      <c r="C86" s="85">
        <f t="shared" si="13"/>
        <v>4.1666666666666664E-2</v>
      </c>
      <c r="D86" s="57">
        <v>22</v>
      </c>
      <c r="E86" s="39">
        <f t="shared" si="12"/>
        <v>178750</v>
      </c>
    </row>
    <row r="87" spans="1:6" ht="19.5" customHeight="1" thickBot="1" x14ac:dyDescent="0.3">
      <c r="A87" s="94" t="s">
        <v>27</v>
      </c>
      <c r="B87" s="95"/>
      <c r="C87" s="95"/>
      <c r="D87" s="96"/>
      <c r="E87" s="27">
        <f>SUM(E82:E86)</f>
        <v>1338675</v>
      </c>
    </row>
    <row r="89" spans="1:6" ht="19.5" thickBot="1" x14ac:dyDescent="0.35">
      <c r="B89" s="103" t="s">
        <v>79</v>
      </c>
      <c r="C89" s="103"/>
      <c r="D89" s="103"/>
      <c r="E89" s="103"/>
      <c r="F89" s="60"/>
    </row>
    <row r="90" spans="1:6" ht="45.75" thickBot="1" x14ac:dyDescent="0.3">
      <c r="B90" s="44" t="s">
        <v>75</v>
      </c>
      <c r="C90" s="44" t="s">
        <v>76</v>
      </c>
      <c r="D90" s="44" t="s">
        <v>77</v>
      </c>
      <c r="E90" s="44" t="s">
        <v>78</v>
      </c>
    </row>
    <row r="91" spans="1:6" ht="19.5" thickBot="1" x14ac:dyDescent="0.3">
      <c r="B91" s="58">
        <f>K3*K4*K5/1000000000*7800</f>
        <v>5.8500000000000003E-2</v>
      </c>
      <c r="C91" s="59">
        <f>B91/M3</f>
        <v>9.7500000000000003E-2</v>
      </c>
      <c r="D91" s="59">
        <f>B91*350</f>
        <v>20.475000000000001</v>
      </c>
      <c r="E91" s="19">
        <f>B91*(1-M3)*1500/1000</f>
        <v>3.5100000000000006E-2</v>
      </c>
    </row>
    <row r="93" spans="1:6" ht="19.5" thickBot="1" x14ac:dyDescent="0.35">
      <c r="B93" s="105" t="s">
        <v>105</v>
      </c>
      <c r="C93" s="105"/>
      <c r="D93" s="105"/>
    </row>
    <row r="94" spans="1:6" ht="30.75" thickBot="1" x14ac:dyDescent="0.3">
      <c r="A94" s="44" t="s">
        <v>81</v>
      </c>
      <c r="B94" s="44" t="s">
        <v>82</v>
      </c>
      <c r="C94" s="44" t="s">
        <v>83</v>
      </c>
    </row>
    <row r="95" spans="1:6" ht="19.5" thickBot="1" x14ac:dyDescent="0.3">
      <c r="A95" s="63" t="s">
        <v>84</v>
      </c>
      <c r="B95" s="9" t="s">
        <v>85</v>
      </c>
      <c r="C95" s="19">
        <f>D91</f>
        <v>20.475000000000001</v>
      </c>
    </row>
    <row r="96" spans="1:6" ht="48" thickBot="1" x14ac:dyDescent="0.3">
      <c r="A96" s="63" t="s">
        <v>86</v>
      </c>
      <c r="B96" s="9" t="s">
        <v>87</v>
      </c>
      <c r="C96" s="19"/>
    </row>
    <row r="97" spans="1:9" ht="32.25" thickBot="1" x14ac:dyDescent="0.3">
      <c r="A97" s="63" t="s">
        <v>88</v>
      </c>
      <c r="B97" s="9" t="s">
        <v>89</v>
      </c>
      <c r="C97" s="19">
        <f>C95*0.08</f>
        <v>1.6380000000000001</v>
      </c>
    </row>
    <row r="98" spans="1:9" ht="48" thickBot="1" x14ac:dyDescent="0.3">
      <c r="A98" s="63" t="s">
        <v>90</v>
      </c>
      <c r="B98" s="9" t="s">
        <v>91</v>
      </c>
      <c r="C98" s="19"/>
    </row>
    <row r="99" spans="1:9" ht="19.5" thickBot="1" x14ac:dyDescent="0.3">
      <c r="A99" s="63" t="s">
        <v>92</v>
      </c>
      <c r="B99" s="9" t="s">
        <v>93</v>
      </c>
      <c r="C99" s="19">
        <f>-E91</f>
        <v>-3.5100000000000006E-2</v>
      </c>
    </row>
    <row r="100" spans="1:9" ht="48" thickBot="1" x14ac:dyDescent="0.3">
      <c r="A100" s="64" t="s">
        <v>94</v>
      </c>
      <c r="B100" s="23" t="s">
        <v>95</v>
      </c>
      <c r="C100" s="19">
        <f>SUMPRODUCT(C82:C86,D82:D86)</f>
        <v>6.8650000000000011</v>
      </c>
    </row>
    <row r="101" spans="1:9" ht="63.75" thickBot="1" x14ac:dyDescent="0.3">
      <c r="A101" s="61" t="s">
        <v>96</v>
      </c>
      <c r="B101" s="62" t="s">
        <v>97</v>
      </c>
      <c r="C101" s="19">
        <f>C100*0.15</f>
        <v>1.0297500000000002</v>
      </c>
    </row>
    <row r="102" spans="1:9" ht="32.25" thickBot="1" x14ac:dyDescent="0.3">
      <c r="A102" s="64" t="s">
        <v>98</v>
      </c>
      <c r="B102" s="23" t="s">
        <v>99</v>
      </c>
      <c r="C102" s="19">
        <f>(C100+C101)*0.3</f>
        <v>2.3684250000000002</v>
      </c>
      <c r="E102" s="65" t="s">
        <v>106</v>
      </c>
      <c r="F102" s="65" t="s">
        <v>108</v>
      </c>
      <c r="G102" s="66" t="s">
        <v>107</v>
      </c>
      <c r="H102" s="66" t="s">
        <v>109</v>
      </c>
      <c r="I102" s="66" t="s">
        <v>110</v>
      </c>
    </row>
    <row r="103" spans="1:9" ht="48" thickBot="1" x14ac:dyDescent="0.3">
      <c r="A103" s="61" t="s">
        <v>100</v>
      </c>
      <c r="B103" s="62" t="s">
        <v>101</v>
      </c>
      <c r="C103" s="19">
        <f>C100*H103</f>
        <v>65.406153846153856</v>
      </c>
      <c r="E103" s="19">
        <f>(1800+4500+900)*1000+(E46-E45)</f>
        <v>12754200</v>
      </c>
      <c r="F103" s="19">
        <f>(980+5800+360)*1000+E45</f>
        <v>7214307</v>
      </c>
      <c r="G103" s="19">
        <f>E87</f>
        <v>1338675</v>
      </c>
      <c r="H103" s="80">
        <f>E103/G103</f>
        <v>9.5274805311221922</v>
      </c>
      <c r="I103" s="80">
        <f>F103/G103</f>
        <v>5.3891400078435767</v>
      </c>
    </row>
    <row r="104" spans="1:9" ht="32.25" thickBot="1" x14ac:dyDescent="0.3">
      <c r="A104" s="61" t="s">
        <v>102</v>
      </c>
      <c r="B104" s="62" t="s">
        <v>103</v>
      </c>
      <c r="C104" s="19">
        <f>C100*I103</f>
        <v>36.996446153846158</v>
      </c>
    </row>
    <row r="105" spans="1:9" ht="19.5" thickBot="1" x14ac:dyDescent="0.3">
      <c r="A105" s="106" t="s">
        <v>104</v>
      </c>
      <c r="B105" s="107"/>
      <c r="C105" s="19">
        <f>SUM(C95:C104)</f>
        <v>134.74367500000002</v>
      </c>
    </row>
    <row r="108" spans="1:9" s="67" customFormat="1" x14ac:dyDescent="0.25"/>
  </sheetData>
  <mergeCells count="27">
    <mergeCell ref="A28:E28"/>
    <mergeCell ref="A105:B105"/>
    <mergeCell ref="B89:E89"/>
    <mergeCell ref="B93:D93"/>
    <mergeCell ref="B80:E80"/>
    <mergeCell ref="A87:D87"/>
    <mergeCell ref="A77:D77"/>
    <mergeCell ref="B60:E60"/>
    <mergeCell ref="B56:G56"/>
    <mergeCell ref="B64:C64"/>
    <mergeCell ref="B70:E70"/>
    <mergeCell ref="A48:E48"/>
    <mergeCell ref="A38:E38"/>
    <mergeCell ref="A46:D46"/>
    <mergeCell ref="A29:F29"/>
    <mergeCell ref="A36:C36"/>
    <mergeCell ref="A27:E27"/>
    <mergeCell ref="A17:D17"/>
    <mergeCell ref="A1:G1"/>
    <mergeCell ref="A10:E10"/>
    <mergeCell ref="D20:E20"/>
    <mergeCell ref="F20:F21"/>
    <mergeCell ref="A19:F19"/>
    <mergeCell ref="A20:A21"/>
    <mergeCell ref="B20:B21"/>
    <mergeCell ref="C20:C21"/>
    <mergeCell ref="A8:F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55" zoomScaleNormal="55" workbookViewId="0">
      <selection activeCell="I3" sqref="A1:I3"/>
    </sheetView>
  </sheetViews>
  <sheetFormatPr defaultRowHeight="15" x14ac:dyDescent="0.25"/>
  <cols>
    <col min="1" max="1" width="33.28515625" bestFit="1" customWidth="1"/>
    <col min="2" max="2" width="17.7109375" bestFit="1" customWidth="1"/>
    <col min="3" max="3" width="9.5703125" bestFit="1" customWidth="1"/>
    <col min="4" max="4" width="34.85546875" bestFit="1" customWidth="1"/>
    <col min="5" max="5" width="21.85546875" bestFit="1" customWidth="1"/>
    <col min="6" max="6" width="18.42578125" bestFit="1" customWidth="1"/>
    <col min="7" max="7" width="16.5703125" bestFit="1" customWidth="1"/>
    <col min="8" max="8" width="20.5703125" bestFit="1" customWidth="1"/>
    <col min="9" max="9" width="17.28515625" bestFit="1" customWidth="1"/>
  </cols>
  <sheetData>
    <row r="1" spans="1:9" x14ac:dyDescent="0.25">
      <c r="A1" s="108" t="s">
        <v>113</v>
      </c>
      <c r="B1" s="108" t="s">
        <v>123</v>
      </c>
      <c r="C1" s="108"/>
      <c r="D1" s="108"/>
      <c r="E1" s="108" t="s">
        <v>130</v>
      </c>
      <c r="F1" s="108"/>
      <c r="G1" s="108"/>
      <c r="H1" s="108"/>
      <c r="I1" s="108"/>
    </row>
    <row r="2" spans="1:9" x14ac:dyDescent="0.25">
      <c r="A2" s="108"/>
      <c r="B2" s="93" t="s">
        <v>124</v>
      </c>
      <c r="C2" s="93" t="s">
        <v>115</v>
      </c>
      <c r="D2" s="93" t="s">
        <v>132</v>
      </c>
      <c r="E2" s="93" t="s">
        <v>125</v>
      </c>
      <c r="F2" s="93" t="s">
        <v>126</v>
      </c>
      <c r="G2" s="93" t="s">
        <v>127</v>
      </c>
      <c r="H2" s="93" t="s">
        <v>128</v>
      </c>
      <c r="I2" s="93" t="s">
        <v>129</v>
      </c>
    </row>
    <row r="3" spans="1:9" s="91" customFormat="1" x14ac:dyDescent="0.25">
      <c r="A3" s="109">
        <v>195</v>
      </c>
      <c r="B3" s="92" t="s">
        <v>138</v>
      </c>
      <c r="C3" s="92" t="s">
        <v>121</v>
      </c>
      <c r="D3" s="92" t="s">
        <v>131</v>
      </c>
      <c r="E3" s="92" t="s">
        <v>133</v>
      </c>
      <c r="F3" s="92" t="s">
        <v>134</v>
      </c>
      <c r="G3" s="92" t="s">
        <v>135</v>
      </c>
      <c r="H3" s="92" t="s">
        <v>136</v>
      </c>
      <c r="I3" s="92" t="s">
        <v>137</v>
      </c>
    </row>
  </sheetData>
  <mergeCells count="3">
    <mergeCell ref="A1:A2"/>
    <mergeCell ref="B1:D1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2023-12-04T20:19:50Z</dcterms:modified>
</cp:coreProperties>
</file>