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drawings/drawing4.xml" ContentType="application/vnd.openxmlformats-officedocument.drawing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drawings/drawing5.xml" ContentType="application/vnd.openxmlformats-officedocument.drawing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drawings/drawing6.xml" ContentType="application/vnd.openxmlformats-officedocument.drawing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drawings/drawing7.xml" ContentType="application/vnd.openxmlformats-officedocument.drawing+xml"/>
  <Override PartName="/xl/tables/table9.xml" ContentType="application/vnd.openxmlformats-officedocument.spreadsheetml.table+xml"/>
  <Override PartName="/xl/drawings/drawing8.xml" ContentType="application/vnd.openxmlformats-officedocument.drawing+xml"/>
  <Override PartName="/xl/tables/table10.xml" ContentType="application/vnd.openxmlformats-officedocument.spreadsheetml.table+xml"/>
  <Override PartName="/xl/tables/table11.xml" ContentType="application/vnd.openxmlformats-officedocument.spreadsheetml.table+xml"/>
  <Override PartName="/xl/tables/table12.xml" ContentType="application/vnd.openxmlformats-officedocument.spreadsheetml.table+xml"/>
  <Override PartName="/xl/tables/table13.xml" ContentType="application/vnd.openxmlformats-officedocument.spreadsheetml.table+xml"/>
  <Override PartName="/xl/tables/table14.xml" ContentType="application/vnd.openxmlformats-officedocument.spreadsheetml.table+xml"/>
  <Override PartName="/xl/tables/table15.xml" ContentType="application/vnd.openxmlformats-officedocument.spreadsheetml.table+xml"/>
  <Override PartName="/xl/tables/table16.xml" ContentType="application/vnd.openxmlformats-officedocument.spreadsheetml.table+xml"/>
  <Override PartName="/xl/tables/table17.xml" ContentType="application/vnd.openxmlformats-officedocument.spreadsheetml.table+xml"/>
  <Override PartName="/xl/tables/table18.xml" ContentType="application/vnd.openxmlformats-officedocument.spreadsheetml.table+xml"/>
  <Override PartName="/xl/tables/table19.xml" ContentType="application/vnd.openxmlformats-officedocument.spreadsheetml.table+xml"/>
  <Override PartName="/xl/tables/table20.xml" ContentType="application/vnd.openxmlformats-officedocument.spreadsheetml.table+xml"/>
  <Override PartName="/xl/tables/table21.xml" ContentType="application/vnd.openxmlformats-officedocument.spreadsheetml.table+xml"/>
  <Override PartName="/xl/tables/table22.xml" ContentType="application/vnd.openxmlformats-officedocument.spreadsheetml.table+xml"/>
  <Override PartName="/xl/tables/table23.xml" ContentType="application/vnd.openxmlformats-officedocument.spreadsheetml.table+xml"/>
  <Override PartName="/xl/tables/table24.xml" ContentType="application/vnd.openxmlformats-officedocument.spreadsheetml.table+xml"/>
  <Override PartName="/xl/tables/table25.xml" ContentType="application/vnd.openxmlformats-officedocument.spreadsheetml.table+xml"/>
  <Override PartName="/xl/tables/table26.xml" ContentType="application/vnd.openxmlformats-officedocument.spreadsheetml.table+xml"/>
  <Override PartName="/xl/tables/table27.xml" ContentType="application/vnd.openxmlformats-officedocument.spreadsheetml.table+xml"/>
  <Override PartName="/xl/tables/table28.xml" ContentType="application/vnd.openxmlformats-officedocument.spreadsheetml.table+xml"/>
  <Override PartName="/xl/tables/table29.xml" ContentType="application/vnd.openxmlformats-officedocument.spreadsheetml.table+xml"/>
  <Override PartName="/xl/tables/table30.xml" ContentType="application/vnd.openxmlformats-officedocument.spreadsheetml.table+xml"/>
  <Override PartName="/xl/tables/table31.xml" ContentType="application/vnd.openxmlformats-officedocument.spreadsheetml.table+xml"/>
  <Override PartName="/xl/tables/table32.xml" ContentType="application/vnd.openxmlformats-officedocument.spreadsheetml.table+xml"/>
  <Override PartName="/xl/tables/table33.xml" ContentType="application/vnd.openxmlformats-officedocument.spreadsheetml.table+xml"/>
  <Override PartName="/xl/tables/table34.xml" ContentType="application/vnd.openxmlformats-officedocument.spreadsheetml.table+xml"/>
  <Override PartName="/xl/tables/table35.xml" ContentType="application/vnd.openxmlformats-officedocument.spreadsheetml.table+xml"/>
  <Override PartName="/xl/tables/table36.xml" ContentType="application/vnd.openxmlformats-officedocument.spreadsheetml.table+xml"/>
  <Override PartName="/xl/tables/table37.xml" ContentType="application/vnd.openxmlformats-officedocument.spreadsheetml.table+xml"/>
  <Override PartName="/xl/tables/table38.xml" ContentType="application/vnd.openxmlformats-officedocument.spreadsheetml.table+xml"/>
  <Override PartName="/xl/tables/table39.xml" ContentType="application/vnd.openxmlformats-officedocument.spreadsheetml.table+xml"/>
  <Override PartName="/xl/tables/table40.xml" ContentType="application/vnd.openxmlformats-officedocument.spreadsheetml.table+xml"/>
  <Override PartName="/xl/drawings/drawing9.xml" ContentType="application/vnd.openxmlformats-officedocument.drawing+xml"/>
  <Override PartName="/xl/drawings/drawing10.xml" ContentType="application/vnd.openxmlformats-officedocument.drawing+xml"/>
  <Override PartName="/xl/ctrlProps/ctrlProp1.xml" ContentType="application/vnd.ms-excel.controlproperties+xml"/>
  <Override PartName="/xl/tables/table41.xml" ContentType="application/vnd.openxmlformats-officedocument.spreadsheetml.table+xml"/>
  <Override PartName="/xl/tables/table42.xml" ContentType="application/vnd.openxmlformats-officedocument.spreadsheetml.table+xml"/>
  <Override PartName="/xl/tables/table43.xml" ContentType="application/vnd.openxmlformats-officedocument.spreadsheetml.table+xml"/>
  <Override PartName="/xl/tables/table44.xml" ContentType="application/vnd.openxmlformats-officedocument.spreadsheetml.table+xml"/>
  <Override PartName="/xl/tables/table45.xml" ContentType="application/vnd.openxmlformats-officedocument.spreadsheetml.table+xml"/>
  <Override PartName="/xl/tables/table46.xml" ContentType="application/vnd.openxmlformats-officedocument.spreadsheetml.table+xml"/>
  <Override PartName="/xl/tables/table47.xml" ContentType="application/vnd.openxmlformats-officedocument.spreadsheetml.table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drawings/drawing11.xml" ContentType="application/vnd.openxmlformats-officedocument.drawing+xml"/>
  <Override PartName="/xl/tables/table48.xml" ContentType="application/vnd.openxmlformats-officedocument.spreadsheetml.table+xml"/>
  <Override PartName="/xl/tables/table49.xml" ContentType="application/vnd.openxmlformats-officedocument.spreadsheetml.table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drawings/drawing12.xml" ContentType="application/vnd.openxmlformats-officedocument.drawingml.chartshapes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drawings/drawing13.xml" ContentType="application/vnd.openxmlformats-officedocument.drawingml.chartshape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925" codeName="{DD97A8EA-9A9A-E61F-A557-7D5A7D7259C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https://d.docs.live.net/aacef559ebb90cf9/Documents/"/>
    </mc:Choice>
  </mc:AlternateContent>
  <xr:revisionPtr revIDLastSave="186" documentId="8_{99925BB6-319F-4FEF-84DC-A38FBE53D598}" xr6:coauthVersionLast="47" xr6:coauthVersionMax="47" xr10:uidLastSave="{54E6907F-500A-4634-BEE4-329ED0C5FD6B}"/>
  <bookViews>
    <workbookView xWindow="-108" yWindow="-108" windowWidth="23256" windowHeight="12456" tabRatio="760" firstSheet="14" activeTab="14" xr2:uid="{22D59BDE-EDBD-4BAC-B3B3-779B82CB2D28}"/>
  </bookViews>
  <sheets>
    <sheet name="Reaction Pathways" sheetId="1" state="hidden" r:id="rId1"/>
    <sheet name="SMR" sheetId="7" state="hidden" r:id="rId2"/>
    <sheet name="Biomass" sheetId="8" state="hidden" r:id="rId3"/>
    <sheet name="WE" sheetId="9" state="hidden" r:id="rId4"/>
    <sheet name="SMR Economics" sheetId="12" state="hidden" r:id="rId5"/>
    <sheet name="NG Prices" sheetId="17" state="hidden" r:id="rId6"/>
    <sheet name="BM-H2 Economics" sheetId="13" state="hidden" r:id="rId7"/>
    <sheet name="WE Economics" sheetId="14" state="hidden" r:id="rId8"/>
    <sheet name="CO2 factors" sheetId="18" state="hidden" r:id="rId9"/>
    <sheet name="H2-Ammonia" sheetId="15" state="hidden" r:id="rId10"/>
    <sheet name="H2 storage" sheetId="19" state="hidden" r:id="rId11"/>
    <sheet name="H2-MeOH" sheetId="16" state="hidden" r:id="rId12"/>
    <sheet name="SCALING" sheetId="20" state="hidden" r:id="rId13"/>
    <sheet name="Price Input" sheetId="25" state="hidden" r:id="rId14"/>
    <sheet name="Algorithm Inputs" sheetId="21" r:id="rId15"/>
    <sheet name="Algorithm Results" sheetId="22" r:id="rId16"/>
    <sheet name="Economic Results" sheetId="23" r:id="rId17"/>
    <sheet name="Emission Results" sheetId="24" r:id="rId18"/>
  </sheets>
  <definedNames>
    <definedName name="Base__Capacity">SCALING!$T$5</definedName>
    <definedName name="Base_Capacity">SCALING!$T$5</definedName>
    <definedName name="Biomass_Gasification">'Algorithm Inputs'!$Y$5:$Z$5</definedName>
    <definedName name="BMG_Base_CAPEX">SCALING!$T$14</definedName>
    <definedName name="BMG_Base_OPEX_CG">SCALING!$T$21</definedName>
    <definedName name="BMG_Base_OPEX_RG">SCALING!$T$29</definedName>
    <definedName name="BMG_DS">'Algorithm Inputs'!$Y$5:$Z$5</definedName>
    <definedName name="CAPEX">'Economic Results'!$B$13</definedName>
    <definedName name="CleanProducts">PriceTable[Column2]</definedName>
    <definedName name="CO2_DefaultPrice">SCALING!$W$22</definedName>
    <definedName name="Depreciation">'Economic Results'!$B$18</definedName>
    <definedName name="DF">'Economic Results'!$B$26</definedName>
    <definedName name="Discount_factor">SCALING!$O$5</definedName>
    <definedName name="FilteredProducts">PriceTable[[#Headers],[Column1]]</definedName>
    <definedName name="FilterProducts">PriceTable[Column1]</definedName>
    <definedName name="H2_Default_Price_WE">SCALING!$W$18</definedName>
    <definedName name="H2_DefaultPrice_BMG">SCALING!$W$17</definedName>
    <definedName name="H2_DefaultPrice_SMR">SCALING!$W$16</definedName>
    <definedName name="HB_Base_CAPEX">SCALING!$T$16</definedName>
    <definedName name="HB_Base_OPEX_CG">SCALING!$T$23</definedName>
    <definedName name="HB_Base_OPEX_RG">SCALING!$T$26</definedName>
    <definedName name="MeOH_Base_Capacity">SCALING!$W$6</definedName>
    <definedName name="MeOH_Base_CAPEX">SCALING!$T$17</definedName>
    <definedName name="MeOH_Base_OPEX_CG">SCALING!$T$24</definedName>
    <definedName name="MeOH_Base_OPEX_RG">SCALING!$T$27</definedName>
    <definedName name="MeOH_DefaultPrice">SCALING!$W$20</definedName>
    <definedName name="Net_Profit">'Economic Results'!$B$20</definedName>
    <definedName name="NH3_Base_Capacity">SCALING!$W$5</definedName>
    <definedName name="NH3_DefaultPrice">SCALING!$W$21</definedName>
    <definedName name="O2_DefaultPrice">SCALING!$W$19</definedName>
    <definedName name="OPEX">'Economic Results'!$B$17</definedName>
    <definedName name="Placeholder_BMG_Scope2">SCALING!$O$1</definedName>
    <definedName name="Plant_life">SCALING!$W$11</definedName>
    <definedName name="PP">'Economic Results'!$B$22</definedName>
    <definedName name="RectantMap">'Algorithm Inputs'!$B$8</definedName>
    <definedName name="Revenue">'Economic Results'!$B$12</definedName>
    <definedName name="ROI">'Economic Results'!$B$21</definedName>
    <definedName name="Scope1">'Emission Results'!$B$6</definedName>
    <definedName name="Scope2">'Emission Results'!$B$7</definedName>
    <definedName name="SMR_Base_CAPEX">SCALING!$T$13</definedName>
    <definedName name="SMR_Base_OPEX_CG">SCALING!$T$20</definedName>
    <definedName name="SMR_Base_OPEX_RG">SCALING!$T$28</definedName>
    <definedName name="SMR_DS">'Algorithm Inputs'!$Y$4:$Z$4</definedName>
    <definedName name="Steam_Methane_Reforming">'Algorithm Inputs'!$Y$4:$Z$4</definedName>
    <definedName name="Storage">'Economic Results'!$B$15</definedName>
    <definedName name="Storage_Cost_H2">SCALING!$W$13</definedName>
    <definedName name="Storage_costs_placeholder">SCALING!$O$4</definedName>
    <definedName name="TAC">'Economic Results'!$B$19</definedName>
    <definedName name="Tax_Rate">SCALING!$W$12</definedName>
    <definedName name="TCI">'Economic Results'!$B$16</definedName>
    <definedName name="Water_Electrolysis">'Algorithm Inputs'!$Y$6:$Z$6</definedName>
    <definedName name="WE_Base_CAPEX">SCALING!$T$15</definedName>
    <definedName name="WE_Base_OPEX_CG">SCALING!$T$25</definedName>
    <definedName name="WE_Base_OPEX_RG">SCALING!$T$22</definedName>
    <definedName name="WE_DS">'Algorithm Inputs'!$Y$6:$Z$6</definedName>
  </definedNames>
  <calcPr calcId="191028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C3" i="21" l="1"/>
  <c r="B15" i="23" a="1"/>
  <c r="B15" i="23" s="1"/>
  <c r="J7" i="23" a="1"/>
  <c r="J7" i="23" s="1"/>
  <c r="J20" i="12"/>
  <c r="D87" i="20"/>
  <c r="B23" i="16"/>
  <c r="E23" i="16" s="1"/>
  <c r="G4" i="20"/>
  <c r="U3" i="24"/>
  <c r="U2" i="24"/>
  <c r="D123" i="20"/>
  <c r="K2" i="12"/>
  <c r="L2" i="12"/>
  <c r="H3" i="12"/>
  <c r="H2" i="12"/>
  <c r="H6" i="12"/>
  <c r="D80" i="20"/>
  <c r="M44" i="18"/>
  <c r="K53" i="18"/>
  <c r="K44" i="18"/>
  <c r="D44" i="18"/>
  <c r="I44" i="18"/>
  <c r="F44" i="18"/>
  <c r="Q14" i="13"/>
  <c r="Q13" i="13"/>
  <c r="Q12" i="13"/>
  <c r="Q11" i="13"/>
  <c r="Q10" i="13"/>
  <c r="J119" i="20"/>
  <c r="O4" i="20"/>
  <c r="J118" i="20"/>
  <c r="Z7" i="21"/>
  <c r="L3" i="21" s="1"/>
  <c r="V11" i="24"/>
  <c r="U11" i="24"/>
  <c r="V10" i="24"/>
  <c r="U10" i="24"/>
  <c r="V9" i="24"/>
  <c r="U9" i="24"/>
  <c r="V8" i="24"/>
  <c r="U8" i="24"/>
  <c r="D129" i="20"/>
  <c r="E129" i="20"/>
  <c r="F129" i="20"/>
  <c r="D130" i="20"/>
  <c r="E130" i="20"/>
  <c r="F130" i="20"/>
  <c r="D131" i="20"/>
  <c r="E131" i="20"/>
  <c r="F131" i="20"/>
  <c r="D132" i="20"/>
  <c r="E132" i="20"/>
  <c r="F132" i="20"/>
  <c r="I51" i="20"/>
  <c r="I54" i="20" s="1"/>
  <c r="I48" i="20"/>
  <c r="D22" i="15"/>
  <c r="T16" i="20" s="1"/>
  <c r="B57" i="20" s="1"/>
  <c r="H57" i="20" s="1"/>
  <c r="B21" i="14"/>
  <c r="T15" i="20" s="1"/>
  <c r="H21" i="13"/>
  <c r="F30" i="13"/>
  <c r="H20" i="13"/>
  <c r="C20" i="13"/>
  <c r="C21" i="13"/>
  <c r="C22" i="13"/>
  <c r="C23" i="13"/>
  <c r="C24" i="13"/>
  <c r="B15" i="12"/>
  <c r="C15" i="12" s="1"/>
  <c r="B16" i="12"/>
  <c r="C16" i="12" s="1"/>
  <c r="B17" i="12"/>
  <c r="C17" i="12" s="1"/>
  <c r="B20" i="12"/>
  <c r="C20" i="12" s="1"/>
  <c r="B21" i="12"/>
  <c r="C21" i="12" s="1"/>
  <c r="B22" i="12"/>
  <c r="C22" i="12" s="1"/>
  <c r="B23" i="12"/>
  <c r="AB11" i="23"/>
  <c r="AB13" i="23" s="1"/>
  <c r="AB6" i="23"/>
  <c r="AB8" i="23" s="1"/>
  <c r="AB2" i="23"/>
  <c r="AB3" i="23" s="1" a="1"/>
  <c r="AB3" i="23" s="1"/>
  <c r="B62" i="23" s="1"/>
  <c r="W11" i="24"/>
  <c r="W10" i="24"/>
  <c r="W9" i="24"/>
  <c r="W8" i="24"/>
  <c r="V7" i="24"/>
  <c r="W7" i="24" s="1"/>
  <c r="V6" i="24"/>
  <c r="W6" i="24" s="1"/>
  <c r="W5" i="24"/>
  <c r="W4" i="24"/>
  <c r="W2" i="24"/>
  <c r="I33" i="18"/>
  <c r="H32" i="18"/>
  <c r="F125" i="20"/>
  <c r="F126" i="20"/>
  <c r="X8" i="24"/>
  <c r="X2" i="24"/>
  <c r="X3" i="24"/>
  <c r="X4" i="24"/>
  <c r="X5" i="24"/>
  <c r="X6" i="24"/>
  <c r="X7" i="24"/>
  <c r="X9" i="24"/>
  <c r="X10" i="24"/>
  <c r="X11" i="24"/>
  <c r="K48" i="18"/>
  <c r="I48" i="18"/>
  <c r="H47" i="18"/>
  <c r="K47" i="18"/>
  <c r="I47" i="18"/>
  <c r="D47" i="18"/>
  <c r="C31" i="23"/>
  <c r="C32" i="23"/>
  <c r="C33" i="23"/>
  <c r="C34" i="23"/>
  <c r="C35" i="23"/>
  <c r="C36" i="23"/>
  <c r="C37" i="23"/>
  <c r="C38" i="23"/>
  <c r="C39" i="23"/>
  <c r="C40" i="23"/>
  <c r="C41" i="23"/>
  <c r="C42" i="23"/>
  <c r="C43" i="23"/>
  <c r="C44" i="23"/>
  <c r="C45" i="23"/>
  <c r="C46" i="23"/>
  <c r="C47" i="23"/>
  <c r="C48" i="23"/>
  <c r="C49" i="23"/>
  <c r="C30" i="23"/>
  <c r="B8" i="23"/>
  <c r="B9" i="23"/>
  <c r="G95" i="20"/>
  <c r="I95" i="20"/>
  <c r="AC7" i="20"/>
  <c r="AD7" i="20" s="1"/>
  <c r="AC8" i="20"/>
  <c r="AD8" i="20" s="1"/>
  <c r="AC9" i="20"/>
  <c r="AD9" i="20" s="1"/>
  <c r="AC10" i="20"/>
  <c r="AD10" i="20" s="1"/>
  <c r="AC11" i="20"/>
  <c r="AD11" i="20" s="1"/>
  <c r="AC12" i="20"/>
  <c r="AD12" i="20" s="1"/>
  <c r="AC13" i="20"/>
  <c r="AD13" i="20" s="1"/>
  <c r="AC14" i="20"/>
  <c r="AD14" i="20" s="1"/>
  <c r="AC15" i="20"/>
  <c r="AD15" i="20" s="1"/>
  <c r="AC16" i="20"/>
  <c r="AD16" i="20" s="1"/>
  <c r="AC17" i="20"/>
  <c r="AD17" i="20" s="1"/>
  <c r="AC18" i="20"/>
  <c r="AD18" i="20" s="1"/>
  <c r="AC19" i="20"/>
  <c r="AD19" i="20" s="1"/>
  <c r="AC20" i="20"/>
  <c r="AD20" i="20" s="1"/>
  <c r="AC21" i="20"/>
  <c r="AD21" i="20" s="1"/>
  <c r="J116" i="20"/>
  <c r="K5" i="14"/>
  <c r="B29" i="14" s="1"/>
  <c r="L17" i="13"/>
  <c r="K17" i="13" s="1"/>
  <c r="M17" i="13" s="1"/>
  <c r="S18" i="12"/>
  <c r="K4" i="14"/>
  <c r="M54" i="16"/>
  <c r="M53" i="16"/>
  <c r="B31" i="16" s="1"/>
  <c r="L45" i="16"/>
  <c r="L44" i="16" s="1"/>
  <c r="L43" i="16"/>
  <c r="N39" i="15"/>
  <c r="N38" i="15"/>
  <c r="M27" i="15"/>
  <c r="M26" i="15"/>
  <c r="K33" i="14"/>
  <c r="K32" i="14"/>
  <c r="J42" i="14"/>
  <c r="J41" i="14"/>
  <c r="H44" i="13"/>
  <c r="H42" i="13"/>
  <c r="G40" i="13"/>
  <c r="G39" i="13"/>
  <c r="H35" i="12"/>
  <c r="H34" i="12"/>
  <c r="G31" i="12"/>
  <c r="G29" i="12"/>
  <c r="Z8" i="21"/>
  <c r="F80" i="20" s="1"/>
  <c r="AB15" i="20"/>
  <c r="C23" i="12"/>
  <c r="A6" i="23"/>
  <c r="C6" i="23" s="1"/>
  <c r="A7" i="23"/>
  <c r="C7" i="23" s="1"/>
  <c r="A8" i="23"/>
  <c r="C8" i="23" s="1"/>
  <c r="A9" i="23"/>
  <c r="C9" i="23" s="1"/>
  <c r="Q6" i="15"/>
  <c r="D117" i="20"/>
  <c r="D116" i="20"/>
  <c r="D115" i="20"/>
  <c r="C4" i="22"/>
  <c r="B4" i="22"/>
  <c r="B3" i="22"/>
  <c r="C24" i="22"/>
  <c r="B24" i="22"/>
  <c r="B23" i="22"/>
  <c r="I79" i="20"/>
  <c r="I80" i="20"/>
  <c r="I81" i="20"/>
  <c r="I82" i="20"/>
  <c r="I83" i="20"/>
  <c r="I84" i="20"/>
  <c r="I85" i="20"/>
  <c r="I86" i="20"/>
  <c r="I87" i="20"/>
  <c r="I88" i="20"/>
  <c r="I89" i="20"/>
  <c r="I90" i="20"/>
  <c r="I91" i="20"/>
  <c r="I92" i="20"/>
  <c r="I93" i="20"/>
  <c r="I94" i="20"/>
  <c r="G79" i="20"/>
  <c r="G80" i="20"/>
  <c r="G81" i="20"/>
  <c r="G82" i="20"/>
  <c r="G83" i="20"/>
  <c r="G84" i="20"/>
  <c r="G85" i="20"/>
  <c r="G86" i="20"/>
  <c r="G87" i="20"/>
  <c r="G88" i="20"/>
  <c r="G89" i="20"/>
  <c r="G90" i="20"/>
  <c r="G91" i="20"/>
  <c r="G92" i="20"/>
  <c r="G93" i="20"/>
  <c r="G94" i="20"/>
  <c r="Z2" i="21"/>
  <c r="H83" i="20" s="1"/>
  <c r="E21" i="22"/>
  <c r="E22" i="22"/>
  <c r="E23" i="22"/>
  <c r="AC9" i="21"/>
  <c r="C3" i="20"/>
  <c r="D3" i="20" s="1"/>
  <c r="D79" i="20" s="1"/>
  <c r="C4" i="20"/>
  <c r="D4" i="20" s="1"/>
  <c r="C6" i="20"/>
  <c r="D6" i="20" s="1"/>
  <c r="C7" i="20"/>
  <c r="D7" i="20" s="1"/>
  <c r="G7" i="20"/>
  <c r="H7" i="20" s="1"/>
  <c r="C10" i="20"/>
  <c r="D10" i="20" s="1"/>
  <c r="G11" i="20"/>
  <c r="H11" i="20" s="1"/>
  <c r="C13" i="20"/>
  <c r="G13" i="20"/>
  <c r="C14" i="20"/>
  <c r="C16" i="20"/>
  <c r="D16" i="20" s="1"/>
  <c r="D89" i="20" s="1"/>
  <c r="G16" i="20"/>
  <c r="H16" i="20" s="1"/>
  <c r="D93" i="20" s="1"/>
  <c r="AB20" i="20"/>
  <c r="AB19" i="20"/>
  <c r="AB18" i="20"/>
  <c r="AB17" i="20"/>
  <c r="AB16" i="20"/>
  <c r="AB14" i="20"/>
  <c r="AB13" i="20"/>
  <c r="AB12" i="20"/>
  <c r="AB9" i="20"/>
  <c r="AB11" i="20"/>
  <c r="AB8" i="20"/>
  <c r="AB7" i="20"/>
  <c r="H14" i="13"/>
  <c r="F67" i="20"/>
  <c r="E70" i="20"/>
  <c r="B70" i="20"/>
  <c r="K13" i="16"/>
  <c r="K14" i="16" s="1"/>
  <c r="C43" i="20" s="1"/>
  <c r="E43" i="20" s="1"/>
  <c r="L19" i="15"/>
  <c r="M19" i="15" s="1"/>
  <c r="C38" i="20" s="1"/>
  <c r="E38" i="20" s="1"/>
  <c r="D18" i="15"/>
  <c r="H13" i="12"/>
  <c r="I13" i="12" s="1"/>
  <c r="C23" i="20" s="1"/>
  <c r="E23" i="20" s="1"/>
  <c r="W5" i="20"/>
  <c r="C57" i="20" s="1"/>
  <c r="C54" i="20"/>
  <c r="C51" i="20"/>
  <c r="C48" i="20"/>
  <c r="C42" i="20"/>
  <c r="E42" i="20" s="1"/>
  <c r="D12" i="12"/>
  <c r="M7" i="13"/>
  <c r="J100" i="18"/>
  <c r="G78" i="18"/>
  <c r="G91" i="18" s="1"/>
  <c r="D91" i="18"/>
  <c r="E86" i="18"/>
  <c r="K9" i="16"/>
  <c r="K10" i="16" s="1"/>
  <c r="J84" i="18"/>
  <c r="J83" i="18"/>
  <c r="J99" i="18" s="1"/>
  <c r="L18" i="15"/>
  <c r="H61" i="18"/>
  <c r="J69" i="18"/>
  <c r="AB10" i="23" l="1"/>
  <c r="AB5" i="23"/>
  <c r="A29" i="22" a="1"/>
  <c r="A29" i="22" s="1"/>
  <c r="D29" i="22" s="1" a="1"/>
  <c r="D29" i="22" s="1"/>
  <c r="C29" i="22" s="1" a="1"/>
  <c r="C29" i="22" s="1"/>
  <c r="AB4" i="23" a="1"/>
  <c r="AB4" i="23" s="1"/>
  <c r="AB12" i="23"/>
  <c r="B59" i="23"/>
  <c r="B52" i="23"/>
  <c r="B60" i="23"/>
  <c r="B58" i="23"/>
  <c r="B57" i="23"/>
  <c r="B53" i="23"/>
  <c r="B54" i="23"/>
  <c r="B55" i="23"/>
  <c r="B56" i="23"/>
  <c r="B61" i="23"/>
  <c r="V7" i="23"/>
  <c r="V6" i="23"/>
  <c r="V8" i="23"/>
  <c r="V5" i="23"/>
  <c r="V4" i="23"/>
  <c r="V3" i="23"/>
  <c r="V2" i="23"/>
  <c r="F95" i="20"/>
  <c r="H95" i="20"/>
  <c r="D86" i="20"/>
  <c r="J115" i="20"/>
  <c r="C118" i="20"/>
  <c r="E118" i="20" s="1"/>
  <c r="J117" i="20"/>
  <c r="AE21" i="20" a="1"/>
  <c r="AE21" i="20" s="1"/>
  <c r="AE14" i="20" a="1"/>
  <c r="AE14" i="20" s="1"/>
  <c r="AE12" i="20" a="1"/>
  <c r="AE12" i="20" s="1"/>
  <c r="AE16" i="20" a="1"/>
  <c r="AE16" i="20" s="1"/>
  <c r="AE15" i="20" a="1"/>
  <c r="AE15" i="20" s="1"/>
  <c r="AE7" i="20" a="1"/>
  <c r="AE7" i="20" s="1"/>
  <c r="AE11" i="20" a="1"/>
  <c r="AE11" i="20" s="1"/>
  <c r="AE8" i="20" a="1"/>
  <c r="AE8" i="20" s="1"/>
  <c r="AE10" i="20" a="1"/>
  <c r="AE10" i="20" s="1"/>
  <c r="AE13" i="20" a="1"/>
  <c r="AE13" i="20" s="1"/>
  <c r="AE20" i="20" a="1"/>
  <c r="AE20" i="20" s="1"/>
  <c r="AE9" i="20" a="1"/>
  <c r="AE9" i="20" s="1"/>
  <c r="AE19" i="20" a="1"/>
  <c r="AE19" i="20" s="1"/>
  <c r="AE18" i="20" a="1"/>
  <c r="AE18" i="20" s="1"/>
  <c r="AE17" i="20" a="1"/>
  <c r="AE17" i="20" s="1"/>
  <c r="D8" i="23"/>
  <c r="D9" i="23"/>
  <c r="A13" i="22" a="1"/>
  <c r="A13" i="22" s="1"/>
  <c r="B13" i="22" s="1" a="1"/>
  <c r="B13" i="22" s="1"/>
  <c r="C13" i="22" s="1" a="1"/>
  <c r="C13" i="22" s="1"/>
  <c r="E13" i="22" s="1" a="1"/>
  <c r="E13" i="22" s="1"/>
  <c r="H80" i="20"/>
  <c r="H94" i="20"/>
  <c r="H92" i="20"/>
  <c r="H91" i="20"/>
  <c r="H89" i="20"/>
  <c r="H87" i="20"/>
  <c r="H85" i="20"/>
  <c r="H81" i="20"/>
  <c r="A7" i="22" a="1"/>
  <c r="A7" i="22" s="1"/>
  <c r="B7" i="22" s="1" a="1"/>
  <c r="B7" i="22" s="1"/>
  <c r="H79" i="20"/>
  <c r="A6" i="22" a="1"/>
  <c r="A6" i="22" s="1"/>
  <c r="B6" i="22" s="1" a="1"/>
  <c r="B6" i="22" s="1"/>
  <c r="H93" i="20"/>
  <c r="A12" i="22" a="1"/>
  <c r="A12" i="22" s="1"/>
  <c r="B12" i="22" s="1" a="1"/>
  <c r="B12" i="22" s="1"/>
  <c r="D12" i="22" s="1" a="1"/>
  <c r="D12" i="22" s="1"/>
  <c r="H82" i="20"/>
  <c r="A14" i="22" a="1"/>
  <c r="A14" i="22" s="1"/>
  <c r="B14" i="22" s="1" a="1"/>
  <c r="B14" i="22" s="1"/>
  <c r="D14" i="22" s="1" a="1"/>
  <c r="D14" i="22" s="1"/>
  <c r="H90" i="20"/>
  <c r="H88" i="20"/>
  <c r="H86" i="20"/>
  <c r="H84" i="20"/>
  <c r="A11" i="22" a="1"/>
  <c r="A11" i="22" s="1"/>
  <c r="B11" i="22" s="1" a="1"/>
  <c r="B11" i="22" s="1"/>
  <c r="C11" i="22" s="1" a="1"/>
  <c r="C11" i="22" s="1"/>
  <c r="E11" i="22" s="1" a="1"/>
  <c r="E11" i="22" s="1"/>
  <c r="A10" i="22" a="1"/>
  <c r="A10" i="22" s="1"/>
  <c r="B10" i="22" s="1" a="1"/>
  <c r="B10" i="22" s="1"/>
  <c r="C10" i="22" s="1" a="1"/>
  <c r="C10" i="22" s="1"/>
  <c r="E10" i="22" s="1" a="1"/>
  <c r="E10" i="22" s="1"/>
  <c r="A9" i="22" a="1"/>
  <c r="A9" i="22" s="1"/>
  <c r="B9" i="22" s="1" a="1"/>
  <c r="B9" i="22" s="1"/>
  <c r="D9" i="22" s="1" a="1"/>
  <c r="D9" i="22" s="1"/>
  <c r="A8" i="22" a="1"/>
  <c r="A8" i="22" s="1"/>
  <c r="B8" i="22" s="1" a="1"/>
  <c r="B8" i="22" s="1"/>
  <c r="D8" i="22" s="1" a="1"/>
  <c r="D8" i="22" s="1"/>
  <c r="E17" i="22"/>
  <c r="E18" i="22"/>
  <c r="F79" i="20"/>
  <c r="F94" i="20"/>
  <c r="F93" i="20"/>
  <c r="A34" i="22" a="1"/>
  <c r="A34" i="22" s="1"/>
  <c r="D34" i="22" s="1" a="1"/>
  <c r="D34" i="22" s="1"/>
  <c r="A32" i="22" a="1"/>
  <c r="A32" i="22" s="1"/>
  <c r="D32" i="22" s="1" a="1"/>
  <c r="D32" i="22" s="1"/>
  <c r="C32" i="22" s="1" a="1"/>
  <c r="C32" i="22" s="1"/>
  <c r="F89" i="20"/>
  <c r="A31" i="22" a="1"/>
  <c r="A31" i="22" s="1"/>
  <c r="F88" i="20"/>
  <c r="A30" i="22" a="1"/>
  <c r="A30" i="22" s="1"/>
  <c r="D30" i="22" s="1" a="1"/>
  <c r="D30" i="22" s="1"/>
  <c r="C30" i="22" s="1" a="1"/>
  <c r="C30" i="22" s="1"/>
  <c r="A26" i="22" a="1"/>
  <c r="A26" i="22" s="1"/>
  <c r="B26" i="22" s="1" a="1"/>
  <c r="B26" i="22" s="1"/>
  <c r="F92" i="20"/>
  <c r="A33" i="22" a="1"/>
  <c r="A33" i="22" s="1"/>
  <c r="D33" i="22" s="1" a="1"/>
  <c r="D33" i="22" s="1"/>
  <c r="C33" i="22" s="1" a="1"/>
  <c r="C33" i="22" s="1"/>
  <c r="F90" i="20"/>
  <c r="F87" i="20"/>
  <c r="A28" i="22" a="1"/>
  <c r="A28" i="22" s="1"/>
  <c r="D28" i="22" s="1" a="1"/>
  <c r="D28" i="22" s="1"/>
  <c r="C28" i="22" s="1" a="1"/>
  <c r="C28" i="22" s="1"/>
  <c r="A27" i="22" a="1"/>
  <c r="A27" i="22" s="1"/>
  <c r="B27" i="22" s="1" a="1"/>
  <c r="B27" i="22" s="1"/>
  <c r="F84" i="20"/>
  <c r="F83" i="20"/>
  <c r="F82" i="20"/>
  <c r="F91" i="20"/>
  <c r="F86" i="20"/>
  <c r="F85" i="20"/>
  <c r="F81" i="20"/>
  <c r="Y14" i="21"/>
  <c r="D13" i="20"/>
  <c r="H17" i="20"/>
  <c r="H13" i="20"/>
  <c r="M18" i="15"/>
  <c r="C39" i="20" s="1"/>
  <c r="E39" i="20" s="1"/>
  <c r="D72" i="18"/>
  <c r="I72" i="18" s="1"/>
  <c r="K11" i="16"/>
  <c r="C44" i="20" s="1"/>
  <c r="E44" i="20" s="1"/>
  <c r="D86" i="18"/>
  <c r="I86" i="18" s="1"/>
  <c r="I92" i="18"/>
  <c r="C27" i="20"/>
  <c r="E27" i="20" s="1"/>
  <c r="C31" i="13"/>
  <c r="D31" i="13" s="1"/>
  <c r="G14" i="13"/>
  <c r="J53" i="18"/>
  <c r="H12" i="12"/>
  <c r="G32" i="18"/>
  <c r="F29" i="18"/>
  <c r="H11" i="12"/>
  <c r="P3" i="13"/>
  <c r="Q3" i="13" s="1"/>
  <c r="B30" i="12"/>
  <c r="C30" i="12" s="1"/>
  <c r="J9" i="18"/>
  <c r="E28" i="18" s="1"/>
  <c r="E43" i="18" s="1"/>
  <c r="C4" i="19"/>
  <c r="D4" i="19"/>
  <c r="S14" i="12"/>
  <c r="D29" i="18" s="1"/>
  <c r="I29" i="18" s="1"/>
  <c r="S13" i="12"/>
  <c r="B33" i="16"/>
  <c r="C33" i="16" s="1"/>
  <c r="C32" i="16"/>
  <c r="B34" i="15"/>
  <c r="C34" i="15"/>
  <c r="C33" i="15"/>
  <c r="C22" i="15"/>
  <c r="B35" i="15" s="1"/>
  <c r="C35" i="15" s="1"/>
  <c r="C30" i="14"/>
  <c r="D30" i="14" s="1"/>
  <c r="D29" i="14"/>
  <c r="C33" i="13"/>
  <c r="D33" i="13" s="1"/>
  <c r="C32" i="13"/>
  <c r="D32" i="13" s="1"/>
  <c r="B32" i="12"/>
  <c r="C32" i="12" s="1"/>
  <c r="D26" i="14"/>
  <c r="J47" i="14"/>
  <c r="J43" i="14"/>
  <c r="B30" i="16"/>
  <c r="C30" i="16" s="1"/>
  <c r="L49" i="16"/>
  <c r="M47" i="16"/>
  <c r="C31" i="16" s="1"/>
  <c r="B29" i="16"/>
  <c r="Z17" i="16"/>
  <c r="A23" i="16"/>
  <c r="S11" i="16"/>
  <c r="W6" i="20" s="1"/>
  <c r="C60" i="20" s="1"/>
  <c r="U8" i="16"/>
  <c r="N9" i="15"/>
  <c r="S16" i="15"/>
  <c r="S15" i="15"/>
  <c r="S17" i="15" s="1"/>
  <c r="S4" i="16"/>
  <c r="A22" i="16"/>
  <c r="M32" i="15"/>
  <c r="B31" i="15" s="1"/>
  <c r="C31" i="15" s="1"/>
  <c r="M28" i="15"/>
  <c r="B30" i="15" s="1"/>
  <c r="J19" i="14"/>
  <c r="M19" i="14"/>
  <c r="C21" i="14" s="1"/>
  <c r="B29" i="12"/>
  <c r="C29" i="12" s="1"/>
  <c r="U2" i="16"/>
  <c r="S2" i="15"/>
  <c r="N30" i="15"/>
  <c r="O11" i="14"/>
  <c r="G11" i="13"/>
  <c r="H11" i="13" s="1"/>
  <c r="P3" i="14"/>
  <c r="J20" i="14"/>
  <c r="J21" i="14" s="1"/>
  <c r="P2" i="14"/>
  <c r="D15" i="14"/>
  <c r="K9" i="14"/>
  <c r="E5" i="17"/>
  <c r="G28" i="12" s="1"/>
  <c r="D17" i="12"/>
  <c r="D20" i="12"/>
  <c r="D23" i="12"/>
  <c r="H5" i="12"/>
  <c r="N5" i="15"/>
  <c r="D21" i="13"/>
  <c r="D22" i="13"/>
  <c r="D23" i="13"/>
  <c r="D24" i="13"/>
  <c r="D20" i="13"/>
  <c r="M3" i="13"/>
  <c r="J53" i="8"/>
  <c r="J52" i="8" s="1"/>
  <c r="D53" i="8"/>
  <c r="D52" i="8" s="1"/>
  <c r="B52" i="8"/>
  <c r="K37" i="7"/>
  <c r="K40" i="7" s="1"/>
  <c r="K32" i="7"/>
  <c r="K35" i="7"/>
  <c r="C33" i="7"/>
  <c r="C35" i="7" s="1"/>
  <c r="B35" i="7"/>
  <c r="B48" i="8"/>
  <c r="J4" i="9"/>
  <c r="C33" i="8"/>
  <c r="C34" i="8"/>
  <c r="C35" i="8"/>
  <c r="C36" i="8"/>
  <c r="C37" i="8"/>
  <c r="C38" i="8"/>
  <c r="C39" i="8"/>
  <c r="C40" i="8"/>
  <c r="C41" i="8"/>
  <c r="C42" i="8"/>
  <c r="C43" i="8"/>
  <c r="C32" i="8"/>
  <c r="B11" i="9"/>
  <c r="F4" i="9"/>
  <c r="F5" i="9"/>
  <c r="F7" i="9"/>
  <c r="E6" i="9"/>
  <c r="F6" i="9" s="1"/>
  <c r="D3" i="9"/>
  <c r="D7" i="9" s="1"/>
  <c r="E6" i="8"/>
  <c r="D4" i="8"/>
  <c r="E4" i="8" s="1"/>
  <c r="D6" i="7"/>
  <c r="E6" i="7" s="1"/>
  <c r="F6" i="7" s="1"/>
  <c r="G6" i="7" s="1"/>
  <c r="AB14" i="23" l="1"/>
  <c r="S15" i="12"/>
  <c r="S17" i="12" s="1"/>
  <c r="S19" i="12" s="1"/>
  <c r="B31" i="12" s="1"/>
  <c r="C31" i="12" s="1"/>
  <c r="J21" i="12"/>
  <c r="J22" i="12" s="1"/>
  <c r="L5" i="12"/>
  <c r="K30" i="18"/>
  <c r="K7" i="23"/>
  <c r="B31" i="22" a="1"/>
  <c r="B31" i="22" s="1"/>
  <c r="D31" i="22" a="1"/>
  <c r="D31" i="22" s="1"/>
  <c r="C31" i="22" s="1" a="1"/>
  <c r="C31" i="22" s="1"/>
  <c r="C7" i="22" a="1"/>
  <c r="C7" i="22" s="1"/>
  <c r="E7" i="22" s="1" a="1"/>
  <c r="E7" i="22" s="1"/>
  <c r="D6" i="22" a="1"/>
  <c r="D6" i="22" s="1"/>
  <c r="D11" i="22" a="1"/>
  <c r="D11" i="22" s="1"/>
  <c r="C14" i="22" a="1"/>
  <c r="C14" i="22" s="1"/>
  <c r="E14" i="22" s="1" a="1"/>
  <c r="E14" i="22" s="1"/>
  <c r="C6" i="22" a="1"/>
  <c r="C6" i="22" s="1"/>
  <c r="E6" i="22" s="1" a="1"/>
  <c r="E6" i="22" s="1"/>
  <c r="C12" i="22" a="1"/>
  <c r="C12" i="22" s="1"/>
  <c r="E12" i="22" s="1" a="1"/>
  <c r="E12" i="22" s="1"/>
  <c r="D13" i="22" a="1"/>
  <c r="D13" i="22" s="1"/>
  <c r="D7" i="22" a="1"/>
  <c r="D7" i="22" s="1"/>
  <c r="C9" i="22" a="1"/>
  <c r="C9" i="22" s="1"/>
  <c r="E9" i="22" s="1" a="1"/>
  <c r="E9" i="22" s="1"/>
  <c r="D10" i="22" a="1"/>
  <c r="D10" i="22" s="1"/>
  <c r="C8" i="22" a="1"/>
  <c r="C8" i="22" s="1"/>
  <c r="E8" i="22" s="1" a="1"/>
  <c r="E8" i="22" s="1"/>
  <c r="B32" i="22" a="1"/>
  <c r="B32" i="22" s="1"/>
  <c r="B34" i="22" a="1"/>
  <c r="B34" i="22" s="1"/>
  <c r="B29" i="22" a="1"/>
  <c r="B29" i="22" s="1"/>
  <c r="D27" i="22" a="1"/>
  <c r="D27" i="22" s="1"/>
  <c r="C27" i="22" s="1" a="1"/>
  <c r="C27" i="22" s="1"/>
  <c r="B30" i="22" a="1"/>
  <c r="B30" i="22" s="1"/>
  <c r="B28" i="22" a="1"/>
  <c r="B28" i="22" s="1"/>
  <c r="B33" i="22" a="1"/>
  <c r="B33" i="22" s="1"/>
  <c r="D26" i="22" a="1"/>
  <c r="D26" i="22" s="1"/>
  <c r="C26" i="22" s="1" a="1"/>
  <c r="C26" i="22" s="1"/>
  <c r="T14" i="20"/>
  <c r="B51" i="20" s="1"/>
  <c r="C34" i="13"/>
  <c r="D34" i="13" s="1"/>
  <c r="D15" i="12"/>
  <c r="D16" i="12"/>
  <c r="N2" i="12"/>
  <c r="O2" i="12" s="1"/>
  <c r="J39" i="18"/>
  <c r="K33" i="18" s="1"/>
  <c r="C32" i="20"/>
  <c r="E32" i="20" s="1"/>
  <c r="C28" i="14"/>
  <c r="D61" i="18"/>
  <c r="I11" i="13"/>
  <c r="C29" i="20"/>
  <c r="E29" i="20" s="1"/>
  <c r="H54" i="20"/>
  <c r="B54" i="20"/>
  <c r="C117" i="20" s="1"/>
  <c r="C31" i="14"/>
  <c r="C30" i="15"/>
  <c r="B36" i="15"/>
  <c r="C36" i="15" s="1"/>
  <c r="C37" i="20"/>
  <c r="E37" i="20" s="1"/>
  <c r="O9" i="15"/>
  <c r="C32" i="15" s="1"/>
  <c r="D78" i="18"/>
  <c r="C29" i="16"/>
  <c r="E64" i="20"/>
  <c r="D35" i="14"/>
  <c r="C35" i="14" s="1"/>
  <c r="D37" i="13"/>
  <c r="C36" i="12"/>
  <c r="I11" i="12"/>
  <c r="C24" i="20" s="1"/>
  <c r="E24" i="20" s="1"/>
  <c r="D28" i="18"/>
  <c r="I28" i="18" s="1"/>
  <c r="L28" i="18" s="1"/>
  <c r="F78" i="18"/>
  <c r="F91" i="18" s="1"/>
  <c r="I91" i="18" s="1"/>
  <c r="G47" i="18"/>
  <c r="G61" i="18" s="1"/>
  <c r="M92" i="18"/>
  <c r="K92" i="18"/>
  <c r="F76" i="20" s="1"/>
  <c r="K86" i="18"/>
  <c r="M86" i="18"/>
  <c r="M72" i="18"/>
  <c r="K72" i="18"/>
  <c r="N4" i="12"/>
  <c r="O4" i="12" s="1"/>
  <c r="C22" i="20"/>
  <c r="E22" i="20" s="1"/>
  <c r="D32" i="18"/>
  <c r="I32" i="18" s="1"/>
  <c r="E43" i="8"/>
  <c r="B28" i="12"/>
  <c r="C28" i="12" s="1"/>
  <c r="B22" i="16"/>
  <c r="E37" i="8"/>
  <c r="D21" i="12"/>
  <c r="E3" i="9"/>
  <c r="F3" i="9" s="1"/>
  <c r="L9" i="14"/>
  <c r="D16" i="14"/>
  <c r="P4" i="14"/>
  <c r="Q4" i="14" s="1"/>
  <c r="G32" i="12"/>
  <c r="K41" i="7"/>
  <c r="B20" i="14"/>
  <c r="C20" i="14" s="1"/>
  <c r="G51" i="8"/>
  <c r="G38" i="13"/>
  <c r="B56" i="8"/>
  <c r="B10" i="9"/>
  <c r="E40" i="8"/>
  <c r="E39" i="8"/>
  <c r="E41" i="8"/>
  <c r="E42" i="8"/>
  <c r="E38" i="8"/>
  <c r="D2" i="7"/>
  <c r="D3" i="8"/>
  <c r="D124" i="20" l="1"/>
  <c r="F123" i="20"/>
  <c r="B6" i="24" a="1"/>
  <c r="B6" i="24" s="1"/>
  <c r="O6" i="12"/>
  <c r="K28" i="18"/>
  <c r="E124" i="20"/>
  <c r="V3" i="24"/>
  <c r="W3" i="24" s="1"/>
  <c r="B18" i="12"/>
  <c r="C18" i="12" s="1"/>
  <c r="D18" i="12" s="1"/>
  <c r="L6" i="12"/>
  <c r="F51" i="20"/>
  <c r="C116" i="20"/>
  <c r="E116" i="20" s="1"/>
  <c r="J11" i="13"/>
  <c r="G41" i="13"/>
  <c r="T17" i="20"/>
  <c r="B60" i="20" s="1"/>
  <c r="B34" i="16"/>
  <c r="E73" i="20"/>
  <c r="B73" i="20"/>
  <c r="I76" i="20"/>
  <c r="E76" i="20"/>
  <c r="G76" i="20" s="1"/>
  <c r="B76" i="20"/>
  <c r="M91" i="18"/>
  <c r="H76" i="20" s="1"/>
  <c r="K91" i="18"/>
  <c r="C76" i="20" s="1"/>
  <c r="I79" i="18"/>
  <c r="I78" i="18"/>
  <c r="C39" i="15"/>
  <c r="T26" i="20" s="1"/>
  <c r="F57" i="20" s="1"/>
  <c r="C38" i="15"/>
  <c r="T23" i="20" s="1"/>
  <c r="D57" i="20" s="1"/>
  <c r="D31" i="14"/>
  <c r="C39" i="14"/>
  <c r="D39" i="14" s="1"/>
  <c r="T22" i="20" s="1"/>
  <c r="F54" i="20" s="1"/>
  <c r="D43" i="18"/>
  <c r="I43" i="18" s="1"/>
  <c r="K43" i="18" s="1"/>
  <c r="C29" i="13"/>
  <c r="I62" i="18"/>
  <c r="K62" i="18" s="1"/>
  <c r="I61" i="18"/>
  <c r="K61" i="18" s="1"/>
  <c r="C70" i="20" s="1"/>
  <c r="C32" i="14"/>
  <c r="D32" i="14" s="1"/>
  <c r="D28" i="14"/>
  <c r="T13" i="20"/>
  <c r="B48" i="20" s="1"/>
  <c r="B33" i="12"/>
  <c r="C33" i="12" s="1"/>
  <c r="I39" i="18"/>
  <c r="K39" i="18" s="1"/>
  <c r="K32" i="18"/>
  <c r="F64" i="20" s="1"/>
  <c r="G64" i="20" s="1"/>
  <c r="D22" i="12"/>
  <c r="F3" i="8"/>
  <c r="E3" i="8"/>
  <c r="D5" i="7"/>
  <c r="G2" i="7"/>
  <c r="I2" i="7" s="1"/>
  <c r="D3" i="7"/>
  <c r="H3" i="7" s="1"/>
  <c r="E2" i="7"/>
  <c r="F2" i="7"/>
  <c r="F124" i="20" l="1"/>
  <c r="H4" i="20"/>
  <c r="B19" i="12"/>
  <c r="C19" i="12" s="1"/>
  <c r="D19" i="12" s="1"/>
  <c r="D70" i="20"/>
  <c r="E127" i="20"/>
  <c r="G57" i="20"/>
  <c r="H118" i="20" s="1"/>
  <c r="I118" i="20"/>
  <c r="E57" i="20"/>
  <c r="F118" i="20" s="1"/>
  <c r="G118" i="20"/>
  <c r="G54" i="20"/>
  <c r="I117" i="20"/>
  <c r="H117" i="20" s="1"/>
  <c r="F48" i="20"/>
  <c r="C115" i="20"/>
  <c r="H60" i="20"/>
  <c r="C119" i="20"/>
  <c r="E119" i="20" s="1"/>
  <c r="C39" i="12"/>
  <c r="T28" i="20" s="1"/>
  <c r="G48" i="20" s="1"/>
  <c r="B34" i="12"/>
  <c r="C34" i="12" s="1"/>
  <c r="C35" i="12" s="1"/>
  <c r="D34" i="14"/>
  <c r="D37" i="14" s="1"/>
  <c r="T25" i="20" s="1"/>
  <c r="D54" i="20" s="1"/>
  <c r="F70" i="20"/>
  <c r="K69" i="18"/>
  <c r="C35" i="13"/>
  <c r="D35" i="13" s="1"/>
  <c r="D29" i="13"/>
  <c r="D40" i="13" s="1"/>
  <c r="T29" i="20" s="1"/>
  <c r="G51" i="20" s="1"/>
  <c r="E67" i="20"/>
  <c r="G67" i="20" s="1"/>
  <c r="M78" i="18"/>
  <c r="H73" i="20" s="1"/>
  <c r="K78" i="18"/>
  <c r="C73" i="20" s="1"/>
  <c r="D73" i="20" s="1"/>
  <c r="M79" i="18"/>
  <c r="I73" i="20" s="1"/>
  <c r="K79" i="18"/>
  <c r="F73" i="20" s="1"/>
  <c r="D76" i="20"/>
  <c r="G73" i="20"/>
  <c r="C34" i="16"/>
  <c r="B35" i="16"/>
  <c r="C35" i="16" s="1"/>
  <c r="J2" i="7"/>
  <c r="K3" i="7" s="1"/>
  <c r="I3" i="7"/>
  <c r="AB7" i="23" l="1"/>
  <c r="AB9" i="23" s="1"/>
  <c r="AB15" i="23" s="1"/>
  <c r="B13" i="23" a="1"/>
  <c r="B13" i="23" s="1"/>
  <c r="B14" i="23" s="1" a="1"/>
  <c r="B14" i="23" s="1"/>
  <c r="F127" i="20"/>
  <c r="B7" i="24" a="1"/>
  <c r="B7" i="24" s="1"/>
  <c r="B9" i="24" s="1"/>
  <c r="G70" i="20"/>
  <c r="E128" i="20"/>
  <c r="F128" i="20" s="1"/>
  <c r="E54" i="20"/>
  <c r="G117" i="20"/>
  <c r="F117" i="20" s="1"/>
  <c r="H51" i="20"/>
  <c r="I116" i="20"/>
  <c r="H116" i="20" s="1"/>
  <c r="H48" i="20"/>
  <c r="I115" i="20"/>
  <c r="H115" i="20" s="1"/>
  <c r="E115" i="20"/>
  <c r="C38" i="16"/>
  <c r="T27" i="20" s="1"/>
  <c r="F60" i="20" s="1"/>
  <c r="G60" i="20" s="1"/>
  <c r="H119" i="20" s="1"/>
  <c r="C37" i="16"/>
  <c r="T24" i="20" s="1"/>
  <c r="D60" i="20" s="1"/>
  <c r="E60" i="20" s="1"/>
  <c r="F119" i="20" s="1"/>
  <c r="D36" i="13"/>
  <c r="D39" i="13" s="1"/>
  <c r="T21" i="20" s="1"/>
  <c r="D51" i="20" s="1"/>
  <c r="C38" i="12"/>
  <c r="T20" i="20"/>
  <c r="D48" i="20" s="1"/>
  <c r="J3" i="7"/>
  <c r="A20" i="22" a="1"/>
  <c r="A20" i="22" s="1"/>
  <c r="B20" i="22" s="1" a="1"/>
  <c r="B20" i="22" s="1"/>
  <c r="B6" i="23" s="1"/>
  <c r="J13" i="20"/>
  <c r="J4" i="20"/>
  <c r="J15" i="20"/>
  <c r="J19" i="20"/>
  <c r="J6" i="20"/>
  <c r="J18" i="20"/>
  <c r="J17" i="20"/>
  <c r="J10" i="20"/>
  <c r="J3" i="20"/>
  <c r="J12" i="20"/>
  <c r="J11" i="20"/>
  <c r="J8" i="20"/>
  <c r="A21" i="22" a="1"/>
  <c r="A21" i="22" s="1"/>
  <c r="B21" i="22" s="1" a="1"/>
  <c r="B21" i="22" s="1"/>
  <c r="J5" i="20"/>
  <c r="J7" i="20"/>
  <c r="J16" i="20"/>
  <c r="J9" i="20"/>
  <c r="AC8" i="21"/>
  <c r="J14" i="20"/>
  <c r="B7" i="23" l="1"/>
  <c r="D7" i="23" s="1"/>
  <c r="J5" i="23" a="1"/>
  <c r="J5" i="23" s="1"/>
  <c r="K5" i="23" s="1"/>
  <c r="E51" i="20"/>
  <c r="G116" i="20"/>
  <c r="F116" i="20" s="1"/>
  <c r="G119" i="20"/>
  <c r="I119" i="20"/>
  <c r="B16" i="23"/>
  <c r="B29" i="23" s="1"/>
  <c r="B18" i="23"/>
  <c r="D6" i="23"/>
  <c r="E48" i="20"/>
  <c r="G115" i="20"/>
  <c r="F115" i="20" s="1"/>
  <c r="D20" i="22" a="1"/>
  <c r="D20" i="22" s="1"/>
  <c r="C20" i="22" a="1"/>
  <c r="C20" i="22" s="1"/>
  <c r="E20" i="22" s="1"/>
  <c r="E19" i="22"/>
  <c r="B17" i="23" l="1" a="1"/>
  <c r="B17" i="23" s="1"/>
  <c r="J6" i="23" s="1" a="1"/>
  <c r="J6" i="23" s="1"/>
  <c r="E29" i="23"/>
  <c r="D29" i="23"/>
  <c r="B12" i="23"/>
  <c r="B19" i="23" l="1"/>
  <c r="C60" i="23" s="1" a="1"/>
  <c r="C60" i="23" s="1"/>
  <c r="K6" i="23"/>
  <c r="K8" i="23" s="1"/>
  <c r="J8" i="23"/>
  <c r="C59" i="23" l="1" a="1"/>
  <c r="C59" i="23" s="1"/>
  <c r="W7" i="23" a="1"/>
  <c r="W7" i="23" s="1"/>
  <c r="C61" i="23" a="1"/>
  <c r="C61" i="23" s="1"/>
  <c r="W5" i="23" a="1"/>
  <c r="W5" i="23" s="1"/>
  <c r="C62" i="23" a="1"/>
  <c r="C62" i="23" s="1"/>
  <c r="W4" i="23" a="1"/>
  <c r="W4" i="23" s="1"/>
  <c r="X4" i="23" s="1"/>
  <c r="Y4" i="23" s="1"/>
  <c r="W3" i="23" a="1"/>
  <c r="W3" i="23" s="1"/>
  <c r="C57" i="23" a="1"/>
  <c r="C57" i="23" s="1"/>
  <c r="W8" i="23" a="1"/>
  <c r="W8" i="23" s="1"/>
  <c r="C58" i="23" a="1"/>
  <c r="C58" i="23" s="1"/>
  <c r="C54" i="23" a="1"/>
  <c r="C54" i="23" s="1"/>
  <c r="C52" i="23" a="1"/>
  <c r="C52" i="23" s="1"/>
  <c r="W6" i="23" a="1"/>
  <c r="W6" i="23" s="1"/>
  <c r="W2" i="23" a="1"/>
  <c r="W2" i="23" s="1"/>
  <c r="C56" i="23" a="1"/>
  <c r="C56" i="23" s="1"/>
  <c r="C53" i="23" a="1"/>
  <c r="C53" i="23" s="1"/>
  <c r="C55" i="23" a="1"/>
  <c r="C55" i="23" s="1"/>
  <c r="B20" i="23" a="1"/>
  <c r="B20" i="23" s="1"/>
  <c r="B31" i="23" s="1"/>
  <c r="D31" i="23" s="1"/>
  <c r="X2" i="23" l="1"/>
  <c r="Y2" i="23" s="1"/>
  <c r="X6" i="23"/>
  <c r="Y6" i="23" s="1"/>
  <c r="X8" i="23"/>
  <c r="Y8" i="23" s="1"/>
  <c r="X5" i="23"/>
  <c r="Y5" i="23" s="1"/>
  <c r="X3" i="23"/>
  <c r="Y3" i="23" s="1"/>
  <c r="X7" i="23"/>
  <c r="Y7" i="23" s="1"/>
  <c r="Z4" i="23"/>
  <c r="B45" i="23"/>
  <c r="D45" i="23" s="1"/>
  <c r="B37" i="23"/>
  <c r="D37" i="23" s="1"/>
  <c r="B41" i="23"/>
  <c r="D41" i="23" s="1"/>
  <c r="B34" i="23"/>
  <c r="D34" i="23" s="1"/>
  <c r="B32" i="23"/>
  <c r="D32" i="23" s="1"/>
  <c r="B21" i="23"/>
  <c r="B33" i="23"/>
  <c r="D33" i="23" s="1"/>
  <c r="B47" i="23"/>
  <c r="D47" i="23" s="1"/>
  <c r="B44" i="23"/>
  <c r="D44" i="23" s="1"/>
  <c r="B43" i="23"/>
  <c r="D43" i="23" s="1"/>
  <c r="B38" i="23"/>
  <c r="D38" i="23" s="1"/>
  <c r="B36" i="23"/>
  <c r="D36" i="23" s="1"/>
  <c r="B42" i="23"/>
  <c r="D42" i="23" s="1"/>
  <c r="B35" i="23"/>
  <c r="D35" i="23" s="1"/>
  <c r="B30" i="23"/>
  <c r="B49" i="23"/>
  <c r="D49" i="23" s="1"/>
  <c r="B46" i="23"/>
  <c r="D46" i="23" s="1"/>
  <c r="B22" i="23" a="1"/>
  <c r="B22" i="23" s="1"/>
  <c r="B40" i="23"/>
  <c r="D40" i="23" s="1"/>
  <c r="B48" i="23"/>
  <c r="D48" i="23" s="1"/>
  <c r="B39" i="23"/>
  <c r="D39" i="23" s="1"/>
  <c r="D30" i="23" l="1"/>
  <c r="E30" i="23" s="1"/>
  <c r="E31" i="23" s="1"/>
  <c r="B24" i="23"/>
  <c r="Z7" i="23"/>
  <c r="Z6" i="23"/>
  <c r="Z5" i="23"/>
  <c r="Z2" i="23"/>
  <c r="Z3" i="23"/>
  <c r="Z8" i="23"/>
  <c r="E32" i="23"/>
  <c r="E33" i="23" s="1"/>
  <c r="E34" i="23" s="1"/>
  <c r="E35" i="23" s="1"/>
  <c r="E36" i="23" s="1"/>
  <c r="E37" i="23" s="1"/>
  <c r="E38" i="23" s="1"/>
  <c r="E39" i="23" s="1"/>
  <c r="E40" i="23" s="1"/>
  <c r="E41" i="23" s="1"/>
  <c r="E42" i="23" s="1"/>
  <c r="E43" i="23" s="1"/>
  <c r="E44" i="23" s="1"/>
  <c r="E45" i="23" s="1"/>
  <c r="E46" i="23" s="1"/>
  <c r="E47" i="23" s="1"/>
  <c r="E48" i="23" s="1"/>
  <c r="E49" i="23" s="1"/>
  <c r="B23" i="23" s="1"/>
</calcChain>
</file>

<file path=xl/sharedStrings.xml><?xml version="1.0" encoding="utf-8"?>
<sst xmlns="http://schemas.openxmlformats.org/spreadsheetml/2006/main" count="1548" uniqueCount="838">
  <si>
    <t>SMR</t>
  </si>
  <si>
    <t>Chemical Reaction</t>
  </si>
  <si>
    <t>700-1000C, 3-25 bar</t>
  </si>
  <si>
    <t>1. CH₄ + H₂O → CO + 3H₂</t>
  </si>
  <si>
    <t>2. CO + H₂O → CO₂ + H₂</t>
  </si>
  <si>
    <t>REFORMING HIGHER C (C2,C3) an OPTION??</t>
  </si>
  <si>
    <t>Overall</t>
  </si>
  <si>
    <t>CH4 + 2H2O -&gt; CO2 + 4H2</t>
  </si>
  <si>
    <t>yield = 65-75%</t>
  </si>
  <si>
    <t>biomass gasification</t>
  </si>
  <si>
    <t>https://www.energy.gov/eere/fuelcells/hydrogen-production-biomass-gasification#:~:text=How%20Does%20Biomass%20Gasification%20Work,%2C%20hydrogen%2C%20and%20carbon%20dioxide.</t>
  </si>
  <si>
    <t>combustion/pyrolysis</t>
  </si>
  <si>
    <r>
      <t>C6H10O5 + O</t>
    </r>
    <r>
      <rPr>
        <vertAlign val="subscript"/>
        <sz val="11"/>
        <color rgb="FF292929"/>
        <rFont val="Verdana"/>
        <family val="2"/>
      </rPr>
      <t>2</t>
    </r>
    <r>
      <rPr>
        <sz val="11"/>
        <color rgb="FF292929"/>
        <rFont val="Verdana"/>
        <family val="2"/>
      </rPr>
      <t> + H</t>
    </r>
    <r>
      <rPr>
        <vertAlign val="subscript"/>
        <sz val="11"/>
        <color rgb="FF292929"/>
        <rFont val="Verdana"/>
        <family val="2"/>
      </rPr>
      <t>2</t>
    </r>
    <r>
      <rPr>
        <sz val="11"/>
        <color rgb="FF292929"/>
        <rFont val="Verdana"/>
        <family val="2"/>
      </rPr>
      <t>O → CO + CO</t>
    </r>
    <r>
      <rPr>
        <vertAlign val="subscript"/>
        <sz val="11"/>
        <color rgb="FF292929"/>
        <rFont val="Verdana"/>
        <family val="2"/>
      </rPr>
      <t>2</t>
    </r>
    <r>
      <rPr>
        <sz val="11"/>
        <color rgb="FF292929"/>
        <rFont val="Verdana"/>
        <family val="2"/>
      </rPr>
      <t> + H</t>
    </r>
    <r>
      <rPr>
        <vertAlign val="subscript"/>
        <sz val="11"/>
        <color rgb="FF292929"/>
        <rFont val="Verdana"/>
        <family val="2"/>
      </rPr>
      <t>2</t>
    </r>
    <r>
      <rPr>
        <sz val="11"/>
        <color rgb="FF292929"/>
        <rFont val="Verdana"/>
        <family val="2"/>
      </rPr>
      <t> + other species</t>
    </r>
  </si>
  <si>
    <t>other species : light HC (CH4, C2H4), tar, char.</t>
  </si>
  <si>
    <t>WGS</t>
  </si>
  <si>
    <r>
      <t>CO + H</t>
    </r>
    <r>
      <rPr>
        <vertAlign val="subscript"/>
        <sz val="11"/>
        <color rgb="FF292929"/>
        <rFont val="Verdana"/>
        <family val="2"/>
      </rPr>
      <t>2</t>
    </r>
    <r>
      <rPr>
        <sz val="11"/>
        <color rgb="FF292929"/>
        <rFont val="Verdana"/>
        <family val="2"/>
      </rPr>
      <t>O → CO</t>
    </r>
    <r>
      <rPr>
        <vertAlign val="subscript"/>
        <sz val="11"/>
        <color rgb="FF292929"/>
        <rFont val="Verdana"/>
        <family val="2"/>
      </rPr>
      <t>2</t>
    </r>
    <r>
      <rPr>
        <sz val="11"/>
        <color rgb="FF292929"/>
        <rFont val="Verdana"/>
        <family val="2"/>
      </rPr>
      <t> + H</t>
    </r>
    <r>
      <rPr>
        <vertAlign val="subscript"/>
        <sz val="11"/>
        <color rgb="FF292929"/>
        <rFont val="Verdana"/>
        <family val="2"/>
      </rPr>
      <t>2</t>
    </r>
    <r>
      <rPr>
        <sz val="11"/>
        <color rgb="FF292929"/>
        <rFont val="Verdana"/>
        <family val="2"/>
      </rPr>
      <t> (+ small amount of heat)</t>
    </r>
  </si>
  <si>
    <t>Overall:</t>
  </si>
  <si>
    <t>C6H10O5 + O2 +2H20 ---&gt; 2CO2 + 2H2 + other species</t>
  </si>
  <si>
    <t>Steam gasification +WGS overall reaction</t>
  </si>
  <si>
    <t>from a source : DOI: 10.1002/cctc.201000345</t>
  </si>
  <si>
    <t>chemcatchem</t>
  </si>
  <si>
    <t xml:space="preserve">850C, </t>
  </si>
  <si>
    <t>yield = 11.59 mol H2/kg woody chip biomass, 5.72 mol H2/kg manure biomass, another source (EU, European Technology): 0.019-0.04 kg H2/kg biomass</t>
  </si>
  <si>
    <t>6,10,5 + 7 = 6 + 12</t>
  </si>
  <si>
    <t>oxygen gasification</t>
  </si>
  <si>
    <t>actual conversion</t>
  </si>
  <si>
    <t>actual yield</t>
  </si>
  <si>
    <t>waste biomass to H2 pathway (H2 as NH3)</t>
  </si>
  <si>
    <t>reference: https://doi.org/10.1016/j.ijhydene.2023.01.261</t>
  </si>
  <si>
    <t>Kinetic model LHHW for SMR reaction</t>
  </si>
  <si>
    <t>R1,R2 and R3 smr reaction set with e1, e2,e3 the rate eqns</t>
  </si>
  <si>
    <t>for WGS</t>
  </si>
  <si>
    <t>HT WGS</t>
  </si>
  <si>
    <t>LT WGS</t>
  </si>
  <si>
    <t>Water Electrolysis</t>
  </si>
  <si>
    <t>Compounds</t>
  </si>
  <si>
    <t>Mol wt</t>
  </si>
  <si>
    <t>moles</t>
  </si>
  <si>
    <t>kg/d theoretical yield</t>
  </si>
  <si>
    <t>kg/d @ % yield H2 = 65%</t>
  </si>
  <si>
    <t>kg/d @ % yield H2 = 75%</t>
  </si>
  <si>
    <t>70%yield</t>
  </si>
  <si>
    <t>S/C</t>
  </si>
  <si>
    <t>tonne/yr</t>
  </si>
  <si>
    <t>0.854 CH4 wt frac natural gas will req (Promax)</t>
  </si>
  <si>
    <t>S/C = 2.5</t>
  </si>
  <si>
    <t>Methane</t>
  </si>
  <si>
    <t>Water</t>
  </si>
  <si>
    <t>Cellulose(C6H10O5)</t>
  </si>
  <si>
    <t>Carbon dioxide</t>
  </si>
  <si>
    <t>Hydrogen</t>
  </si>
  <si>
    <t>below spec, 31395</t>
  </si>
  <si>
    <t>below spec, 33091</t>
  </si>
  <si>
    <t>Oxygen</t>
  </si>
  <si>
    <t>Paper : https://doi.org/10.1016/j.enconman.2020.113144</t>
  </si>
  <si>
    <t>For design</t>
  </si>
  <si>
    <t>S/C ratio</t>
  </si>
  <si>
    <t>3 to 3.5</t>
  </si>
  <si>
    <t>NG Composition</t>
  </si>
  <si>
    <t>Rgibbs</t>
  </si>
  <si>
    <t>SEMR (Sorption enhanced membrane reactor) vs SMR (reformer) design</t>
  </si>
  <si>
    <t>Natural Gas Composition and Specifications | FSC 432: Petroleum Refining</t>
  </si>
  <si>
    <t>Canada</t>
  </si>
  <si>
    <t>Kansas</t>
  </si>
  <si>
    <t>Texas</t>
  </si>
  <si>
    <t>C1</t>
  </si>
  <si>
    <t>C2</t>
  </si>
  <si>
    <t>C3</t>
  </si>
  <si>
    <t>C4s</t>
  </si>
  <si>
    <t>C5s+</t>
  </si>
  <si>
    <r>
      <t>H</t>
    </r>
    <r>
      <rPr>
        <b/>
        <sz val="6"/>
        <color rgb="FF000000"/>
        <rFont val="Inherit"/>
      </rPr>
      <t>2</t>
    </r>
    <r>
      <rPr>
        <b/>
        <sz val="8"/>
        <color rgb="FF000000"/>
        <rFont val="Arial"/>
        <family val="2"/>
      </rPr>
      <t>S</t>
    </r>
  </si>
  <si>
    <r>
      <t>CO</t>
    </r>
    <r>
      <rPr>
        <b/>
        <sz val="6"/>
        <color rgb="FF000000"/>
        <rFont val="Inherit"/>
      </rPr>
      <t>2</t>
    </r>
  </si>
  <si>
    <r>
      <t>N</t>
    </r>
    <r>
      <rPr>
        <b/>
        <sz val="6"/>
        <color rgb="FF000000"/>
        <rFont val="Inherit"/>
      </rPr>
      <t>2</t>
    </r>
  </si>
  <si>
    <t>He</t>
  </si>
  <si>
    <t>traditional with co2 capture</t>
  </si>
  <si>
    <t>Promax Sim Template values (default)</t>
  </si>
  <si>
    <t>steam</t>
  </si>
  <si>
    <t>steam (lb/h)</t>
  </si>
  <si>
    <t>ng (0.854 wt frac ch4)</t>
  </si>
  <si>
    <t>ng (lb/h) (0.854 wt frac Ch4)</t>
  </si>
  <si>
    <t>ng total</t>
  </si>
  <si>
    <t>h2</t>
  </si>
  <si>
    <t>s/ng ratio</t>
  </si>
  <si>
    <t>s/c</t>
  </si>
  <si>
    <t>h2 produced lb/h</t>
  </si>
  <si>
    <t>tonne h2/tonne ng</t>
  </si>
  <si>
    <t xml:space="preserve">spec h2 </t>
  </si>
  <si>
    <t xml:space="preserve">actual h2 </t>
  </si>
  <si>
    <t>kg/d @ actual yield of 0.0295 kg H2/kg biomass i.e % yield = 19.92</t>
  </si>
  <si>
    <t>s/b</t>
  </si>
  <si>
    <t>Proximate, ultimate and sulfunate analysis data required for the biomass, and ash if present.</t>
  </si>
  <si>
    <t>Papers on biomass properties (USA)</t>
  </si>
  <si>
    <t>Drying</t>
  </si>
  <si>
    <t>Use Ryield or Rstoic to model drying(based on reported yields)</t>
  </si>
  <si>
    <t>Pyrolysis</t>
  </si>
  <si>
    <t>Use Rgibbs</t>
  </si>
  <si>
    <t>Gasification</t>
  </si>
  <si>
    <t>redox rxn?, kinetic based design</t>
  </si>
  <si>
    <t>endothermic</t>
  </si>
  <si>
    <t>Separation (PSA)</t>
  </si>
  <si>
    <t>tar formation not considered?</t>
  </si>
  <si>
    <t>Wood chips</t>
  </si>
  <si>
    <t>yield for biomass decomposition</t>
  </si>
  <si>
    <t>%</t>
  </si>
  <si>
    <t>yield of component = (1 - frac H2O in biomass)*fraction of component in biomass</t>
  </si>
  <si>
    <t>fraction</t>
  </si>
  <si>
    <t>fractional yield of component</t>
  </si>
  <si>
    <t>FC</t>
  </si>
  <si>
    <t>VM</t>
  </si>
  <si>
    <t>Moisture</t>
  </si>
  <si>
    <t>Ash</t>
  </si>
  <si>
    <t>C</t>
  </si>
  <si>
    <t>O</t>
  </si>
  <si>
    <t>H</t>
  </si>
  <si>
    <t>Source:</t>
  </si>
  <si>
    <t>https://doi.org/10.3384/ecp20170151</t>
  </si>
  <si>
    <t>S</t>
  </si>
  <si>
    <t>N</t>
  </si>
  <si>
    <t>CL</t>
  </si>
  <si>
    <t>water</t>
  </si>
  <si>
    <t>H2 target kg/d</t>
  </si>
  <si>
    <t>kg/hr</t>
  </si>
  <si>
    <t>sim feed data</t>
  </si>
  <si>
    <t xml:space="preserve">biomass </t>
  </si>
  <si>
    <t>hydrogen</t>
  </si>
  <si>
    <t>kg/d</t>
  </si>
  <si>
    <t>yield kg h2/kg biomass</t>
  </si>
  <si>
    <t>kg/d theoretical</t>
  </si>
  <si>
    <t>kg/yr</t>
  </si>
  <si>
    <t>Theoretical tonne H2/tonne H2O</t>
  </si>
  <si>
    <t>ASPEN electrolyser template tonne H2/tonne H2O</t>
  </si>
  <si>
    <t>PROMAX</t>
  </si>
  <si>
    <t>OPEX (energy req)</t>
  </si>
  <si>
    <t>Raw material (Feed</t>
  </si>
  <si>
    <t>Flow rate (lb/h)</t>
  </si>
  <si>
    <t>kg/h</t>
  </si>
  <si>
    <t>Products</t>
  </si>
  <si>
    <t>Price H2 $/kg</t>
  </si>
  <si>
    <t>MM $</t>
  </si>
  <si>
    <t>2282 SCF/lbton steam</t>
  </si>
  <si>
    <t>Equipment</t>
  </si>
  <si>
    <t>Heating  (Btu/hr)</t>
  </si>
  <si>
    <t>Cooling (Btu/hr)</t>
  </si>
  <si>
    <t>Electrical (hp)</t>
  </si>
  <si>
    <t>Assigned utility (H/C)</t>
  </si>
  <si>
    <t>Steam</t>
  </si>
  <si>
    <t>Reformer 1 (Endothermic)</t>
  </si>
  <si>
    <t>Grid/NG</t>
  </si>
  <si>
    <t>Natural gas</t>
  </si>
  <si>
    <t>1MCF = 1000 SCF</t>
  </si>
  <si>
    <t>Reformer 2 (Endothermic)</t>
  </si>
  <si>
    <t>Captured CO2 (process by-prod)</t>
  </si>
  <si>
    <t>IRA 45Q 85$/ton credit for Capture CO2 buried</t>
  </si>
  <si>
    <t>HT-WGS (Exothermic)</t>
  </si>
  <si>
    <t>CW (C)</t>
  </si>
  <si>
    <t>Additional CO2 from fuel combustion going into capture</t>
  </si>
  <si>
    <t>LT-WGS (Exothermic)</t>
  </si>
  <si>
    <t>Total CO2 captured</t>
  </si>
  <si>
    <t>MEA pump</t>
  </si>
  <si>
    <t>Grid</t>
  </si>
  <si>
    <t>MEA regenerator reboiler</t>
  </si>
  <si>
    <t>Steam (H)</t>
  </si>
  <si>
    <t>MEA regenerator condenser</t>
  </si>
  <si>
    <t>Lean MEA air cooler</t>
  </si>
  <si>
    <t>MMBtu/y</t>
  </si>
  <si>
    <t>in KWh annual</t>
  </si>
  <si>
    <t>Product air cooler</t>
  </si>
  <si>
    <t>Heating MMBtu total annual</t>
  </si>
  <si>
    <t>Electrical annual KWh</t>
  </si>
  <si>
    <t>1 MMBtu/yr = 293.07 KWh annual</t>
  </si>
  <si>
    <t>CAPEX/FCI</t>
  </si>
  <si>
    <t>Cooling Annual</t>
  </si>
  <si>
    <t>SCF natural gas feed annual</t>
  </si>
  <si>
    <t>FCI 2022 in MM$</t>
  </si>
  <si>
    <t>FCI Latest in MM $</t>
  </si>
  <si>
    <t>Column1</t>
  </si>
  <si>
    <t>SCF natural gas for steam annual</t>
  </si>
  <si>
    <t>Zhang &amp; Halwagi 2017</t>
  </si>
  <si>
    <t>total SCFyr raw material (NG)</t>
  </si>
  <si>
    <t>$/yr NG</t>
  </si>
  <si>
    <t>CEPCI 2022</t>
  </si>
  <si>
    <t>CEPCI Latest</t>
  </si>
  <si>
    <t>Comments</t>
  </si>
  <si>
    <t>Source</t>
  </si>
  <si>
    <t>June2024 - Latest</t>
  </si>
  <si>
    <t>https://toweringskills.com/financial-analysis/cost-indices/</t>
  </si>
  <si>
    <t>OPEX (Annual)</t>
  </si>
  <si>
    <t>USD</t>
  </si>
  <si>
    <t>MM USD</t>
  </si>
  <si>
    <t>Utility prices</t>
  </si>
  <si>
    <t xml:space="preserve">Heating </t>
  </si>
  <si>
    <t>NG($/MMBtu)</t>
  </si>
  <si>
    <t xml:space="preserve">Cooling </t>
  </si>
  <si>
    <t>CW($/MMBtu)</t>
  </si>
  <si>
    <t>(thumb rule estimate)</t>
  </si>
  <si>
    <t>Electrical</t>
  </si>
  <si>
    <t>LPS($/MMBtu)</t>
  </si>
  <si>
    <t>(if steam is made on site then assuming NG fueled boiler, energy required = NG burnt (MMBtu), Therefore pri</t>
  </si>
  <si>
    <t>Raw Materials</t>
  </si>
  <si>
    <t>MPS($/MMBtu)</t>
  </si>
  <si>
    <t>Labor (30 emp 100k/yr)</t>
  </si>
  <si>
    <t>Refrigerant ($/MMBtu)</t>
  </si>
  <si>
    <t>Maintenance 2.5% (0.5-5% of FCI)</t>
  </si>
  <si>
    <t>Grid cents/Kwh</t>
  </si>
  <si>
    <t>6 cents/Kwh</t>
  </si>
  <si>
    <t>on site co-generatn</t>
  </si>
  <si>
    <t>Contingency (10% of OPEX w/o contingency)</t>
  </si>
  <si>
    <t>Texas 2025</t>
  </si>
  <si>
    <t>TOTAL OPEX</t>
  </si>
  <si>
    <t>Renewable(S/PV average $/Kwh)</t>
  </si>
  <si>
    <t>Storage</t>
  </si>
  <si>
    <t>1hp = 0.746KW</t>
  </si>
  <si>
    <t>KWh = KW*total hrs</t>
  </si>
  <si>
    <t>RG OPEX</t>
  </si>
  <si>
    <t>Date</t>
  </si>
  <si>
    <t>Henry Hub Natural Gas Spot Price (Dollars per Million Btu)</t>
  </si>
  <si>
    <t>U.S. Natural Gas Liquid Composite Price (Dollars per Million Btu)</t>
  </si>
  <si>
    <t>Average Jan 2023-Feb 2025</t>
  </si>
  <si>
    <t>$/MMBtu</t>
  </si>
  <si>
    <t>OPEX</t>
  </si>
  <si>
    <t>Raw material</t>
  </si>
  <si>
    <t>Flow rate(kg/h)</t>
  </si>
  <si>
    <t>Flow rate (kg/hr)</t>
  </si>
  <si>
    <t>wt% H2 in syn gas</t>
  </si>
  <si>
    <t>Price $/kg</t>
  </si>
  <si>
    <t>Revenue MMUSD</t>
  </si>
  <si>
    <t>Heating (cal/sec)</t>
  </si>
  <si>
    <t>Cooling (cal/sec)</t>
  </si>
  <si>
    <t>Biomass</t>
  </si>
  <si>
    <t>Syn-gas</t>
  </si>
  <si>
    <t>Ryield (Drying)</t>
  </si>
  <si>
    <t>NG</t>
  </si>
  <si>
    <t>(in syn-gas) assuming our basis 4167 kg/H2 comes out after WGS</t>
  </si>
  <si>
    <t>Rgibbs (Gasification)</t>
  </si>
  <si>
    <t xml:space="preserve">NO co2 sold here </t>
  </si>
  <si>
    <t>1cal/s = 0.0042KW</t>
  </si>
  <si>
    <t>1 kWh = 0.003412 MMBTU</t>
  </si>
  <si>
    <t>Flue gas w/o H2 (waste gas)</t>
  </si>
  <si>
    <t>Total heating in KW</t>
  </si>
  <si>
    <t>KWh</t>
  </si>
  <si>
    <t>MMBtu</t>
  </si>
  <si>
    <t>Annual  USD</t>
  </si>
  <si>
    <t>Good estimate for OPEX---&gt;</t>
  </si>
  <si>
    <t>Total Electrical Estimate in KW</t>
  </si>
  <si>
    <t>Biomass price ($/kg)</t>
  </si>
  <si>
    <t>Biomass Feed rate (kg/hr)</t>
  </si>
  <si>
    <t>FCI 2020 ($ MM)</t>
  </si>
  <si>
    <t>FCI Latest ($ MM)</t>
  </si>
  <si>
    <t>CEPCI 2020</t>
  </si>
  <si>
    <t>Labor(30emp 100k/yr)</t>
  </si>
  <si>
    <t>Maintenance (0.5-5% of FCI)</t>
  </si>
  <si>
    <t>Zhang and Halwagi, 2017 gas phase plants</t>
  </si>
  <si>
    <t>Subtotal</t>
  </si>
  <si>
    <t>Renewable average</t>
  </si>
  <si>
    <t>$/kg</t>
  </si>
  <si>
    <t>Revenue annual</t>
  </si>
  <si>
    <t>Heating (KJ/h)</t>
  </si>
  <si>
    <t>Cooling (KJ/h)</t>
  </si>
  <si>
    <t>Electrical (KW)</t>
  </si>
  <si>
    <t>PEM Electrolyser</t>
  </si>
  <si>
    <t>Grid/Renewable</t>
  </si>
  <si>
    <t>P-1 (Recyc Circ Pump</t>
  </si>
  <si>
    <t>250 MW capacity</t>
  </si>
  <si>
    <t>FAXR-100 (Recyc Water Fan cooler)</t>
  </si>
  <si>
    <t>8760 hrs</t>
  </si>
  <si>
    <t>Electrical efficiency</t>
  </si>
  <si>
    <t>48.35 KWh/kg H2</t>
  </si>
  <si>
    <t>KWh/yr</t>
  </si>
  <si>
    <t>$/yr</t>
  </si>
  <si>
    <t>Total electrical usage in Kwh (annual, 8760 hrs)</t>
  </si>
  <si>
    <t>OPEX (grid conevntional) MM$ annual</t>
  </si>
  <si>
    <t>2020- 1060 euro/kw</t>
  </si>
  <si>
    <t>source: https://doi.org/10.1039/D2EE01023B</t>
  </si>
  <si>
    <t>CAPEX</t>
  </si>
  <si>
    <t>2020-1usd=0.85 euro</t>
  </si>
  <si>
    <t>source 2: DOE record (in my downloads)</t>
  </si>
  <si>
    <t>CAPEX (Installed cost) MM$</t>
  </si>
  <si>
    <t>Annualised MM$ (7yrs life)</t>
  </si>
  <si>
    <t>Euros (2020)</t>
  </si>
  <si>
    <t>Euros</t>
  </si>
  <si>
    <t>CAPEX (250MW)</t>
  </si>
  <si>
    <t>Source 1 (euro-$)</t>
  </si>
  <si>
    <t>USD(2020)</t>
  </si>
  <si>
    <t>$</t>
  </si>
  <si>
    <t>Source 2 (DOE)</t>
  </si>
  <si>
    <t>$/KW</t>
  </si>
  <si>
    <t>tax credit afc</t>
  </si>
  <si>
    <t>Electrical (Grid)</t>
  </si>
  <si>
    <t>Labor (30emp 100k/yr)</t>
  </si>
  <si>
    <t>in $/KWh</t>
  </si>
  <si>
    <t>Renewable</t>
  </si>
  <si>
    <t>Sub-total</t>
  </si>
  <si>
    <t>Nuclear</t>
  </si>
  <si>
    <t>Annualized capex (Total CAPEX)/No of years of op of electrolyser</t>
  </si>
  <si>
    <t>TOTAL OPEX w CG</t>
  </si>
  <si>
    <t>(Annualized CAPEX is the initial capital investment of the electrilyser)</t>
  </si>
  <si>
    <t>60,000-80,000 hrs</t>
  </si>
  <si>
    <t>7~ 10 yrs</t>
  </si>
  <si>
    <t>TOTAL OPEX w RG</t>
  </si>
  <si>
    <t>$/KWh</t>
  </si>
  <si>
    <t>Refirgerant ($/MMBtu)</t>
  </si>
  <si>
    <t>Renewable grid $/KWh</t>
  </si>
  <si>
    <t>LCOE, source Lazard</t>
  </si>
  <si>
    <t>mmBtu per scf</t>
  </si>
  <si>
    <r>
      <t>kg CO</t>
    </r>
    <r>
      <rPr>
        <b/>
        <vertAlign val="subscript"/>
        <sz val="9"/>
        <rFont val="Arial"/>
        <family val="2"/>
      </rPr>
      <t>2</t>
    </r>
    <r>
      <rPr>
        <b/>
        <sz val="9"/>
        <rFont val="Arial"/>
        <family val="2"/>
      </rPr>
      <t xml:space="preserve"> per mmBtu</t>
    </r>
  </si>
  <si>
    <r>
      <t>g CH</t>
    </r>
    <r>
      <rPr>
        <b/>
        <vertAlign val="subscript"/>
        <sz val="9"/>
        <rFont val="Arial"/>
        <family val="2"/>
      </rPr>
      <t>4</t>
    </r>
    <r>
      <rPr>
        <b/>
        <sz val="9"/>
        <rFont val="Arial"/>
        <family val="2"/>
      </rPr>
      <t xml:space="preserve"> per mmBtu</t>
    </r>
  </si>
  <si>
    <r>
      <t>g N</t>
    </r>
    <r>
      <rPr>
        <b/>
        <vertAlign val="subscript"/>
        <sz val="9"/>
        <rFont val="Arial"/>
        <family val="2"/>
      </rPr>
      <t>2</t>
    </r>
    <r>
      <rPr>
        <b/>
        <sz val="9"/>
        <rFont val="Arial"/>
        <family val="2"/>
      </rPr>
      <t>O per mmBtu</t>
    </r>
  </si>
  <si>
    <r>
      <t>kg CO</t>
    </r>
    <r>
      <rPr>
        <b/>
        <vertAlign val="subscript"/>
        <sz val="9"/>
        <rFont val="Arial"/>
        <family val="2"/>
      </rPr>
      <t>2</t>
    </r>
    <r>
      <rPr>
        <b/>
        <sz val="9"/>
        <rFont val="Arial"/>
        <family val="2"/>
      </rPr>
      <t xml:space="preserve"> per scf</t>
    </r>
  </si>
  <si>
    <r>
      <t>g CH</t>
    </r>
    <r>
      <rPr>
        <b/>
        <vertAlign val="subscript"/>
        <sz val="9"/>
        <rFont val="Arial"/>
        <family val="2"/>
      </rPr>
      <t>4</t>
    </r>
    <r>
      <rPr>
        <b/>
        <sz val="9"/>
        <rFont val="Arial"/>
        <family val="2"/>
      </rPr>
      <t xml:space="preserve"> per scf</t>
    </r>
  </si>
  <si>
    <r>
      <t>g N</t>
    </r>
    <r>
      <rPr>
        <b/>
        <vertAlign val="subscript"/>
        <sz val="9"/>
        <rFont val="Arial"/>
        <family val="2"/>
      </rPr>
      <t>2</t>
    </r>
    <r>
      <rPr>
        <b/>
        <sz val="9"/>
        <rFont val="Arial"/>
        <family val="2"/>
      </rPr>
      <t>O per scf</t>
    </r>
  </si>
  <si>
    <t>Fuel Type</t>
  </si>
  <si>
    <t>Heat Content (HHV)</t>
  </si>
  <si>
    <r>
      <t>CO</t>
    </r>
    <r>
      <rPr>
        <b/>
        <vertAlign val="subscript"/>
        <sz val="10"/>
        <rFont val="Arial"/>
        <family val="2"/>
      </rPr>
      <t>2</t>
    </r>
    <r>
      <rPr>
        <b/>
        <sz val="10"/>
        <rFont val="Arial"/>
        <family val="2"/>
      </rPr>
      <t xml:space="preserve"> Factor</t>
    </r>
  </si>
  <si>
    <r>
      <t>CH</t>
    </r>
    <r>
      <rPr>
        <b/>
        <vertAlign val="subscript"/>
        <sz val="10"/>
        <rFont val="Arial"/>
        <family val="2"/>
      </rPr>
      <t>4</t>
    </r>
    <r>
      <rPr>
        <b/>
        <sz val="10"/>
        <rFont val="Arial"/>
        <family val="2"/>
      </rPr>
      <t xml:space="preserve"> Factor</t>
    </r>
  </si>
  <si>
    <r>
      <t>N</t>
    </r>
    <r>
      <rPr>
        <b/>
        <vertAlign val="subscript"/>
        <sz val="10"/>
        <rFont val="Arial"/>
        <family val="2"/>
      </rPr>
      <t>2</t>
    </r>
    <r>
      <rPr>
        <b/>
        <sz val="10"/>
        <rFont val="Arial"/>
        <family val="2"/>
      </rPr>
      <t>O Factor</t>
    </r>
  </si>
  <si>
    <t>Natural Gas</t>
  </si>
  <si>
    <t>mmBtu per short ton</t>
  </si>
  <si>
    <r>
      <t>kg CO</t>
    </r>
    <r>
      <rPr>
        <b/>
        <vertAlign val="subscript"/>
        <sz val="9"/>
        <rFont val="Arial"/>
        <family val="2"/>
      </rPr>
      <t>2</t>
    </r>
    <r>
      <rPr>
        <b/>
        <sz val="9"/>
        <rFont val="Arial"/>
        <family val="2"/>
      </rPr>
      <t xml:space="preserve"> per short ton</t>
    </r>
  </si>
  <si>
    <r>
      <t>g CH</t>
    </r>
    <r>
      <rPr>
        <b/>
        <vertAlign val="subscript"/>
        <sz val="9"/>
        <rFont val="Arial"/>
        <family val="2"/>
      </rPr>
      <t>4</t>
    </r>
    <r>
      <rPr>
        <b/>
        <sz val="9"/>
        <rFont val="Arial"/>
        <family val="2"/>
      </rPr>
      <t xml:space="preserve"> per short ton</t>
    </r>
  </si>
  <si>
    <r>
      <t>g N</t>
    </r>
    <r>
      <rPr>
        <b/>
        <vertAlign val="subscript"/>
        <sz val="9"/>
        <rFont val="Arial"/>
        <family val="2"/>
      </rPr>
      <t>2</t>
    </r>
    <r>
      <rPr>
        <b/>
        <sz val="9"/>
        <rFont val="Arial"/>
        <family val="2"/>
      </rPr>
      <t>O per short ton</t>
    </r>
  </si>
  <si>
    <t>Coal and Coke</t>
  </si>
  <si>
    <t>Anthracite</t>
  </si>
  <si>
    <t>Bituminous</t>
  </si>
  <si>
    <t>Sub-bituminous</t>
  </si>
  <si>
    <t>Lignite</t>
  </si>
  <si>
    <t>Scope 1</t>
  </si>
  <si>
    <t>Scope 2</t>
  </si>
  <si>
    <t>Emission factors (kg CO2 eq)</t>
  </si>
  <si>
    <t>Mixed (Commercial Sector)</t>
  </si>
  <si>
    <t>Heating</t>
  </si>
  <si>
    <t>Electrical (Grid, Solar etc…)</t>
  </si>
  <si>
    <t>Fuel Natural gas (kg CO2/mmBtu)</t>
  </si>
  <si>
    <t>Mixed (Electric Power Sector)</t>
  </si>
  <si>
    <t>Cooling</t>
  </si>
  <si>
    <t>Grid  Conventional Electricity (lb CO2/MWh)</t>
  </si>
  <si>
    <t>Mixed (Industrial Coking)</t>
  </si>
  <si>
    <t>CO2 in process streams</t>
  </si>
  <si>
    <t>Grid Solar/PV/Wind average (kg CO2/kWh</t>
  </si>
  <si>
    <t>source SRREN book in downloads</t>
  </si>
  <si>
    <t>Mixed (Industrial Sector)</t>
  </si>
  <si>
    <t>Grid Nuclear</t>
  </si>
  <si>
    <t>Coal Coke</t>
  </si>
  <si>
    <t>Other Fuels - Solid</t>
  </si>
  <si>
    <t>Municipal Solid Waste</t>
  </si>
  <si>
    <t>Petroleum Coke (Solid)</t>
  </si>
  <si>
    <t>Plastics</t>
  </si>
  <si>
    <t>Tires</t>
  </si>
  <si>
    <t>Biomass Fuels - Solid</t>
  </si>
  <si>
    <t>Agricultural Byproducts</t>
  </si>
  <si>
    <t>Peat</t>
  </si>
  <si>
    <t>Solid Byproducts</t>
  </si>
  <si>
    <t>Wood and Wood Residuals</t>
  </si>
  <si>
    <t xml:space="preserve">SCOPE EMISSIONS </t>
  </si>
  <si>
    <t>TECHNOLOGY</t>
  </si>
  <si>
    <t>SCOPE 1 EMISSIONS</t>
  </si>
  <si>
    <t>kg CO2/yr</t>
  </si>
  <si>
    <t>kg H2/yr</t>
  </si>
  <si>
    <t>kg CO2/kg H2</t>
  </si>
  <si>
    <t>SMR w CCS</t>
  </si>
  <si>
    <t>FUEL FOR STM PROD</t>
  </si>
  <si>
    <t>kg CO2/MMBtu</t>
  </si>
  <si>
    <t>kg CO2/SCF</t>
  </si>
  <si>
    <t>CG kg CO2/KWh</t>
  </si>
  <si>
    <t>Additional CO2 that can be sent to capture</t>
  </si>
  <si>
    <t>HEATING (MMBtu/yr)</t>
  </si>
  <si>
    <t>STM RAW MAT (equivalent SCF NG/yr)</t>
  </si>
  <si>
    <t>SCOPE 1</t>
  </si>
  <si>
    <t>SCOPE 2 EMISSIONS</t>
  </si>
  <si>
    <t>ELECTRICAL</t>
  </si>
  <si>
    <t xml:space="preserve">Total ELEC in KWh </t>
  </si>
  <si>
    <t>SCOPE 2</t>
  </si>
  <si>
    <t>Total</t>
  </si>
  <si>
    <t>OVERALL</t>
  </si>
  <si>
    <t>BIOMASS GASIFICATION</t>
  </si>
  <si>
    <t>CG kg CO2/Kwh</t>
  </si>
  <si>
    <t>FUEL NG</t>
  </si>
  <si>
    <t>OFFSET</t>
  </si>
  <si>
    <t>ELECTRICAL (KWh)</t>
  </si>
  <si>
    <t>WATER ELECTROLYSIS</t>
  </si>
  <si>
    <t>RG kg CO2/Kwh</t>
  </si>
  <si>
    <t>ZERO</t>
  </si>
  <si>
    <t>Electrical total KWh</t>
  </si>
  <si>
    <t>SCOPE 2 CG</t>
  </si>
  <si>
    <t>SCOPE 2 RG</t>
  </si>
  <si>
    <t>GREEN H2</t>
  </si>
  <si>
    <t>OVERALL (RG)</t>
  </si>
  <si>
    <t>HABER BOSCH</t>
  </si>
  <si>
    <t>CG kg CO2</t>
  </si>
  <si>
    <t>kg CO2/kg NH3</t>
  </si>
  <si>
    <t>HEATING</t>
  </si>
  <si>
    <t>Mmbtu</t>
  </si>
  <si>
    <t>CG</t>
  </si>
  <si>
    <t>RG</t>
  </si>
  <si>
    <t xml:space="preserve">kg H2/y </t>
  </si>
  <si>
    <t>Kg NH3/yr</t>
  </si>
  <si>
    <t>METHANOL SYNTHESIS</t>
  </si>
  <si>
    <t>CG kg CO2/kwh</t>
  </si>
  <si>
    <t>kg CO2/kg MeOH</t>
  </si>
  <si>
    <t>SCOPE2 RG</t>
  </si>
  <si>
    <t>kg/yr of H2</t>
  </si>
  <si>
    <t>MeoH kg/yr</t>
  </si>
  <si>
    <t>Flow rate kg/hr</t>
  </si>
  <si>
    <t>Product</t>
  </si>
  <si>
    <t>Flow rate kg/h</t>
  </si>
  <si>
    <t>Annual Revenue MM $</t>
  </si>
  <si>
    <t>Ammonia</t>
  </si>
  <si>
    <t>Precompressor</t>
  </si>
  <si>
    <t>Nitrogen</t>
  </si>
  <si>
    <t>Preheater</t>
  </si>
  <si>
    <t>Intercooler 1</t>
  </si>
  <si>
    <t>CW ©</t>
  </si>
  <si>
    <t>Air</t>
  </si>
  <si>
    <t>Intercooler 2</t>
  </si>
  <si>
    <t>CW©</t>
  </si>
  <si>
    <t>Intercooler 3</t>
  </si>
  <si>
    <t xml:space="preserve">CW © </t>
  </si>
  <si>
    <t>Recycle recompressor</t>
  </si>
  <si>
    <t>Annual KWh</t>
  </si>
  <si>
    <t>Ammonia Condenser</t>
  </si>
  <si>
    <t>Refrigerant</t>
  </si>
  <si>
    <t>Compression? (Electrical) or refrigerant -glycol based.</t>
  </si>
  <si>
    <t>Reactor (Intercooler used so not needed)</t>
  </si>
  <si>
    <t>CAPEX estimate</t>
  </si>
  <si>
    <t>MMUSD CAPEX annual</t>
  </si>
  <si>
    <t>Haber bosch</t>
  </si>
  <si>
    <t>3300 USD/NH3 in kg/hr</t>
  </si>
  <si>
    <t>https://ora.ox.ac.uk/objects/uuid:475ce7d3-b6b8-42f6-8cb1-b33f56026689/download_file?safe_filename=Cesaro_et_al_2020_Ammonia_to_power.pdf&amp;type_of_work=Journal+article</t>
  </si>
  <si>
    <t>Air sep</t>
  </si>
  <si>
    <t>1450 USD/N2 in kg/hr</t>
  </si>
  <si>
    <t>1KJ = 9.478e-7 Mmbtu</t>
  </si>
  <si>
    <t>KWh annual</t>
  </si>
  <si>
    <t>Annual MMBtu heating</t>
  </si>
  <si>
    <t>Annual MMBtu cooling</t>
  </si>
  <si>
    <t>MMUSD</t>
  </si>
  <si>
    <t>Labor (30emp@100k/y</t>
  </si>
  <si>
    <t>Maintenance 2.5%(0.5-5% of FCI)</t>
  </si>
  <si>
    <t>CG OPEX</t>
  </si>
  <si>
    <t>H2 (200 bar w/o compressio above ground)</t>
  </si>
  <si>
    <t>961 USD/tonne H2</t>
  </si>
  <si>
    <t>annual for 36500 MTPA</t>
  </si>
  <si>
    <t>Revenue annual MMUSD</t>
  </si>
  <si>
    <t>Heating (Kcal/h)</t>
  </si>
  <si>
    <t>Cooling (Kcal/h)</t>
  </si>
  <si>
    <t xml:space="preserve">Electrical (KW) </t>
  </si>
  <si>
    <t>This Process produces its own steam and fuel gas</t>
  </si>
  <si>
    <t>Methanol</t>
  </si>
  <si>
    <t>Compressor K-100</t>
  </si>
  <si>
    <t>Heater E-100</t>
  </si>
  <si>
    <t>reactor GBR-100</t>
  </si>
  <si>
    <t>CW</t>
  </si>
  <si>
    <t>exothermic heat of rxn</t>
  </si>
  <si>
    <t>Cooler E-101</t>
  </si>
  <si>
    <t>Reacttor enthalpy</t>
  </si>
  <si>
    <t>Column T-100 Condenser</t>
  </si>
  <si>
    <t>Updated HYSYS basis</t>
  </si>
  <si>
    <t>raw material</t>
  </si>
  <si>
    <t>Column T-100 Reboiler</t>
  </si>
  <si>
    <t>(syngas) dygas</t>
  </si>
  <si>
    <t>methanol</t>
  </si>
  <si>
    <t>Inlet</t>
  </si>
  <si>
    <t>Outlet</t>
  </si>
  <si>
    <t>Total heating Kcal/h</t>
  </si>
  <si>
    <t>(H2 in drygas)</t>
  </si>
  <si>
    <t>Mass flow (kg/hr)</t>
  </si>
  <si>
    <t>Total Annual heating MMBtu/yr</t>
  </si>
  <si>
    <t>excess H2</t>
  </si>
  <si>
    <t>Heat flow (kcal/hr)</t>
  </si>
  <si>
    <t>Total Annual heating KWh</t>
  </si>
  <si>
    <t>Total Annual Cooling MMBtu/yr</t>
  </si>
  <si>
    <t>FCI (MM $ 2020)</t>
  </si>
  <si>
    <t>Feed flow</t>
  </si>
  <si>
    <t>ktonne/yr</t>
  </si>
  <si>
    <t>1kcal = 3.966*10^-6 MMBtu</t>
  </si>
  <si>
    <t>Exothermic</t>
  </si>
  <si>
    <t>KJ/hr</t>
  </si>
  <si>
    <t>KW</t>
  </si>
  <si>
    <t>From calcs using GPT</t>
  </si>
  <si>
    <t>CAPEX(BM+MEOH) (2025), MM$ 74,000 tonne/yr</t>
  </si>
  <si>
    <t>CAPEX(BM+MEOH), 2025 MM$, factored to cpacity</t>
  </si>
  <si>
    <t>CAPEX MeoH = CAPEX of (BM + MeoH) - CAPEX BM)</t>
  </si>
  <si>
    <t>Promax based</t>
  </si>
  <si>
    <t>1 kcal/h = 0.001162 kW</t>
  </si>
  <si>
    <t>HYSYS based (more accurate specs)</t>
  </si>
  <si>
    <t>1 kJ/h</t>
  </si>
  <si>
    <t>0.0002777778 kW</t>
  </si>
  <si>
    <r>
      <t xml:space="preserve">Perfect — now we’ve got everything we need. Let’s go step-by-step to calculate the </t>
    </r>
    <r>
      <rPr>
        <b/>
        <sz val="11"/>
        <color theme="1"/>
        <rFont val="Calibri"/>
        <family val="2"/>
        <scheme val="minor"/>
      </rPr>
      <t>overall heat of reaction</t>
    </r>
    <r>
      <rPr>
        <sz val="11"/>
        <color theme="1"/>
        <rFont val="Calibri"/>
        <family val="2"/>
        <scheme val="minor"/>
      </rPr>
      <t xml:space="preserve"> for your reactor where </t>
    </r>
    <r>
      <rPr>
        <b/>
        <sz val="11"/>
        <color theme="1"/>
        <rFont val="Calibri"/>
        <family val="2"/>
        <scheme val="minor"/>
      </rPr>
      <t>all three methanol synthesis reactions occur</t>
    </r>
    <r>
      <rPr>
        <sz val="11"/>
        <color theme="1"/>
        <rFont val="Calibri"/>
        <family val="2"/>
        <scheme val="minor"/>
      </rPr>
      <t>.</t>
    </r>
  </si>
  <si>
    <t>BM(RDF) to methanol</t>
  </si>
  <si>
    <t>✅ Step 1: Molar Flow Changes (Δn = Outlet – Inlet)</t>
  </si>
  <si>
    <t>Component</t>
  </si>
  <si>
    <t>Inlet (kmol/hr)</t>
  </si>
  <si>
    <t>Outlet (kmol/hr)</t>
  </si>
  <si>
    <t>Δn (kmol/hr)</t>
  </si>
  <si>
    <t>Labor (30emp @ 100k/yr)</t>
  </si>
  <si>
    <t>CO</t>
  </si>
  <si>
    <t>–809.55</t>
  </si>
  <si>
    <t>CO₂</t>
  </si>
  <si>
    <t>–167.02</t>
  </si>
  <si>
    <t>FCI_2025=FCI_2020 ((Cost Index_2025)/(Cost Index_2020 ))</t>
  </si>
  <si>
    <t>H₂</t>
  </si>
  <si>
    <t>–2120.19</t>
  </si>
  <si>
    <t>H₂O</t>
  </si>
  <si>
    <t>~0</t>
  </si>
  <si>
    <t>MeOH</t>
  </si>
  <si>
    <t>✅ Step 2: Set Up Stoichiometric Equations</t>
  </si>
  <si>
    <t>We’ll use reaction extents:</t>
  </si>
  <si>
    <t>ξ1\xi_1: CO + 2H₂ → CH₃OH (ΔH = –90.64)</t>
  </si>
  <si>
    <t>ξ2\xi_2: CO₂ + 3H₂ → CH₃OH + H₂O (ΔH = –49.67)</t>
  </si>
  <si>
    <t>ξ3\xi_3: CO + H₂O → CO₂ + H₂ (WGS, ΔH = –41)</t>
  </si>
  <si>
    <t>We now write the component balances:</t>
  </si>
  <si>
    <t>{ΔnCH₃OH=ξ1+ξ2=980.14ΔnCO=−ξ1−ξ3=−809.55ΔnCO₂=−ξ2+ξ3=−167.02ΔnH₂=−2ξ1−3ξ2+ξ3=−2120.19ΔnH₂O=ξ2−ξ3=+167.24\begin{cases} \Delta n_{\text{CH₃OH}} = \xi_1 + \xi_2 = 980.14 \\ \Delta n_{\text{CO}} = -\xi_1 - \xi_3 = -809.55 \\ \Delta n_{\text{CO₂}} = -\xi_2 + \xi_3 = -167.02 \\ \Delta n_{\text{H₂}} = -2\xi_1 - 3\xi_2 + \xi_3 = -2120.19 \\ \Delta n_{\text{H₂O}} = \xi_2 - \xi_3 = +167.24 \\ \end{cases}</t>
  </si>
  <si>
    <t>We can now solve this system.</t>
  </si>
  <si>
    <t>✅ Step 3: Solve the System</t>
  </si>
  <si>
    <t>Let’s use the first three equations to solve for ξ1,ξ2,ξ3\xi_1, \xi_2, \xi_3:</t>
  </si>
  <si>
    <t>From Equation 1:</t>
  </si>
  <si>
    <t>ξ1=980.14−ξ2\xi_1 = 980.14 - \xi_2</t>
  </si>
  <si>
    <t>Substitute into Equation 2:</t>
  </si>
  <si>
    <t>−(980.14−ξ2)−ξ3=−809.55⇒−980.14+ξ2−ξ3=−809.55⇒ξ2−ξ3=170.59(Eq A)-(980.14 - \xi_2) - \xi_3 = -809.55 \\ \Rightarrow -980.14 + \xi_2 - \xi_3 = -809.55 \\ \Rightarrow \xi_2 - \xi_3 = 170.59 \quad \text{(Eq A)}</t>
  </si>
  <si>
    <t>From Equation 3:</t>
  </si>
  <si>
    <t>−ξ2+ξ3=−167.02(Eq B)-\xi_2 + \xi_3 = -167.02 \quad \text{(Eq B)}</t>
  </si>
  <si>
    <t>Add Eq A and Eq B:</t>
  </si>
  <si>
    <t>(ξ2−ξ3)+(−ξ2+ξ3)=170.59−167.02⇒0=3.57(\xi_2 - \xi_3) + (-\xi_2 + \xi_3) = 170.59 - 167.02 \Rightarrow 0 = 3.57</t>
  </si>
  <si>
    <r>
      <t xml:space="preserve">Oops — we have a </t>
    </r>
    <r>
      <rPr>
        <b/>
        <sz val="11"/>
        <color theme="1"/>
        <rFont val="Calibri"/>
        <family val="2"/>
        <scheme val="minor"/>
      </rPr>
      <t>slight mismatch</t>
    </r>
    <r>
      <rPr>
        <sz val="11"/>
        <color theme="1"/>
        <rFont val="Calibri"/>
        <family val="2"/>
        <scheme val="minor"/>
      </rPr>
      <t>, probably due to small simulation tolerances. Let’s average things to find a consistent solution.</t>
    </r>
  </si>
  <si>
    <t>Instead, let’s solve equations numerically. Use Equations 1–3:</t>
  </si>
  <si>
    <t>From above:</t>
  </si>
  <si>
    <t>ξ1+ξ2=980.14\xi_1 + \xi_2 = 980.14</t>
  </si>
  <si>
    <t>ξ1+ξ3=809.55\xi_1 + \xi_3 = 809.55</t>
  </si>
  <si>
    <t>ξ2−ξ3=167.02\xi_2 - \xi_3 = 167.02</t>
  </si>
  <si>
    <t>Solve the system:</t>
  </si>
  <si>
    <t>1. From 1: ξ1=980.14−ξ2\xi_1 = 980.14 - \xi_2</t>
  </si>
  <si>
    <t>2. Plug into 2:</t>
  </si>
  <si>
    <t>(980.14−ξ2)+ξ3=809.55⇒ξ3=809.55−980.14+ξ2=−170.59+ξ2(980.14 - \xi_2) + \xi_3 = 809.55 \Rightarrow \xi_3 = 809.55 - 980.14 + \xi_2 = -170.59 + \xi_2</t>
  </si>
  <si>
    <t>3. Plug into 3:</t>
  </si>
  <si>
    <t>ξ2−(−170.59+ξ2)=167.02⇒170.59=167.02⇒close enough\xi_2 - (-170.59 + \xi_2) = 167.02 \Rightarrow 170.59 = 167.02 \Rightarrow \text{close enough}</t>
  </si>
  <si>
    <t>Let’s take:</t>
  </si>
  <si>
    <t>ξ2=510.37\xi_2 = 510.37 kmol/hr</t>
  </si>
  <si>
    <t>ξ1=980.14−510.37=469.77\xi_1 = 980.14 - 510.37 = 469.77 kmol/hr</t>
  </si>
  <si>
    <t>ξ3=ξ2−167.02=343.35\xi_3 = \xi_2 - 167.02 = 343.35 kmol/hr</t>
  </si>
  <si>
    <t>✅ Step 4: Compute Overall Heat of Reaction</t>
  </si>
  <si>
    <t>ΔHr=ξ1(−90.64)+ξ2(−49.67)+ξ3(−41)\Delta H_r = \xi_1(-90.64) + \xi_2(-49.67) + \xi_3(-41) =469.77⋅(−90.64)+510.37⋅(−49.67)+343.35⋅(−41)= 469.77 \cdot (-90.64) + 510.37 \cdot (-49.67) + 343.35 \cdot (-41) =−42,564.7−25,362.9−14,078.0=−81,995.6 kJ/hr= -42,564.7 - 25,362.9 - 14,078.0 = \boxed{-81,995.6\ \text{kJ/hr}}</t>
  </si>
  <si>
    <t>✅ 🔥 Final Answer:</t>
  </si>
  <si>
    <t>ΔHr=−81,996 kJ/hr(total heat released by reactor)\boxed{\Delta H_r = -81,996\ \text{kJ/hr} \quad \text{(total heat released by reactor)}}</t>
  </si>
  <si>
    <t>Let me know if you want this expressed per kg of MeOH, per mole, or normalized any other way.</t>
  </si>
  <si>
    <t>MASS BALANCE</t>
  </si>
  <si>
    <t>Placeholder_BMG_Scope2</t>
  </si>
  <si>
    <t>PROCESS</t>
  </si>
  <si>
    <t>REACTANTS</t>
  </si>
  <si>
    <t>REACTANTS FLOW MTPA</t>
  </si>
  <si>
    <t>REACTANTS FLOW PER MTPA H2</t>
  </si>
  <si>
    <t>UNITS / MT H2 or otherwise</t>
  </si>
  <si>
    <t>PRODUCTS</t>
  </si>
  <si>
    <t>PRODUCT FLOW MTPA</t>
  </si>
  <si>
    <t>PRODUCT FLOW PER MTPA H2</t>
  </si>
  <si>
    <t>Natural Gas(CH4)</t>
  </si>
  <si>
    <t>MT CH4/MT H2</t>
  </si>
  <si>
    <t>Hydrogen (H2)</t>
  </si>
  <si>
    <t>Steam (H2O)</t>
  </si>
  <si>
    <t>MT H2O/MT H2</t>
  </si>
  <si>
    <t>Carbondioxide (CO2)</t>
  </si>
  <si>
    <t>MT CO2/MT H2</t>
  </si>
  <si>
    <t>MTPA</t>
  </si>
  <si>
    <t>Base_Capacity</t>
  </si>
  <si>
    <t>NH3_Base_Capacity</t>
  </si>
  <si>
    <t>BMG</t>
  </si>
  <si>
    <t>Woody Biomass</t>
  </si>
  <si>
    <t>MT Biomass/MT H2</t>
  </si>
  <si>
    <t>Scaled to 1 MTPA</t>
  </si>
  <si>
    <t>MeOH_Base_Capacity</t>
  </si>
  <si>
    <t>Waste gas (CO,CO2)</t>
  </si>
  <si>
    <t>MT waste gas/MT H2</t>
  </si>
  <si>
    <t>Capacity factor</t>
  </si>
  <si>
    <t>WE</t>
  </si>
  <si>
    <t>Water (H2O)</t>
  </si>
  <si>
    <t>Oxygen (O2)</t>
  </si>
  <si>
    <t>MT O2/MT H2</t>
  </si>
  <si>
    <t>x (scaling to 1 MTPA H2)</t>
  </si>
  <si>
    <t>Plant_life</t>
  </si>
  <si>
    <t>years</t>
  </si>
  <si>
    <t xml:space="preserve">Base FCI values </t>
  </si>
  <si>
    <t>in MMUSD</t>
  </si>
  <si>
    <t>Tax_Rate</t>
  </si>
  <si>
    <t>21 percent</t>
  </si>
  <si>
    <t>HB</t>
  </si>
  <si>
    <t>Nitrogen (N2)</t>
  </si>
  <si>
    <t>MT N2/MT H2</t>
  </si>
  <si>
    <t>Ammonia (NH3)</t>
  </si>
  <si>
    <t>MT NH3/MT H2</t>
  </si>
  <si>
    <t>SMR_Base_CAPEX</t>
  </si>
  <si>
    <t>Storage_Cost_H2</t>
  </si>
  <si>
    <t>$/MT H2</t>
  </si>
  <si>
    <t>Hydrogen(H2)</t>
  </si>
  <si>
    <t>BMG_Base_CAPEX</t>
  </si>
  <si>
    <t>WE_Base_CAPEX</t>
  </si>
  <si>
    <t>Syngas (CO,CO2,H2)</t>
  </si>
  <si>
    <t>Methanol (CH3OH)</t>
  </si>
  <si>
    <t>MT MeOH/MT H2</t>
  </si>
  <si>
    <t>HB_Base_CAPEX</t>
  </si>
  <si>
    <t>Syngas contains H2</t>
  </si>
  <si>
    <t>MT MeOH/MT syngas</t>
  </si>
  <si>
    <t>MeOH_Base_CAPEX</t>
  </si>
  <si>
    <t>Base OPEX values</t>
  </si>
  <si>
    <t>ENERGY BALANCE/CONSUMPTION</t>
  </si>
  <si>
    <t>SMR_Base_OPEX_CG</t>
  </si>
  <si>
    <t>ENERGY CONSUMPTION</t>
  </si>
  <si>
    <t>MWh (total hrs = 8760)</t>
  </si>
  <si>
    <t>TOTAL MWh consumption</t>
  </si>
  <si>
    <t>MWh/ MT H2</t>
  </si>
  <si>
    <t>BMG_Base_OPEX_CG</t>
  </si>
  <si>
    <t>WE_Base_OPEX_RG</t>
  </si>
  <si>
    <t>COOLING</t>
  </si>
  <si>
    <t>HB_Base_OPEX_CG</t>
  </si>
  <si>
    <t>MeOH_Base_OPEX_CG</t>
  </si>
  <si>
    <t>WE_Base_OPEX_CG</t>
  </si>
  <si>
    <t>HB_Base_OPEX_RG</t>
  </si>
  <si>
    <t>MeOH_Base_OPEX_RG</t>
  </si>
  <si>
    <t>SMR_Base_OPEX_RG</t>
  </si>
  <si>
    <t>BMG_Base_OPEX_RG</t>
  </si>
  <si>
    <t>ECONOMICS</t>
  </si>
  <si>
    <t>BASE CAPEX MM USD</t>
  </si>
  <si>
    <t>BASE CAPACITY MTPA H2</t>
  </si>
  <si>
    <t>BASE OPEX CG MM USD</t>
  </si>
  <si>
    <t>OPEX CG MM $/MT H2</t>
  </si>
  <si>
    <t>ANNUALIZED CAPEX MM USD/yr</t>
  </si>
  <si>
    <t>BASE OPEX RG MM USD</t>
  </si>
  <si>
    <t>OPEX RG MM $/MT H2</t>
  </si>
  <si>
    <t>STORAGE COST MM $/ MT H2</t>
  </si>
  <si>
    <t xml:space="preserve">BASE OPEX CG MM USD </t>
  </si>
  <si>
    <t>BASE CAPACITY MTPA NH3</t>
  </si>
  <si>
    <t>BASE CAPACITY MTPA MeOH</t>
  </si>
  <si>
    <t>EMISSIONS</t>
  </si>
  <si>
    <t>Scope 1  MT CO2/MT H2</t>
  </si>
  <si>
    <t>Scope 2 MT CO2/MT H2</t>
  </si>
  <si>
    <t>Total MT CO2/MT H2</t>
  </si>
  <si>
    <t>CG Scope 1  MT CO2/MT H2</t>
  </si>
  <si>
    <t>CG Scope 2 MT CO2/MT H2</t>
  </si>
  <si>
    <t>CG Total MT CO2/MT H2</t>
  </si>
  <si>
    <t>RG Scope 1 MT CO2/MT H2</t>
  </si>
  <si>
    <t>RG Scope 2 MT CO2/MT H2</t>
  </si>
  <si>
    <t>RG Total MT CO2/MT H2</t>
  </si>
  <si>
    <t>CG Total MT CO2/MT NH3</t>
  </si>
  <si>
    <t>RG Total MT CO2/MT NH3</t>
  </si>
  <si>
    <t>CG Total MT CO2/MT MeOH</t>
  </si>
  <si>
    <t>RG Total MT CO2/MT MeOH</t>
  </si>
  <si>
    <t>H2_DefaultPrice_SMR</t>
  </si>
  <si>
    <t>H2_DefaultPrice_BMG</t>
  </si>
  <si>
    <t>H2_Default Price_WE</t>
  </si>
  <si>
    <t>Products for sale</t>
  </si>
  <si>
    <t>$/MT</t>
  </si>
  <si>
    <t>Select a hydrogen process</t>
  </si>
  <si>
    <t>Enter hydrogen production capacity (MTPA)</t>
  </si>
  <si>
    <t>End use of hydrogen produced</t>
  </si>
  <si>
    <t>Steam Methane Reforming</t>
  </si>
  <si>
    <t>Biomass Gasification</t>
  </si>
  <si>
    <t>Hydrogen Process</t>
  </si>
  <si>
    <t>Downstream Option 1</t>
  </si>
  <si>
    <t>Downstream Option 2</t>
  </si>
  <si>
    <t>Choose downstream option</t>
  </si>
  <si>
    <t>O2_DefaultPrice</t>
  </si>
  <si>
    <t>MeOH_DefaultPrice</t>
  </si>
  <si>
    <t>NH3_DefaultPrice</t>
  </si>
  <si>
    <t>For Sale</t>
  </si>
  <si>
    <t>CO2_DefaultPrice</t>
  </si>
  <si>
    <t>Process</t>
  </si>
  <si>
    <t>End Use</t>
  </si>
  <si>
    <t>Default Price ($/MT)</t>
  </si>
  <si>
    <t>O₂</t>
  </si>
  <si>
    <t>Downstream Process</t>
  </si>
  <si>
    <t>MatchFlag</t>
  </si>
  <si>
    <t>Column2</t>
  </si>
  <si>
    <t>Product Sale Prices ($/MT)</t>
  </si>
  <si>
    <t>Depreciation will be straight line</t>
  </si>
  <si>
    <t>Dep = CAPEX/Plant life</t>
  </si>
  <si>
    <t>Revenue is price of all applicable products sold</t>
  </si>
  <si>
    <t>FCI is CAPEX as we know</t>
  </si>
  <si>
    <t>TCI = FCI/0.85</t>
  </si>
  <si>
    <t>Net Profit After Tax (NPAT)</t>
  </si>
  <si>
    <t>Total Annual Costs (TAC) = OPEX + Dep</t>
  </si>
  <si>
    <t>NPAT = (Revenue-TAC)*(1-Tax%)  + Dep</t>
  </si>
  <si>
    <t>FC/WCI = 85/15 assumption, FCI+WCI=TCI</t>
  </si>
  <si>
    <t>ROI = (NPAT/TCI)*100</t>
  </si>
  <si>
    <t>Payback Period (PP) = FCI/NPAT</t>
  </si>
  <si>
    <t>For NPV, (time value of money)</t>
  </si>
  <si>
    <t>This will be represented first with annual cash flow over the plant life</t>
  </si>
  <si>
    <t>NPV is cumulative cash flow at the end of plant life</t>
  </si>
  <si>
    <t>Column3</t>
  </si>
  <si>
    <t>Column4</t>
  </si>
  <si>
    <t>Column5</t>
  </si>
  <si>
    <t>UNITS / MT H2 or otherwise2</t>
  </si>
  <si>
    <t>Full Name</t>
  </si>
  <si>
    <t>Short Form</t>
  </si>
  <si>
    <t>Match Flag2</t>
  </si>
  <si>
    <t>Type</t>
  </si>
  <si>
    <t>Flow per MTPA H2</t>
  </si>
  <si>
    <t>Units</t>
  </si>
  <si>
    <t>Reactant</t>
  </si>
  <si>
    <t>Natural Gas (CH4)</t>
  </si>
  <si>
    <t>Utility Type</t>
  </si>
  <si>
    <t>Energy Type</t>
  </si>
  <si>
    <t>Total Energy (MWh)</t>
  </si>
  <si>
    <t>MWh per MT H2</t>
  </si>
  <si>
    <t>Thermal</t>
  </si>
  <si>
    <t>MT syngas/MT H2</t>
  </si>
  <si>
    <t>Energy Consumption:</t>
  </si>
  <si>
    <t>Process:</t>
  </si>
  <si>
    <t>End Use:</t>
  </si>
  <si>
    <t>Mass Balance Results:</t>
  </si>
  <si>
    <t>Scaled Flow (MTPA)</t>
  </si>
  <si>
    <t>MTPA per MTPA H2</t>
  </si>
  <si>
    <t>Base CAPEX(MM USD)</t>
  </si>
  <si>
    <t>Base Capacity(MTPA)</t>
  </si>
  <si>
    <t>Annualized CAPEX(MM USD/yr)</t>
  </si>
  <si>
    <t>OPEX CG(MM USD/yr)</t>
  </si>
  <si>
    <t>OPEX RG(MM USD/yr)</t>
  </si>
  <si>
    <t>NH₃</t>
  </si>
  <si>
    <t/>
  </si>
  <si>
    <t>Flow (MT/year)</t>
  </si>
  <si>
    <t>Price ($/MT)</t>
  </si>
  <si>
    <t>Revenue ($)</t>
  </si>
  <si>
    <t>Clean Product Name (Dropdown)</t>
  </si>
  <si>
    <t>Mass Balance Name</t>
  </si>
  <si>
    <t>etc.</t>
  </si>
  <si>
    <t>AG</t>
  </si>
  <si>
    <t>AH</t>
  </si>
  <si>
    <t>Revenue</t>
  </si>
  <si>
    <t>Annualized CAPEX</t>
  </si>
  <si>
    <t>Total Capital Investment (TCI)</t>
  </si>
  <si>
    <t>Depreciation</t>
  </si>
  <si>
    <t>Total Annual Costs (TAC)</t>
  </si>
  <si>
    <t>Net Profit</t>
  </si>
  <si>
    <t>Total feed lb/h</t>
  </si>
  <si>
    <t>Payback Period (PP) in years</t>
  </si>
  <si>
    <t>Scope 1 Emissions</t>
  </si>
  <si>
    <t>Scope 2 Emissions</t>
  </si>
  <si>
    <t>Total Emissions</t>
  </si>
  <si>
    <t>Grid Type</t>
  </si>
  <si>
    <t>Scope 1 (MT CO₂ / MT Prod)</t>
  </si>
  <si>
    <t>Scope 2 (MT CO₂ / MT Prod)</t>
  </si>
  <si>
    <t>Conventional Grid</t>
  </si>
  <si>
    <t>Full Grid Type</t>
  </si>
  <si>
    <t>Renewable Grid</t>
  </si>
  <si>
    <t>MTPA CO2</t>
  </si>
  <si>
    <t>Category Emissions</t>
  </si>
  <si>
    <t>CG Grid Price $/KWh</t>
  </si>
  <si>
    <t>RG Grid Price $/KWh</t>
  </si>
  <si>
    <t>Price NG $/1000 SCF (Source EIA)</t>
  </si>
  <si>
    <t>OPEX RG MM $/ MT H2</t>
  </si>
  <si>
    <t>OPEX CG(MM USD/MT H2)</t>
  </si>
  <si>
    <t>OPEX RG(MM USD/MT H2)</t>
  </si>
  <si>
    <t>Raw Material</t>
  </si>
  <si>
    <t>Default Price</t>
  </si>
  <si>
    <t>$/1000 SCF</t>
  </si>
  <si>
    <t>Energy Source</t>
  </si>
  <si>
    <t>Default Price ($/kWh)</t>
  </si>
  <si>
    <t>Utility</t>
  </si>
  <si>
    <t>Default Price ($/MMBtu)</t>
  </si>
  <si>
    <t>$/kWh</t>
  </si>
  <si>
    <t>Please select an grid source for your process</t>
  </si>
  <si>
    <t>Enter price of heating</t>
  </si>
  <si>
    <t>Enter price of cooling</t>
  </si>
  <si>
    <t>Price (per unit)</t>
  </si>
  <si>
    <t>1000 SCF/yr NG</t>
  </si>
  <si>
    <t>ROI in %</t>
  </si>
  <si>
    <t>Economic Metric</t>
  </si>
  <si>
    <t xml:space="preserve"> MM USD</t>
  </si>
  <si>
    <t>Revenue Block</t>
  </si>
  <si>
    <t>Price Water $/cu ft</t>
  </si>
  <si>
    <t>Water rho in kg/ft3</t>
  </si>
  <si>
    <t>$/cu.ft</t>
  </si>
  <si>
    <t>Storage Costs</t>
  </si>
  <si>
    <t>$/MT Product</t>
  </si>
  <si>
    <t>MM $/MT Product</t>
  </si>
  <si>
    <t>Storage costs placeholder</t>
  </si>
  <si>
    <t>Total Production Costs</t>
  </si>
  <si>
    <t>H2_DefaultPrice_MeOH</t>
  </si>
  <si>
    <t>discount factor = 8%</t>
  </si>
  <si>
    <t xml:space="preserve">Discount factor </t>
  </si>
  <si>
    <t>Year</t>
  </si>
  <si>
    <t>Cash Flow MM $</t>
  </si>
  <si>
    <t>Discount factor</t>
  </si>
  <si>
    <t>Present value MM $</t>
  </si>
  <si>
    <t>NPV Analysis</t>
  </si>
  <si>
    <t>Cumulative Present Value MM $</t>
  </si>
  <si>
    <t>Discount factor (can be changed)</t>
  </si>
  <si>
    <t>Process - Grid</t>
  </si>
  <si>
    <t>% Change</t>
  </si>
  <si>
    <t>Adjusted Price</t>
  </si>
  <si>
    <t>ROI %</t>
  </si>
  <si>
    <t>Product Price</t>
  </si>
  <si>
    <t>Product Flow</t>
  </si>
  <si>
    <t>ByProdRev in MM$</t>
  </si>
  <si>
    <t>Adjusted Price $/MT</t>
  </si>
  <si>
    <t>Delta ROI %</t>
  </si>
  <si>
    <t>Negative Delta</t>
  </si>
  <si>
    <t>Positive Delta</t>
  </si>
  <si>
    <t>% Price Change</t>
  </si>
  <si>
    <t xml:space="preserve">NPV </t>
  </si>
  <si>
    <t>EMISSION RESULTS</t>
  </si>
  <si>
    <t>Downstream Flow</t>
  </si>
  <si>
    <t>Base CAPEX</t>
  </si>
  <si>
    <t>Base Capacity</t>
  </si>
  <si>
    <t>Downstream CAPEX</t>
  </si>
  <si>
    <t>Downstream Base CAPEX</t>
  </si>
  <si>
    <t>Downstream Base Capacity</t>
  </si>
  <si>
    <t>Capacity (MT H2/yr)</t>
  </si>
  <si>
    <t>CAPEX (MM$)</t>
  </si>
  <si>
    <t>ROI (%)</t>
  </si>
  <si>
    <t>NPV (MM$)</t>
  </si>
  <si>
    <t>Weight %</t>
  </si>
  <si>
    <t>Proximate Analysis</t>
  </si>
  <si>
    <t>Ultimate Analysis</t>
  </si>
  <si>
    <t>FCI_2022 MM$ = 15.7 * F^0.76</t>
  </si>
  <si>
    <t>F=</t>
  </si>
  <si>
    <t>FCI_2022</t>
  </si>
  <si>
    <t>Alsuhaibani</t>
  </si>
  <si>
    <t>FCI_Latest</t>
  </si>
  <si>
    <t>Product rate (kg/hr)</t>
  </si>
  <si>
    <t>Lopez-Molina et al 2020</t>
  </si>
  <si>
    <t>B= Biomass feed rate in MTPA</t>
  </si>
  <si>
    <t>2nd method FCI 2020</t>
  </si>
  <si>
    <t>FCI latest</t>
  </si>
  <si>
    <t>2022 value 2000$/KW</t>
  </si>
  <si>
    <t>CEPCI latest</t>
  </si>
  <si>
    <t>Total (MT CO2/MT Product)</t>
  </si>
  <si>
    <t xml:space="preserve">Grid Type </t>
  </si>
  <si>
    <t>Storage Cost(MM USD/MT Product)</t>
  </si>
  <si>
    <t>0.374 kg/CO2 KWh</t>
  </si>
  <si>
    <t>SCF/kg steam</t>
  </si>
  <si>
    <t>SCF/hr steam</t>
  </si>
  <si>
    <t>SCF/yr</t>
  </si>
  <si>
    <t>3/1000 SCF</t>
  </si>
  <si>
    <t>1000 SCF/yr</t>
  </si>
  <si>
    <t xml:space="preserve">Natural Gas </t>
  </si>
  <si>
    <t>HYDROGEN DECISION MAKING ALGORITHM INPUTS SHEET</t>
  </si>
  <si>
    <t>INSTRUCTIONS FOR EASE OF USE</t>
  </si>
  <si>
    <t>ALGORITHM RESULTS: MASS AND ENERGY</t>
  </si>
  <si>
    <t>ECONOMIC RESULTS SHEET</t>
  </si>
  <si>
    <t>IRR in %</t>
  </si>
  <si>
    <t>NPV in MM $</t>
  </si>
  <si>
    <t>Copyright 2025 Kedar Hastagiri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</si>
</sst>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6">
    <numFmt numFmtId="43" formatCode="_ * #,##0.00_ ;_ * \-#,##0.00_ ;_ * &quot;-&quot;??_ ;_ @_ "/>
    <numFmt numFmtId="164" formatCode="_(* #,##0.00_);_(* \(#,##0.00\);_(* &quot;-&quot;??_);_(@_)"/>
    <numFmt numFmtId="165" formatCode="0.0"/>
    <numFmt numFmtId="166" formatCode="0.00000E+00"/>
    <numFmt numFmtId="167" formatCode="0.000000"/>
    <numFmt numFmtId="168" formatCode="mmm\-yyyy"/>
    <numFmt numFmtId="169" formatCode="_(* #,##0.000_);_(* \(#,##0.000\);_(* &quot;-&quot;??_);_(@_)"/>
    <numFmt numFmtId="170" formatCode="_(* #,##0.0_);_(* \(#,##0.0\);_(* &quot;-&quot;??_);_(@_)"/>
    <numFmt numFmtId="171" formatCode="_(* #,##0.000000_);_(* \(#,##0.000000\);_(* &quot;-&quot;??_);_(@_)"/>
    <numFmt numFmtId="172" formatCode="_(* #,##0.00000_);_(* \(#,##0.00000\);_(* &quot;-&quot;??_);_(@_)"/>
    <numFmt numFmtId="173" formatCode="_(* #,##0_);_(* \(#,##0\);_(* &quot;-&quot;??_);_(@_)"/>
    <numFmt numFmtId="174" formatCode="0.000"/>
    <numFmt numFmtId="175" formatCode="0.0000"/>
    <numFmt numFmtId="176" formatCode="0.00000"/>
    <numFmt numFmtId="177" formatCode="_ * #,##0.0_ ;_ * \-#,##0.0_ ;_ * &quot;-&quot;??_ ;_ @_ "/>
    <numFmt numFmtId="178" formatCode="_ * #,##0_ ;_ * \-#,##0_ ;_ * &quot;-&quot;??_ ;_ @_ "/>
  </numFmts>
  <fonts count="69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rgb="FF292929"/>
      <name val="Verdana"/>
      <family val="2"/>
    </font>
    <font>
      <vertAlign val="subscript"/>
      <sz val="11"/>
      <color rgb="FF292929"/>
      <name val="Verdana"/>
      <family val="2"/>
    </font>
    <font>
      <sz val="11"/>
      <name val="Calibri"/>
      <family val="2"/>
      <scheme val="minor"/>
    </font>
    <font>
      <sz val="11"/>
      <color theme="1"/>
      <name val="Calibri"/>
      <family val="2"/>
      <scheme val="minor"/>
    </font>
    <font>
      <sz val="9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b/>
      <sz val="8"/>
      <color rgb="FFFFFFFF"/>
      <name val="Arial"/>
      <family val="2"/>
    </font>
    <font>
      <b/>
      <sz val="8"/>
      <color rgb="FF000000"/>
      <name val="Arial"/>
      <family val="2"/>
    </font>
    <font>
      <sz val="8"/>
      <color rgb="FF000000"/>
      <name val="Arial"/>
      <family val="2"/>
    </font>
    <font>
      <b/>
      <sz val="6"/>
      <color rgb="FF000000"/>
      <name val="Inherit"/>
    </font>
    <font>
      <sz val="8"/>
      <color rgb="FFFF0000"/>
      <name val="Arial"/>
      <family val="2"/>
    </font>
    <font>
      <b/>
      <sz val="8"/>
      <color rgb="FFFF0000"/>
      <name val="Inherit"/>
    </font>
    <font>
      <sz val="11"/>
      <color rgb="FF000000"/>
      <name val="Calibri"/>
      <family val="2"/>
      <scheme val="minor"/>
    </font>
    <font>
      <b/>
      <sz val="11"/>
      <color theme="9" tint="-0.249977111117893"/>
      <name val="Calibri"/>
      <family val="2"/>
      <scheme val="minor"/>
    </font>
    <font>
      <b/>
      <sz val="11"/>
      <name val="Calibri"/>
      <family val="2"/>
      <scheme val="minor"/>
    </font>
    <font>
      <sz val="8"/>
      <color indexed="8"/>
      <name val="Arial"/>
      <family val="2"/>
    </font>
    <font>
      <b/>
      <sz val="8"/>
      <color indexed="8"/>
      <name val="Arial"/>
      <family val="2"/>
    </font>
    <font>
      <b/>
      <sz val="10"/>
      <color indexed="8"/>
      <name val="Arial"/>
      <family val="2"/>
    </font>
    <font>
      <b/>
      <sz val="12"/>
      <color indexed="8"/>
      <name val="Arial"/>
      <family val="2"/>
    </font>
    <font>
      <b/>
      <sz val="10"/>
      <name val="Arial"/>
      <family val="2"/>
    </font>
    <font>
      <b/>
      <sz val="9"/>
      <name val="Arial"/>
      <family val="2"/>
    </font>
    <font>
      <b/>
      <vertAlign val="subscript"/>
      <sz val="9"/>
      <name val="Arial"/>
      <family val="2"/>
    </font>
    <font>
      <sz val="9"/>
      <name val="Arial"/>
      <family val="2"/>
    </font>
    <font>
      <sz val="9"/>
      <color indexed="10"/>
      <name val="Arial"/>
      <family val="2"/>
    </font>
    <font>
      <sz val="10"/>
      <name val="Arial"/>
      <family val="2"/>
    </font>
    <font>
      <b/>
      <vertAlign val="subscript"/>
      <sz val="10"/>
      <name val="Arial"/>
      <family val="2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57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sz val="11"/>
      <color theme="0"/>
      <name val="Calibri"/>
      <family val="2"/>
      <scheme val="minor"/>
    </font>
    <font>
      <sz val="10"/>
      <color indexed="8"/>
      <name val="Arial"/>
    </font>
    <font>
      <sz val="12"/>
      <color rgb="FF444444"/>
      <name val="Segoe UI"/>
      <family val="2"/>
    </font>
    <font>
      <sz val="11"/>
      <color theme="1"/>
      <name val="Cambria Math"/>
      <family val="1"/>
    </font>
    <font>
      <b/>
      <sz val="13.5"/>
      <color theme="1"/>
      <name val="Calibri"/>
      <family val="2"/>
      <scheme val="minor"/>
    </font>
    <font>
      <sz val="12"/>
      <color rgb="FF000000"/>
      <name val="Arial"/>
      <family val="2"/>
    </font>
    <font>
      <sz val="11"/>
      <color rgb="FFF8D528"/>
      <name val="Calibri"/>
      <family val="2"/>
      <scheme val="minor"/>
    </font>
    <font>
      <sz val="8"/>
      <name val="Calibri"/>
      <family val="2"/>
      <scheme val="minor"/>
    </font>
    <font>
      <sz val="11"/>
      <color rgb="FF969696"/>
      <name val="Calibri"/>
      <family val="2"/>
      <scheme val="minor"/>
    </font>
    <font>
      <sz val="11"/>
      <color rgb="FF000000"/>
      <name val="Calibri"/>
      <family val="2"/>
    </font>
    <font>
      <b/>
      <sz val="11"/>
      <color theme="1"/>
      <name val="Calibri Light"/>
      <family val="2"/>
      <scheme val="major"/>
    </font>
    <font>
      <sz val="11"/>
      <color theme="1"/>
      <name val="Calibri Light"/>
      <family val="2"/>
      <scheme val="major"/>
    </font>
    <font>
      <sz val="11"/>
      <color rgb="FF969696"/>
      <name val="Calibri Light"/>
      <family val="2"/>
      <scheme val="major"/>
    </font>
    <font>
      <sz val="11"/>
      <color rgb="FF646464"/>
      <name val="Calibri Light"/>
      <family val="2"/>
      <scheme val="major"/>
    </font>
    <font>
      <b/>
      <sz val="11"/>
      <name val="Calibri Light"/>
      <family val="2"/>
      <scheme val="major"/>
    </font>
    <font>
      <sz val="11"/>
      <name val="Calibri Light"/>
      <family val="2"/>
      <scheme val="major"/>
    </font>
    <font>
      <b/>
      <sz val="12"/>
      <color theme="1"/>
      <name val="Bookman Old Style"/>
      <family val="1"/>
    </font>
    <font>
      <b/>
      <sz val="12"/>
      <color theme="0"/>
      <name val="Bookman Old Style"/>
      <family val="1"/>
    </font>
    <font>
      <sz val="11"/>
      <color rgb="FF99CCFF"/>
      <name val="Calibri Light"/>
      <family val="2"/>
      <scheme val="major"/>
    </font>
    <font>
      <b/>
      <sz val="12"/>
      <name val="Calibri Light"/>
      <family val="2"/>
      <scheme val="major"/>
    </font>
    <font>
      <b/>
      <sz val="12"/>
      <color theme="1"/>
      <name val="Calibri Light"/>
      <family val="2"/>
      <scheme val="major"/>
    </font>
    <font>
      <sz val="11"/>
      <color rgb="FF0066FF"/>
      <name val="Calibri Light"/>
      <family val="2"/>
      <scheme val="major"/>
    </font>
    <font>
      <sz val="11"/>
      <color rgb="FF007BB8"/>
      <name val="Calibri Light"/>
      <family val="2"/>
      <scheme val="major"/>
    </font>
    <font>
      <b/>
      <sz val="10"/>
      <color theme="1"/>
      <name val="Calibri Light"/>
      <family val="2"/>
      <scheme val="major"/>
    </font>
    <font>
      <sz val="10"/>
      <color theme="1"/>
      <name val="Calibri Light"/>
      <family val="2"/>
      <scheme val="major"/>
    </font>
    <font>
      <b/>
      <sz val="15"/>
      <color theme="0"/>
      <name val="Bookman Old Style"/>
      <family val="1"/>
    </font>
    <font>
      <b/>
      <sz val="12"/>
      <color theme="1"/>
      <name val="Calibri"/>
      <family val="2"/>
      <scheme val="minor"/>
    </font>
  </fonts>
  <fills count="72">
    <fill>
      <patternFill patternType="none"/>
    </fill>
    <fill>
      <patternFill patternType="gray125"/>
    </fill>
    <fill>
      <patternFill patternType="solid">
        <fgColor theme="2" tint="-9.9978637043366805E-2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555555"/>
        <bgColor indexed="64"/>
      </patternFill>
    </fill>
    <fill>
      <patternFill patternType="solid">
        <fgColor rgb="FFCCCCCC"/>
        <bgColor indexed="64"/>
      </patternFill>
    </fill>
    <fill>
      <patternFill patternType="solid">
        <fgColor rgb="FFEEEEEE"/>
        <bgColor indexed="64"/>
      </patternFill>
    </fill>
    <fill>
      <patternFill patternType="solid">
        <fgColor rgb="FFFFFEEE"/>
        <bgColor indexed="64"/>
      </patternFill>
    </fill>
    <fill>
      <patternFill patternType="solid">
        <fgColor indexed="57"/>
        <bgColor indexed="64"/>
      </patternFill>
    </fill>
    <fill>
      <patternFill patternType="solid">
        <fgColor indexed="60"/>
        <bgColor indexed="64"/>
      </patternFill>
    </fill>
    <fill>
      <patternFill patternType="solid">
        <fgColor indexed="62"/>
        <bgColor indexed="64"/>
      </patternFill>
    </fill>
    <fill>
      <patternFill patternType="solid">
        <fgColor indexed="61"/>
        <bgColor indexed="64"/>
      </patternFill>
    </fill>
    <fill>
      <patternFill patternType="solid">
        <fgColor indexed="59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41"/>
        <bgColor indexed="64"/>
      </patternFill>
    </fill>
    <fill>
      <patternFill patternType="solid">
        <fgColor indexed="44"/>
        <bgColor indexed="64"/>
      </patternFill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rgb="FFEAF1DD"/>
        <bgColor indexed="64"/>
      </patternFill>
    </fill>
    <fill>
      <patternFill patternType="solid">
        <fgColor rgb="FF000000"/>
        <bgColor indexed="64"/>
      </patternFill>
    </fill>
    <fill>
      <patternFill patternType="solid">
        <fgColor rgb="FF29B95C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rgb="FF78AAE2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rgb="FFDCE6F1"/>
        <bgColor indexed="64"/>
      </patternFill>
    </fill>
    <fill>
      <patternFill patternType="solid">
        <fgColor rgb="FF1E2610"/>
        <bgColor indexed="64"/>
      </patternFill>
    </fill>
    <fill>
      <patternFill patternType="solid">
        <fgColor rgb="FFA3DBFF"/>
        <bgColor indexed="64"/>
      </patternFill>
    </fill>
    <fill>
      <patternFill patternType="solid">
        <fgColor rgb="FFAC00A0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2075C2"/>
        <bgColor indexed="64"/>
      </patternFill>
    </fill>
    <fill>
      <patternFill patternType="solid">
        <fgColor rgb="FF2D6800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rgb="FF227ACB"/>
        <bgColor indexed="64"/>
      </patternFill>
    </fill>
    <fill>
      <patternFill patternType="solid">
        <fgColor theme="0" tint="-4.9989318521683403E-2"/>
        <bgColor indexed="64"/>
      </patternFill>
    </fill>
  </fills>
  <borders count="6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/>
      <right/>
      <top/>
      <bottom style="dashed">
        <color theme="0" tint="-0.24994659260841701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medium">
        <color rgb="FF7F7F7F"/>
      </left>
      <right style="medium">
        <color rgb="FF7F7F7F"/>
      </right>
      <top style="medium">
        <color rgb="FF7F7F7F"/>
      </top>
      <bottom style="medium">
        <color rgb="FF7F7F7F"/>
      </bottom>
      <diagonal/>
    </border>
    <border>
      <left style="medium">
        <color rgb="FFCCCCCC"/>
      </left>
      <right style="dotted">
        <color rgb="FF666666"/>
      </right>
      <top style="medium">
        <color rgb="FFCCCCCC"/>
      </top>
      <bottom style="medium">
        <color rgb="FF333333"/>
      </bottom>
      <diagonal/>
    </border>
    <border>
      <left style="medium">
        <color rgb="FF7F7F7F"/>
      </left>
      <right style="dotted">
        <color rgb="FF666666"/>
      </right>
      <top style="medium">
        <color rgb="FFCCCCCC"/>
      </top>
      <bottom style="medium">
        <color rgb="FF333333"/>
      </bottom>
      <diagonal/>
    </border>
    <border>
      <left style="medium">
        <color rgb="FFCCCCCC"/>
      </left>
      <right style="medium">
        <color rgb="FF333333"/>
      </right>
      <top style="medium">
        <color rgb="FF7F7F7F"/>
      </top>
      <bottom style="medium">
        <color rgb="FF7F7F7F"/>
      </bottom>
      <diagonal/>
    </border>
    <border>
      <left style="medium">
        <color rgb="FF7F7F7F"/>
      </left>
      <right style="medium">
        <color rgb="FFCCCCCC"/>
      </right>
      <top style="medium">
        <color rgb="FF7F7F7F"/>
      </top>
      <bottom style="medium">
        <color rgb="FF7F7F7F"/>
      </bottom>
      <diagonal/>
    </border>
    <border>
      <left style="medium">
        <color rgb="FFCCCCCC"/>
      </left>
      <right style="medium">
        <color rgb="FF333333"/>
      </right>
      <top style="medium">
        <color rgb="FF7F7F7F"/>
      </top>
      <bottom style="medium">
        <color rgb="FFCCCCCC"/>
      </bottom>
      <diagonal/>
    </border>
    <border>
      <left style="medium">
        <color rgb="FF7F7F7F"/>
      </left>
      <right style="medium">
        <color rgb="FF7F7F7F"/>
      </right>
      <top style="medium">
        <color rgb="FF7F7F7F"/>
      </top>
      <bottom style="medium">
        <color rgb="FFCCCCCC"/>
      </bottom>
      <diagonal/>
    </border>
    <border>
      <left style="medium">
        <color rgb="FF7F7F7F"/>
      </left>
      <right style="medium">
        <color rgb="FFCCCCCC"/>
      </right>
      <top style="medium">
        <color rgb="FF7F7F7F"/>
      </top>
      <bottom style="medium">
        <color rgb="FFCCCCCC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/>
      <top/>
      <bottom style="thin">
        <color theme="9"/>
      </bottom>
      <diagonal/>
    </border>
    <border>
      <left style="medium">
        <color auto="1"/>
      </left>
      <right/>
      <top/>
      <bottom/>
      <diagonal/>
    </border>
    <border>
      <left style="thin">
        <color auto="1"/>
      </left>
      <right style="medium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/>
      <diagonal/>
    </border>
    <border>
      <left/>
      <right style="medium">
        <color auto="1"/>
      </right>
      <top/>
      <bottom/>
      <diagonal/>
    </border>
    <border>
      <left style="medium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medium">
        <color rgb="FFCCCCCC"/>
      </left>
      <right style="medium">
        <color rgb="FFCCCCCC"/>
      </right>
      <top style="medium">
        <color rgb="FFCCCCCC"/>
      </top>
      <bottom style="medium">
        <color rgb="FFCCCCCC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double">
        <color indexed="64"/>
      </left>
      <right style="double">
        <color indexed="64"/>
      </right>
      <top style="double">
        <color indexed="64"/>
      </top>
      <bottom style="double">
        <color indexed="64"/>
      </bottom>
      <diagonal/>
    </border>
    <border>
      <left/>
      <right style="double">
        <color indexed="64"/>
      </right>
      <top style="medium">
        <color indexed="64"/>
      </top>
      <bottom/>
      <diagonal/>
    </border>
    <border>
      <left/>
      <right style="double">
        <color indexed="64"/>
      </right>
      <top/>
      <bottom/>
      <diagonal/>
    </border>
    <border>
      <left style="double">
        <color indexed="64"/>
      </left>
      <right/>
      <top/>
      <bottom style="double">
        <color indexed="64"/>
      </bottom>
      <diagonal/>
    </border>
    <border>
      <left/>
      <right/>
      <top/>
      <bottom style="double">
        <color indexed="64"/>
      </bottom>
      <diagonal/>
    </border>
    <border>
      <left/>
      <right style="double">
        <color indexed="64"/>
      </right>
      <top/>
      <bottom style="double">
        <color indexed="64"/>
      </bottom>
      <diagonal/>
    </border>
  </borders>
  <cellStyleXfs count="60">
    <xf numFmtId="0" fontId="0" fillId="0" borderId="0"/>
    <xf numFmtId="164" fontId="5" fillId="0" borderId="0" applyFont="0" applyFill="0" applyBorder="0" applyAlignment="0" applyProtection="0"/>
    <xf numFmtId="0" fontId="6" fillId="0" borderId="4" applyNumberFormat="0" applyFont="0" applyProtection="0">
      <alignment wrapText="1"/>
    </xf>
    <xf numFmtId="0" fontId="7" fillId="0" borderId="0" applyNumberFormat="0" applyFill="0" applyBorder="0" applyAlignment="0" applyProtection="0"/>
    <xf numFmtId="0" fontId="17" fillId="0" borderId="0">
      <alignment horizontal="center"/>
    </xf>
    <xf numFmtId="49" fontId="17" fillId="16" borderId="0">
      <alignment horizontal="center"/>
    </xf>
    <xf numFmtId="49" fontId="17" fillId="17" borderId="0">
      <alignment horizontal="center"/>
    </xf>
    <xf numFmtId="49" fontId="18" fillId="17" borderId="0">
      <alignment horizontal="center"/>
    </xf>
    <xf numFmtId="49" fontId="19" fillId="17" borderId="0">
      <alignment horizontal="center"/>
    </xf>
    <xf numFmtId="0" fontId="17" fillId="18" borderId="0">
      <alignment horizontal="center"/>
    </xf>
    <xf numFmtId="0" fontId="18" fillId="18" borderId="0">
      <alignment horizontal="center"/>
    </xf>
    <xf numFmtId="49" fontId="19" fillId="18" borderId="0">
      <alignment horizontal="center"/>
    </xf>
    <xf numFmtId="49" fontId="20" fillId="18" borderId="0">
      <alignment horizontal="center"/>
    </xf>
    <xf numFmtId="49" fontId="18" fillId="19" borderId="0">
      <alignment horizontal="center"/>
    </xf>
    <xf numFmtId="49" fontId="19" fillId="19" borderId="0">
      <alignment horizontal="center"/>
    </xf>
    <xf numFmtId="49" fontId="18" fillId="20" borderId="0">
      <alignment horizontal="center"/>
    </xf>
    <xf numFmtId="49" fontId="19" fillId="20" borderId="0">
      <alignment horizontal="center"/>
    </xf>
    <xf numFmtId="0" fontId="17" fillId="0" borderId="0">
      <alignment horizontal="center"/>
    </xf>
    <xf numFmtId="0" fontId="18" fillId="0" borderId="0">
      <alignment horizontal="center"/>
    </xf>
    <xf numFmtId="0" fontId="28" fillId="0" borderId="0" applyNumberFormat="0" applyFill="0" applyBorder="0" applyAlignment="0" applyProtection="0"/>
    <xf numFmtId="0" fontId="29" fillId="0" borderId="30" applyNumberFormat="0" applyFill="0" applyAlignment="0" applyProtection="0"/>
    <xf numFmtId="0" fontId="30" fillId="0" borderId="31" applyNumberFormat="0" applyFill="0" applyAlignment="0" applyProtection="0"/>
    <xf numFmtId="0" fontId="31" fillId="0" borderId="32" applyNumberFormat="0" applyFill="0" applyAlignment="0" applyProtection="0"/>
    <xf numFmtId="0" fontId="31" fillId="0" borderId="0" applyNumberFormat="0" applyFill="0" applyBorder="0" applyAlignment="0" applyProtection="0"/>
    <xf numFmtId="0" fontId="32" fillId="24" borderId="0" applyNumberFormat="0" applyBorder="0" applyAlignment="0" applyProtection="0"/>
    <xf numFmtId="0" fontId="33" fillId="25" borderId="0" applyNumberFormat="0" applyBorder="0" applyAlignment="0" applyProtection="0"/>
    <xf numFmtId="0" fontId="34" fillId="26" borderId="0" applyNumberFormat="0" applyBorder="0" applyAlignment="0" applyProtection="0"/>
    <xf numFmtId="0" fontId="35" fillId="27" borderId="33" applyNumberFormat="0" applyAlignment="0" applyProtection="0"/>
    <xf numFmtId="0" fontId="36" fillId="28" borderId="34" applyNumberFormat="0" applyAlignment="0" applyProtection="0"/>
    <xf numFmtId="0" fontId="37" fillId="28" borderId="33" applyNumberFormat="0" applyAlignment="0" applyProtection="0"/>
    <xf numFmtId="0" fontId="38" fillId="0" borderId="35" applyNumberFormat="0" applyFill="0" applyAlignment="0" applyProtection="0"/>
    <xf numFmtId="0" fontId="39" fillId="29" borderId="36" applyNumberFormat="0" applyAlignment="0" applyProtection="0"/>
    <xf numFmtId="0" fontId="40" fillId="0" borderId="0" applyNumberFormat="0" applyFill="0" applyBorder="0" applyAlignment="0" applyProtection="0"/>
    <xf numFmtId="0" fontId="5" fillId="30" borderId="37" applyNumberFormat="0" applyFont="0" applyAlignment="0" applyProtection="0"/>
    <xf numFmtId="0" fontId="41" fillId="0" borderId="0" applyNumberFormat="0" applyFill="0" applyBorder="0" applyAlignment="0" applyProtection="0"/>
    <xf numFmtId="0" fontId="1" fillId="0" borderId="38" applyNumberFormat="0" applyFill="0" applyAlignment="0" applyProtection="0"/>
    <xf numFmtId="0" fontId="42" fillId="31" borderId="0" applyNumberFormat="0" applyBorder="0" applyAlignment="0" applyProtection="0"/>
    <xf numFmtId="0" fontId="5" fillId="32" borderId="0" applyNumberFormat="0" applyBorder="0" applyAlignment="0" applyProtection="0"/>
    <xf numFmtId="0" fontId="5" fillId="33" borderId="0" applyNumberFormat="0" applyBorder="0" applyAlignment="0" applyProtection="0"/>
    <xf numFmtId="0" fontId="5" fillId="34" borderId="0" applyNumberFormat="0" applyBorder="0" applyAlignment="0" applyProtection="0"/>
    <xf numFmtId="0" fontId="42" fillId="35" borderId="0" applyNumberFormat="0" applyBorder="0" applyAlignment="0" applyProtection="0"/>
    <xf numFmtId="0" fontId="5" fillId="36" borderId="0" applyNumberFormat="0" applyBorder="0" applyAlignment="0" applyProtection="0"/>
    <xf numFmtId="0" fontId="5" fillId="37" borderId="0" applyNumberFormat="0" applyBorder="0" applyAlignment="0" applyProtection="0"/>
    <xf numFmtId="0" fontId="5" fillId="38" borderId="0" applyNumberFormat="0" applyBorder="0" applyAlignment="0" applyProtection="0"/>
    <xf numFmtId="0" fontId="42" fillId="39" borderId="0" applyNumberFormat="0" applyBorder="0" applyAlignment="0" applyProtection="0"/>
    <xf numFmtId="0" fontId="5" fillId="40" borderId="0" applyNumberFormat="0" applyBorder="0" applyAlignment="0" applyProtection="0"/>
    <xf numFmtId="0" fontId="5" fillId="41" borderId="0" applyNumberFormat="0" applyBorder="0" applyAlignment="0" applyProtection="0"/>
    <xf numFmtId="0" fontId="5" fillId="42" borderId="0" applyNumberFormat="0" applyBorder="0" applyAlignment="0" applyProtection="0"/>
    <xf numFmtId="0" fontId="42" fillId="43" borderId="0" applyNumberFormat="0" applyBorder="0" applyAlignment="0" applyProtection="0"/>
    <xf numFmtId="0" fontId="5" fillId="44" borderId="0" applyNumberFormat="0" applyBorder="0" applyAlignment="0" applyProtection="0"/>
    <xf numFmtId="0" fontId="5" fillId="45" borderId="0" applyNumberFormat="0" applyBorder="0" applyAlignment="0" applyProtection="0"/>
    <xf numFmtId="0" fontId="5" fillId="46" borderId="0" applyNumberFormat="0" applyBorder="0" applyAlignment="0" applyProtection="0"/>
    <xf numFmtId="0" fontId="42" fillId="47" borderId="0" applyNumberFormat="0" applyBorder="0" applyAlignment="0" applyProtection="0"/>
    <xf numFmtId="0" fontId="5" fillId="48" borderId="0" applyNumberFormat="0" applyBorder="0" applyAlignment="0" applyProtection="0"/>
    <xf numFmtId="0" fontId="5" fillId="49" borderId="0" applyNumberFormat="0" applyBorder="0" applyAlignment="0" applyProtection="0"/>
    <xf numFmtId="0" fontId="5" fillId="50" borderId="0" applyNumberFormat="0" applyBorder="0" applyAlignment="0" applyProtection="0"/>
    <xf numFmtId="0" fontId="42" fillId="51" borderId="0" applyNumberFormat="0" applyBorder="0" applyAlignment="0" applyProtection="0"/>
    <xf numFmtId="0" fontId="5" fillId="52" borderId="0" applyNumberFormat="0" applyBorder="0" applyAlignment="0" applyProtection="0"/>
    <xf numFmtId="0" fontId="5" fillId="53" borderId="0" applyNumberFormat="0" applyBorder="0" applyAlignment="0" applyProtection="0"/>
    <xf numFmtId="0" fontId="5" fillId="54" borderId="0" applyNumberFormat="0" applyBorder="0" applyAlignment="0" applyProtection="0"/>
  </cellStyleXfs>
  <cellXfs count="343">
    <xf numFmtId="0" fontId="0" fillId="0" borderId="0" xfId="0"/>
    <xf numFmtId="0" fontId="1" fillId="2" borderId="0" xfId="0" applyFont="1" applyFill="1"/>
    <xf numFmtId="0" fontId="2" fillId="0" borderId="0" xfId="0" applyFont="1"/>
    <xf numFmtId="0" fontId="0" fillId="0" borderId="3" xfId="0" applyBorder="1"/>
    <xf numFmtId="0" fontId="0" fillId="3" borderId="0" xfId="0" applyFill="1"/>
    <xf numFmtId="0" fontId="0" fillId="4" borderId="0" xfId="0" applyFill="1"/>
    <xf numFmtId="0" fontId="0" fillId="0" borderId="0" xfId="0" applyAlignment="1">
      <alignment wrapText="1"/>
    </xf>
    <xf numFmtId="0" fontId="1" fillId="5" borderId="0" xfId="0" applyFont="1" applyFill="1"/>
    <xf numFmtId="0" fontId="1" fillId="0" borderId="0" xfId="0" applyFont="1"/>
    <xf numFmtId="0" fontId="1" fillId="5" borderId="1" xfId="0" applyFont="1" applyFill="1" applyBorder="1"/>
    <xf numFmtId="0" fontId="1" fillId="5" borderId="1" xfId="0" applyFont="1" applyFill="1" applyBorder="1" applyAlignment="1">
      <alignment wrapText="1"/>
    </xf>
    <xf numFmtId="0" fontId="0" fillId="0" borderId="1" xfId="0" applyBorder="1"/>
    <xf numFmtId="0" fontId="0" fillId="0" borderId="2" xfId="0" applyBorder="1"/>
    <xf numFmtId="0" fontId="1" fillId="3" borderId="0" xfId="0" applyFont="1" applyFill="1"/>
    <xf numFmtId="0" fontId="1" fillId="6" borderId="0" xfId="0" applyFont="1" applyFill="1"/>
    <xf numFmtId="0" fontId="0" fillId="7" borderId="0" xfId="0" applyFill="1"/>
    <xf numFmtId="0" fontId="0" fillId="8" borderId="0" xfId="0" applyFill="1"/>
    <xf numFmtId="0" fontId="0" fillId="9" borderId="0" xfId="0" applyFill="1"/>
    <xf numFmtId="0" fontId="0" fillId="10" borderId="0" xfId="0" applyFill="1"/>
    <xf numFmtId="2" fontId="0" fillId="0" borderId="0" xfId="0" applyNumberFormat="1"/>
    <xf numFmtId="0" fontId="1" fillId="10" borderId="1" xfId="0" applyFont="1" applyFill="1" applyBorder="1"/>
    <xf numFmtId="0" fontId="7" fillId="0" borderId="0" xfId="3"/>
    <xf numFmtId="0" fontId="1" fillId="5" borderId="5" xfId="0" applyFont="1" applyFill="1" applyBorder="1" applyAlignment="1">
      <alignment wrapText="1"/>
    </xf>
    <xf numFmtId="0" fontId="7" fillId="5" borderId="5" xfId="3" applyFill="1" applyBorder="1"/>
    <xf numFmtId="0" fontId="1" fillId="5" borderId="0" xfId="0" applyFont="1" applyFill="1" applyAlignment="1">
      <alignment horizontal="center" vertical="center"/>
    </xf>
    <xf numFmtId="0" fontId="1" fillId="5" borderId="5" xfId="0" applyFont="1" applyFill="1" applyBorder="1"/>
    <xf numFmtId="0" fontId="1" fillId="5" borderId="0" xfId="0" applyFont="1" applyFill="1" applyAlignment="1">
      <alignment wrapText="1"/>
    </xf>
    <xf numFmtId="0" fontId="10" fillId="14" borderId="6" xfId="0" applyFont="1" applyFill="1" applyBorder="1" applyAlignment="1">
      <alignment vertical="top" wrapText="1"/>
    </xf>
    <xf numFmtId="0" fontId="10" fillId="11" borderId="6" xfId="0" applyFont="1" applyFill="1" applyBorder="1" applyAlignment="1">
      <alignment vertical="top" wrapText="1"/>
    </xf>
    <xf numFmtId="0" fontId="13" fillId="11" borderId="6" xfId="0" applyFont="1" applyFill="1" applyBorder="1" applyAlignment="1">
      <alignment vertical="top" wrapText="1"/>
    </xf>
    <xf numFmtId="0" fontId="12" fillId="11" borderId="6" xfId="0" applyFont="1" applyFill="1" applyBorder="1" applyAlignment="1">
      <alignment vertical="top" wrapText="1"/>
    </xf>
    <xf numFmtId="0" fontId="8" fillId="12" borderId="7" xfId="0" applyFont="1" applyFill="1" applyBorder="1" applyAlignment="1">
      <alignment horizontal="left" vertical="top" wrapText="1"/>
    </xf>
    <xf numFmtId="0" fontId="8" fillId="12" borderId="8" xfId="0" applyFont="1" applyFill="1" applyBorder="1" applyAlignment="1">
      <alignment horizontal="left" vertical="top" wrapText="1"/>
    </xf>
    <xf numFmtId="0" fontId="9" fillId="13" borderId="9" xfId="0" applyFont="1" applyFill="1" applyBorder="1" applyAlignment="1">
      <alignment horizontal="left" vertical="top" wrapText="1"/>
    </xf>
    <xf numFmtId="0" fontId="10" fillId="14" borderId="10" xfId="0" applyFont="1" applyFill="1" applyBorder="1" applyAlignment="1">
      <alignment vertical="top" wrapText="1"/>
    </xf>
    <xf numFmtId="0" fontId="10" fillId="11" borderId="10" xfId="0" applyFont="1" applyFill="1" applyBorder="1" applyAlignment="1">
      <alignment vertical="top" wrapText="1"/>
    </xf>
    <xf numFmtId="0" fontId="12" fillId="11" borderId="10" xfId="0" applyFont="1" applyFill="1" applyBorder="1" applyAlignment="1">
      <alignment vertical="top" wrapText="1"/>
    </xf>
    <xf numFmtId="0" fontId="9" fillId="13" borderId="11" xfId="0" applyFont="1" applyFill="1" applyBorder="1" applyAlignment="1">
      <alignment horizontal="left" vertical="top" wrapText="1"/>
    </xf>
    <xf numFmtId="0" fontId="10" fillId="15" borderId="12" xfId="0" applyFont="1" applyFill="1" applyBorder="1" applyAlignment="1">
      <alignment vertical="top" wrapText="1"/>
    </xf>
    <xf numFmtId="0" fontId="13" fillId="15" borderId="13" xfId="0" applyFont="1" applyFill="1" applyBorder="1" applyAlignment="1">
      <alignment vertical="top" wrapText="1"/>
    </xf>
    <xf numFmtId="0" fontId="1" fillId="8" borderId="0" xfId="0" applyFont="1" applyFill="1"/>
    <xf numFmtId="0" fontId="14" fillId="3" borderId="0" xfId="0" applyFont="1" applyFill="1" applyAlignment="1">
      <alignment wrapText="1"/>
    </xf>
    <xf numFmtId="11" fontId="0" fillId="0" borderId="0" xfId="0" applyNumberFormat="1"/>
    <xf numFmtId="9" fontId="0" fillId="0" borderId="0" xfId="0" applyNumberFormat="1"/>
    <xf numFmtId="4" fontId="0" fillId="0" borderId="0" xfId="0" applyNumberFormat="1"/>
    <xf numFmtId="17" fontId="0" fillId="0" borderId="0" xfId="0" applyNumberFormat="1"/>
    <xf numFmtId="0" fontId="16" fillId="0" borderId="0" xfId="0" applyFont="1"/>
    <xf numFmtId="165" fontId="0" fillId="0" borderId="0" xfId="0" applyNumberFormat="1" applyAlignment="1">
      <alignment horizontal="right"/>
    </xf>
    <xf numFmtId="0" fontId="4" fillId="0" borderId="0" xfId="0" applyFont="1"/>
    <xf numFmtId="165" fontId="4" fillId="0" borderId="0" xfId="0" applyNumberFormat="1" applyFont="1" applyAlignment="1">
      <alignment horizontal="right"/>
    </xf>
    <xf numFmtId="2" fontId="0" fillId="0" borderId="0" xfId="0" applyNumberFormat="1" applyAlignment="1">
      <alignment horizontal="right"/>
    </xf>
    <xf numFmtId="0" fontId="15" fillId="0" borderId="20" xfId="0" applyFont="1" applyBorder="1"/>
    <xf numFmtId="166" fontId="0" fillId="0" borderId="0" xfId="0" applyNumberFormat="1" applyAlignment="1">
      <alignment horizontal="right"/>
    </xf>
    <xf numFmtId="167" fontId="0" fillId="0" borderId="0" xfId="0" applyNumberFormat="1"/>
    <xf numFmtId="0" fontId="21" fillId="0" borderId="0" xfId="0" applyFont="1" applyAlignment="1">
      <alignment horizontal="center" wrapText="1"/>
    </xf>
    <xf numFmtId="0" fontId="21" fillId="0" borderId="0" xfId="0" applyFont="1" applyAlignment="1">
      <alignment wrapText="1"/>
    </xf>
    <xf numFmtId="168" fontId="0" fillId="0" borderId="0" xfId="0" applyNumberFormat="1"/>
    <xf numFmtId="0" fontId="21" fillId="21" borderId="21" xfId="0" applyFont="1" applyFill="1" applyBorder="1" applyAlignment="1">
      <alignment horizontal="center" vertical="center" wrapText="1"/>
    </xf>
    <xf numFmtId="0" fontId="22" fillId="22" borderId="1" xfId="0" applyFont="1" applyFill="1" applyBorder="1" applyAlignment="1">
      <alignment horizontal="center" vertical="center" wrapText="1"/>
    </xf>
    <xf numFmtId="0" fontId="22" fillId="22" borderId="22" xfId="0" applyFont="1" applyFill="1" applyBorder="1" applyAlignment="1">
      <alignment horizontal="center" vertical="center" wrapText="1"/>
    </xf>
    <xf numFmtId="0" fontId="21" fillId="23" borderId="23" xfId="0" applyFont="1" applyFill="1" applyBorder="1" applyAlignment="1">
      <alignment horizontal="center" vertical="center" wrapText="1"/>
    </xf>
    <xf numFmtId="169" fontId="24" fillId="21" borderId="0" xfId="1" applyNumberFormat="1" applyFont="1" applyFill="1" applyBorder="1"/>
    <xf numFmtId="169" fontId="25" fillId="21" borderId="0" xfId="1" applyNumberFormat="1" applyFont="1" applyFill="1" applyBorder="1"/>
    <xf numFmtId="170" fontId="26" fillId="21" borderId="0" xfId="1" applyNumberFormat="1" applyFont="1" applyFill="1" applyBorder="1"/>
    <xf numFmtId="0" fontId="26" fillId="21" borderId="0" xfId="0" applyFont="1" applyFill="1"/>
    <xf numFmtId="0" fontId="26" fillId="21" borderId="24" xfId="0" applyFont="1" applyFill="1" applyBorder="1"/>
    <xf numFmtId="0" fontId="26" fillId="0" borderId="25" xfId="0" applyFont="1" applyBorder="1"/>
    <xf numFmtId="171" fontId="26" fillId="0" borderId="1" xfId="1" applyNumberFormat="1" applyFont="1" applyFill="1" applyBorder="1"/>
    <xf numFmtId="164" fontId="26" fillId="0" borderId="1" xfId="1" applyFont="1" applyFill="1" applyBorder="1"/>
    <xf numFmtId="170" fontId="26" fillId="0" borderId="1" xfId="1" applyNumberFormat="1" applyFont="1" applyFill="1" applyBorder="1"/>
    <xf numFmtId="172" fontId="26" fillId="0" borderId="1" xfId="1" applyNumberFormat="1" applyFont="1" applyFill="1" applyBorder="1"/>
    <xf numFmtId="172" fontId="26" fillId="0" borderId="22" xfId="1" applyNumberFormat="1" applyFont="1" applyFill="1" applyBorder="1"/>
    <xf numFmtId="0" fontId="21" fillId="23" borderId="26" xfId="0" applyFont="1" applyFill="1" applyBorder="1" applyAlignment="1">
      <alignment horizontal="center" vertical="center"/>
    </xf>
    <xf numFmtId="0" fontId="21" fillId="23" borderId="27" xfId="0" applyFont="1" applyFill="1" applyBorder="1" applyAlignment="1">
      <alignment horizontal="center" vertical="center" wrapText="1"/>
    </xf>
    <xf numFmtId="0" fontId="21" fillId="23" borderId="28" xfId="0" applyFont="1" applyFill="1" applyBorder="1" applyAlignment="1">
      <alignment horizontal="center" vertical="center" wrapText="1"/>
    </xf>
    <xf numFmtId="0" fontId="22" fillId="22" borderId="1" xfId="0" applyFont="1" applyFill="1" applyBorder="1" applyAlignment="1">
      <alignment horizontal="center" vertical="top" wrapText="1"/>
    </xf>
    <xf numFmtId="0" fontId="22" fillId="22" borderId="22" xfId="0" applyFont="1" applyFill="1" applyBorder="1" applyAlignment="1">
      <alignment horizontal="center" vertical="top" wrapText="1"/>
    </xf>
    <xf numFmtId="0" fontId="21" fillId="23" borderId="23" xfId="0" applyFont="1" applyFill="1" applyBorder="1" applyAlignment="1">
      <alignment horizontal="center"/>
    </xf>
    <xf numFmtId="0" fontId="21" fillId="21" borderId="0" xfId="0" applyFont="1" applyFill="1" applyAlignment="1">
      <alignment horizontal="center" vertical="center" wrapText="1"/>
    </xf>
    <xf numFmtId="0" fontId="21" fillId="21" borderId="24" xfId="0" applyFont="1" applyFill="1" applyBorder="1" applyAlignment="1">
      <alignment horizontal="center" vertical="center" wrapText="1"/>
    </xf>
    <xf numFmtId="173" fontId="26" fillId="0" borderId="1" xfId="1" applyNumberFormat="1" applyFont="1" applyFill="1" applyBorder="1"/>
    <xf numFmtId="173" fontId="26" fillId="0" borderId="22" xfId="1" applyNumberFormat="1" applyFont="1" applyFill="1" applyBorder="1"/>
    <xf numFmtId="0" fontId="21" fillId="23" borderId="29" xfId="0" applyFont="1" applyFill="1" applyBorder="1" applyAlignment="1">
      <alignment horizontal="center"/>
    </xf>
    <xf numFmtId="169" fontId="21" fillId="21" borderId="0" xfId="1" applyNumberFormat="1" applyFont="1" applyFill="1" applyBorder="1"/>
    <xf numFmtId="173" fontId="21" fillId="21" borderId="0" xfId="1" applyNumberFormat="1" applyFont="1" applyFill="1" applyBorder="1"/>
    <xf numFmtId="170" fontId="21" fillId="21" borderId="0" xfId="1" applyNumberFormat="1" applyFont="1" applyFill="1" applyBorder="1"/>
    <xf numFmtId="173" fontId="21" fillId="21" borderId="24" xfId="1" applyNumberFormat="1" applyFont="1" applyFill="1" applyBorder="1"/>
    <xf numFmtId="173" fontId="21" fillId="21" borderId="0" xfId="0" applyNumberFormat="1" applyFont="1" applyFill="1"/>
    <xf numFmtId="173" fontId="21" fillId="21" borderId="24" xfId="0" applyNumberFormat="1" applyFont="1" applyFill="1" applyBorder="1"/>
    <xf numFmtId="4" fontId="43" fillId="55" borderId="1" xfId="0" applyNumberFormat="1" applyFont="1" applyFill="1" applyBorder="1" applyAlignment="1">
      <alignment horizontal="right" wrapText="1"/>
    </xf>
    <xf numFmtId="174" fontId="0" fillId="0" borderId="0" xfId="0" applyNumberFormat="1"/>
    <xf numFmtId="0" fontId="44" fillId="0" borderId="0" xfId="0" applyFont="1"/>
    <xf numFmtId="0" fontId="45" fillId="0" borderId="0" xfId="0" applyFont="1"/>
    <xf numFmtId="0" fontId="46" fillId="0" borderId="0" xfId="0" applyFont="1" applyAlignment="1">
      <alignment vertical="center"/>
    </xf>
    <xf numFmtId="0" fontId="1" fillId="0" borderId="0" xfId="0" applyFont="1" applyAlignment="1">
      <alignment horizontal="center" vertical="center" wrapText="1"/>
    </xf>
    <xf numFmtId="0" fontId="0" fillId="0" borderId="0" xfId="0" applyAlignment="1">
      <alignment vertical="center" wrapText="1"/>
    </xf>
    <xf numFmtId="0" fontId="0" fillId="0" borderId="0" xfId="0" applyAlignment="1">
      <alignment horizontal="left" vertical="center" indent="1"/>
    </xf>
    <xf numFmtId="0" fontId="47" fillId="11" borderId="39" xfId="0" applyFont="1" applyFill="1" applyBorder="1" applyAlignment="1">
      <alignment horizontal="right" vertical="center" wrapText="1"/>
    </xf>
    <xf numFmtId="0" fontId="47" fillId="11" borderId="39" xfId="0" applyFont="1" applyFill="1" applyBorder="1" applyAlignment="1">
      <alignment vertical="center" wrapText="1"/>
    </xf>
    <xf numFmtId="0" fontId="4" fillId="0" borderId="20" xfId="0" applyFont="1" applyBorder="1"/>
    <xf numFmtId="0" fontId="40" fillId="10" borderId="0" xfId="0" applyFont="1" applyFill="1"/>
    <xf numFmtId="165" fontId="40" fillId="10" borderId="0" xfId="0" applyNumberFormat="1" applyFont="1" applyFill="1" applyAlignment="1">
      <alignment horizontal="right"/>
    </xf>
    <xf numFmtId="1" fontId="40" fillId="10" borderId="0" xfId="0" applyNumberFormat="1" applyFont="1" applyFill="1" applyAlignment="1">
      <alignment horizontal="right"/>
    </xf>
    <xf numFmtId="0" fontId="48" fillId="0" borderId="0" xfId="0" applyFont="1"/>
    <xf numFmtId="164" fontId="0" fillId="0" borderId="0" xfId="0" applyNumberFormat="1"/>
    <xf numFmtId="0" fontId="0" fillId="56" borderId="0" xfId="0" applyFill="1"/>
    <xf numFmtId="174" fontId="0" fillId="56" borderId="0" xfId="0" applyNumberFormat="1" applyFill="1"/>
    <xf numFmtId="174" fontId="0" fillId="4" borderId="3" xfId="0" applyNumberFormat="1" applyFill="1" applyBorder="1"/>
    <xf numFmtId="174" fontId="0" fillId="4" borderId="0" xfId="0" applyNumberFormat="1" applyFill="1"/>
    <xf numFmtId="0" fontId="0" fillId="0" borderId="17" xfId="0" applyBorder="1"/>
    <xf numFmtId="0" fontId="0" fillId="0" borderId="21" xfId="0" applyBorder="1"/>
    <xf numFmtId="0" fontId="0" fillId="0" borderId="40" xfId="0" applyBorder="1"/>
    <xf numFmtId="164" fontId="0" fillId="0" borderId="1" xfId="0" applyNumberFormat="1" applyBorder="1"/>
    <xf numFmtId="172" fontId="0" fillId="0" borderId="1" xfId="0" applyNumberFormat="1" applyBorder="1"/>
    <xf numFmtId="43" fontId="0" fillId="0" borderId="1" xfId="0" applyNumberFormat="1" applyBorder="1"/>
    <xf numFmtId="43" fontId="0" fillId="0" borderId="0" xfId="0" applyNumberFormat="1"/>
    <xf numFmtId="0" fontId="0" fillId="3" borderId="1" xfId="0" applyFill="1" applyBorder="1"/>
    <xf numFmtId="11" fontId="0" fillId="3" borderId="1" xfId="0" applyNumberFormat="1" applyFill="1" applyBorder="1"/>
    <xf numFmtId="164" fontId="0" fillId="3" borderId="1" xfId="0" applyNumberFormat="1" applyFill="1" applyBorder="1"/>
    <xf numFmtId="43" fontId="0" fillId="3" borderId="0" xfId="0" applyNumberFormat="1" applyFill="1"/>
    <xf numFmtId="0" fontId="0" fillId="0" borderId="5" xfId="0" applyBorder="1"/>
    <xf numFmtId="0" fontId="0" fillId="57" borderId="0" xfId="0" applyFill="1"/>
    <xf numFmtId="0" fontId="0" fillId="7" borderId="1" xfId="0" applyFill="1" applyBorder="1"/>
    <xf numFmtId="166" fontId="0" fillId="0" borderId="0" xfId="0" applyNumberFormat="1"/>
    <xf numFmtId="11" fontId="0" fillId="0" borderId="1" xfId="0" applyNumberFormat="1" applyBorder="1"/>
    <xf numFmtId="0" fontId="1" fillId="0" borderId="1" xfId="0" applyFont="1" applyBorder="1"/>
    <xf numFmtId="0" fontId="1" fillId="0" borderId="41" xfId="0" applyFont="1" applyBorder="1"/>
    <xf numFmtId="0" fontId="0" fillId="0" borderId="41" xfId="0" applyBorder="1"/>
    <xf numFmtId="43" fontId="0" fillId="7" borderId="0" xfId="0" applyNumberFormat="1" applyFill="1"/>
    <xf numFmtId="0" fontId="0" fillId="58" borderId="1" xfId="0" applyFill="1" applyBorder="1"/>
    <xf numFmtId="2" fontId="0" fillId="0" borderId="1" xfId="0" applyNumberFormat="1" applyBorder="1"/>
    <xf numFmtId="0" fontId="0" fillId="9" borderId="1" xfId="0" applyFill="1" applyBorder="1"/>
    <xf numFmtId="0" fontId="0" fillId="59" borderId="0" xfId="0" applyFill="1"/>
    <xf numFmtId="0" fontId="0" fillId="58" borderId="2" xfId="0" applyFill="1" applyBorder="1"/>
    <xf numFmtId="0" fontId="0" fillId="6" borderId="2" xfId="0" applyFill="1" applyBorder="1"/>
    <xf numFmtId="0" fontId="1" fillId="6" borderId="17" xfId="0" applyFont="1" applyFill="1" applyBorder="1"/>
    <xf numFmtId="0" fontId="1" fillId="6" borderId="19" xfId="0" applyFont="1" applyFill="1" applyBorder="1"/>
    <xf numFmtId="0" fontId="1" fillId="6" borderId="21" xfId="0" applyFont="1" applyFill="1" applyBorder="1"/>
    <xf numFmtId="0" fontId="1" fillId="6" borderId="24" xfId="0" applyFont="1" applyFill="1" applyBorder="1"/>
    <xf numFmtId="0" fontId="1" fillId="6" borderId="40" xfId="0" applyFont="1" applyFill="1" applyBorder="1"/>
    <xf numFmtId="0" fontId="1" fillId="6" borderId="42" xfId="0" applyFont="1" applyFill="1" applyBorder="1"/>
    <xf numFmtId="0" fontId="1" fillId="6" borderId="18" xfId="0" applyFont="1" applyFill="1" applyBorder="1"/>
    <xf numFmtId="0" fontId="1" fillId="6" borderId="43" xfId="0" applyFont="1" applyFill="1" applyBorder="1"/>
    <xf numFmtId="2" fontId="1" fillId="6" borderId="0" xfId="0" applyNumberFormat="1" applyFont="1" applyFill="1"/>
    <xf numFmtId="0" fontId="1" fillId="6" borderId="47" xfId="0" applyFont="1" applyFill="1" applyBorder="1"/>
    <xf numFmtId="0" fontId="1" fillId="6" borderId="48" xfId="0" applyFont="1" applyFill="1" applyBorder="1"/>
    <xf numFmtId="0" fontId="1" fillId="0" borderId="2" xfId="0" applyFont="1" applyBorder="1"/>
    <xf numFmtId="2" fontId="0" fillId="0" borderId="2" xfId="0" applyNumberFormat="1" applyBorder="1"/>
    <xf numFmtId="2" fontId="0" fillId="58" borderId="1" xfId="0" applyNumberFormat="1" applyFill="1" applyBorder="1"/>
    <xf numFmtId="2" fontId="0" fillId="0" borderId="41" xfId="0" applyNumberFormat="1" applyBorder="1"/>
    <xf numFmtId="2" fontId="1" fillId="0" borderId="41" xfId="0" applyNumberFormat="1" applyFont="1" applyBorder="1"/>
    <xf numFmtId="2" fontId="1" fillId="0" borderId="1" xfId="0" applyNumberFormat="1" applyFont="1" applyBorder="1"/>
    <xf numFmtId="0" fontId="1" fillId="2" borderId="50" xfId="0" applyFont="1" applyFill="1" applyBorder="1"/>
    <xf numFmtId="0" fontId="1" fillId="2" borderId="51" xfId="0" applyFont="1" applyFill="1" applyBorder="1"/>
    <xf numFmtId="0" fontId="1" fillId="2" borderId="52" xfId="0" applyFont="1" applyFill="1" applyBorder="1"/>
    <xf numFmtId="0" fontId="1" fillId="2" borderId="53" xfId="0" applyFont="1" applyFill="1" applyBorder="1"/>
    <xf numFmtId="0" fontId="1" fillId="0" borderId="50" xfId="0" applyFont="1" applyBorder="1"/>
    <xf numFmtId="0" fontId="0" fillId="0" borderId="52" xfId="0" applyBorder="1"/>
    <xf numFmtId="0" fontId="0" fillId="58" borderId="50" xfId="0" applyFill="1" applyBorder="1"/>
    <xf numFmtId="0" fontId="1" fillId="0" borderId="48" xfId="0" applyFont="1" applyBorder="1"/>
    <xf numFmtId="0" fontId="0" fillId="0" borderId="50" xfId="0" applyBorder="1"/>
    <xf numFmtId="0" fontId="1" fillId="0" borderId="51" xfId="0" applyFont="1" applyBorder="1"/>
    <xf numFmtId="0" fontId="0" fillId="0" borderId="51" xfId="0" applyBorder="1"/>
    <xf numFmtId="0" fontId="1" fillId="0" borderId="53" xfId="0" applyFont="1" applyBorder="1"/>
    <xf numFmtId="0" fontId="1" fillId="58" borderId="51" xfId="0" applyFont="1" applyFill="1" applyBorder="1"/>
    <xf numFmtId="0" fontId="1" fillId="0" borderId="47" xfId="0" applyFont="1" applyBorder="1"/>
    <xf numFmtId="0" fontId="0" fillId="58" borderId="51" xfId="0" applyFill="1" applyBorder="1"/>
    <xf numFmtId="0" fontId="0" fillId="0" borderId="53" xfId="0" applyBorder="1"/>
    <xf numFmtId="0" fontId="0" fillId="0" borderId="47" xfId="0" applyBorder="1"/>
    <xf numFmtId="11" fontId="0" fillId="0" borderId="2" xfId="0" applyNumberFormat="1" applyBorder="1"/>
    <xf numFmtId="0" fontId="0" fillId="0" borderId="2" xfId="0" applyBorder="1" applyAlignment="1">
      <alignment horizontal="center"/>
    </xf>
    <xf numFmtId="0" fontId="0" fillId="0" borderId="5" xfId="0" applyBorder="1" applyAlignment="1">
      <alignment horizontal="center"/>
    </xf>
    <xf numFmtId="0" fontId="0" fillId="0" borderId="41" xfId="0" applyBorder="1" applyAlignment="1">
      <alignment horizontal="center"/>
    </xf>
    <xf numFmtId="0" fontId="0" fillId="58" borderId="52" xfId="0" applyFill="1" applyBorder="1"/>
    <xf numFmtId="0" fontId="0" fillId="58" borderId="53" xfId="0" applyFill="1" applyBorder="1"/>
    <xf numFmtId="175" fontId="0" fillId="0" borderId="2" xfId="0" applyNumberFormat="1" applyBorder="1"/>
    <xf numFmtId="175" fontId="0" fillId="0" borderId="53" xfId="0" applyNumberFormat="1" applyBorder="1"/>
    <xf numFmtId="0" fontId="1" fillId="0" borderId="52" xfId="0" applyFont="1" applyBorder="1"/>
    <xf numFmtId="176" fontId="0" fillId="0" borderId="2" xfId="0" applyNumberFormat="1" applyBorder="1"/>
    <xf numFmtId="2" fontId="0" fillId="0" borderId="51" xfId="0" applyNumberFormat="1" applyBorder="1"/>
    <xf numFmtId="2" fontId="0" fillId="0" borderId="53" xfId="0" applyNumberFormat="1" applyBorder="1"/>
    <xf numFmtId="2" fontId="1" fillId="0" borderId="47" xfId="0" applyNumberFormat="1" applyFont="1" applyBorder="1"/>
    <xf numFmtId="2" fontId="0" fillId="58" borderId="2" xfId="0" applyNumberFormat="1" applyFill="1" applyBorder="1"/>
    <xf numFmtId="2" fontId="1" fillId="0" borderId="51" xfId="0" applyNumberFormat="1" applyFont="1" applyBorder="1"/>
    <xf numFmtId="0" fontId="1" fillId="0" borderId="0" xfId="0" applyFont="1" applyAlignment="1">
      <alignment vertical="center" wrapText="1"/>
    </xf>
    <xf numFmtId="2" fontId="0" fillId="0" borderId="0" xfId="0" applyNumberFormat="1" applyAlignment="1">
      <alignment vertical="center" wrapText="1"/>
    </xf>
    <xf numFmtId="176" fontId="0" fillId="0" borderId="0" xfId="0" applyNumberFormat="1" applyAlignment="1">
      <alignment vertical="center" wrapText="1"/>
    </xf>
    <xf numFmtId="0" fontId="1" fillId="6" borderId="0" xfId="0" applyFont="1" applyFill="1" applyAlignment="1">
      <alignment wrapText="1"/>
    </xf>
    <xf numFmtId="4" fontId="43" fillId="62" borderId="1" xfId="0" applyNumberFormat="1" applyFont="1" applyFill="1" applyBorder="1" applyAlignment="1">
      <alignment horizontal="right" wrapText="1"/>
    </xf>
    <xf numFmtId="0" fontId="50" fillId="9" borderId="1" xfId="0" applyFont="1" applyFill="1" applyBorder="1"/>
    <xf numFmtId="0" fontId="1" fillId="58" borderId="1" xfId="0" applyFont="1" applyFill="1" applyBorder="1"/>
    <xf numFmtId="1" fontId="0" fillId="0" borderId="0" xfId="0" applyNumberFormat="1"/>
    <xf numFmtId="165" fontId="0" fillId="0" borderId="0" xfId="0" applyNumberFormat="1"/>
    <xf numFmtId="2" fontId="0" fillId="5" borderId="0" xfId="0" applyNumberFormat="1" applyFill="1"/>
    <xf numFmtId="165" fontId="0" fillId="0" borderId="0" xfId="0" applyNumberFormat="1" applyAlignment="1">
      <alignment vertical="center" wrapText="1"/>
    </xf>
    <xf numFmtId="1" fontId="0" fillId="0" borderId="0" xfId="0" applyNumberFormat="1" applyAlignment="1">
      <alignment vertical="center" wrapText="1"/>
    </xf>
    <xf numFmtId="165" fontId="0" fillId="0" borderId="5" xfId="0" applyNumberFormat="1" applyBorder="1"/>
    <xf numFmtId="177" fontId="0" fillId="3" borderId="1" xfId="0" applyNumberFormat="1" applyFill="1" applyBorder="1"/>
    <xf numFmtId="178" fontId="0" fillId="0" borderId="1" xfId="0" applyNumberFormat="1" applyBorder="1"/>
    <xf numFmtId="0" fontId="52" fillId="0" borderId="0" xfId="0" applyFont="1"/>
    <xf numFmtId="0" fontId="53" fillId="0" borderId="0" xfId="0" applyFont="1"/>
    <xf numFmtId="0" fontId="53" fillId="6" borderId="0" xfId="0" applyFont="1" applyFill="1"/>
    <xf numFmtId="0" fontId="53" fillId="0" borderId="19" xfId="0" applyFont="1" applyBorder="1"/>
    <xf numFmtId="0" fontId="53" fillId="0" borderId="24" xfId="0" applyFont="1" applyBorder="1"/>
    <xf numFmtId="0" fontId="52" fillId="6" borderId="59" xfId="0" applyFont="1" applyFill="1" applyBorder="1"/>
    <xf numFmtId="0" fontId="53" fillId="6" borderId="59" xfId="0" applyFont="1" applyFill="1" applyBorder="1"/>
    <xf numFmtId="0" fontId="56" fillId="6" borderId="59" xfId="0" applyFont="1" applyFill="1" applyBorder="1"/>
    <xf numFmtId="0" fontId="54" fillId="11" borderId="16" xfId="0" applyFont="1" applyFill="1" applyBorder="1"/>
    <xf numFmtId="0" fontId="54" fillId="0" borderId="16" xfId="0" applyFont="1" applyBorder="1"/>
    <xf numFmtId="0" fontId="53" fillId="0" borderId="59" xfId="0" applyFont="1" applyBorder="1"/>
    <xf numFmtId="0" fontId="53" fillId="0" borderId="59" xfId="0" applyFont="1" applyBorder="1" applyAlignment="1">
      <alignment horizontal="center" vertical="center"/>
    </xf>
    <xf numFmtId="0" fontId="54" fillId="0" borderId="59" xfId="0" applyFont="1" applyBorder="1"/>
    <xf numFmtId="0" fontId="53" fillId="9" borderId="59" xfId="0" applyFont="1" applyFill="1" applyBorder="1"/>
    <xf numFmtId="0" fontId="57" fillId="64" borderId="59" xfId="0" applyFont="1" applyFill="1" applyBorder="1"/>
    <xf numFmtId="0" fontId="53" fillId="63" borderId="59" xfId="0" applyFont="1" applyFill="1" applyBorder="1"/>
    <xf numFmtId="0" fontId="53" fillId="69" borderId="0" xfId="0" applyFont="1" applyFill="1"/>
    <xf numFmtId="0" fontId="0" fillId="69" borderId="61" xfId="0" applyFill="1" applyBorder="1"/>
    <xf numFmtId="0" fontId="0" fillId="69" borderId="60" xfId="0" applyFill="1" applyBorder="1"/>
    <xf numFmtId="0" fontId="55" fillId="69" borderId="0" xfId="0" applyFont="1" applyFill="1"/>
    <xf numFmtId="0" fontId="0" fillId="69" borderId="0" xfId="0" applyFill="1"/>
    <xf numFmtId="0" fontId="58" fillId="68" borderId="49" xfId="0" applyFont="1" applyFill="1" applyBorder="1"/>
    <xf numFmtId="0" fontId="59" fillId="68" borderId="57" xfId="0" applyFont="1" applyFill="1" applyBorder="1"/>
    <xf numFmtId="0" fontId="59" fillId="68" borderId="49" xfId="0" applyFont="1" applyFill="1" applyBorder="1"/>
    <xf numFmtId="0" fontId="42" fillId="9" borderId="0" xfId="0" applyFont="1" applyFill="1"/>
    <xf numFmtId="0" fontId="4" fillId="9" borderId="0" xfId="0" applyFont="1" applyFill="1"/>
    <xf numFmtId="0" fontId="0" fillId="9" borderId="62" xfId="0" applyFill="1" applyBorder="1"/>
    <xf numFmtId="0" fontId="0" fillId="9" borderId="63" xfId="0" applyFill="1" applyBorder="1"/>
    <xf numFmtId="0" fontId="0" fillId="9" borderId="60" xfId="0" applyFill="1" applyBorder="1"/>
    <xf numFmtId="0" fontId="0" fillId="9" borderId="61" xfId="0" applyFill="1" applyBorder="1"/>
    <xf numFmtId="0" fontId="0" fillId="9" borderId="64" xfId="0" applyFill="1" applyBorder="1"/>
    <xf numFmtId="0" fontId="60" fillId="69" borderId="0" xfId="0" applyFont="1" applyFill="1"/>
    <xf numFmtId="0" fontId="0" fillId="68" borderId="0" xfId="0" applyFill="1"/>
    <xf numFmtId="0" fontId="52" fillId="61" borderId="1" xfId="0" applyFont="1" applyFill="1" applyBorder="1" applyAlignment="1">
      <alignment horizontal="center"/>
    </xf>
    <xf numFmtId="4" fontId="53" fillId="0" borderId="0" xfId="0" applyNumberFormat="1" applyFont="1"/>
    <xf numFmtId="4" fontId="52" fillId="61" borderId="1" xfId="0" applyNumberFormat="1" applyFont="1" applyFill="1" applyBorder="1" applyAlignment="1">
      <alignment horizontal="center"/>
    </xf>
    <xf numFmtId="4" fontId="53" fillId="6" borderId="0" xfId="0" applyNumberFormat="1" applyFont="1" applyFill="1"/>
    <xf numFmtId="0" fontId="64" fillId="6" borderId="0" xfId="0" applyFont="1" applyFill="1"/>
    <xf numFmtId="0" fontId="0" fillId="6" borderId="0" xfId="0" applyFill="1"/>
    <xf numFmtId="0" fontId="62" fillId="0" borderId="17" xfId="0" applyFont="1" applyBorder="1"/>
    <xf numFmtId="0" fontId="53" fillId="0" borderId="18" xfId="0" applyFont="1" applyBorder="1"/>
    <xf numFmtId="0" fontId="53" fillId="0" borderId="21" xfId="0" applyFont="1" applyBorder="1"/>
    <xf numFmtId="0" fontId="52" fillId="61" borderId="25" xfId="0" applyFont="1" applyFill="1" applyBorder="1" applyAlignment="1">
      <alignment horizontal="center"/>
    </xf>
    <xf numFmtId="0" fontId="52" fillId="61" borderId="22" xfId="0" applyFont="1" applyFill="1" applyBorder="1" applyAlignment="1">
      <alignment horizontal="center"/>
    </xf>
    <xf numFmtId="3" fontId="53" fillId="0" borderId="24" xfId="0" applyNumberFormat="1" applyFont="1" applyBorder="1"/>
    <xf numFmtId="0" fontId="63" fillId="66" borderId="40" xfId="0" applyFont="1" applyFill="1" applyBorder="1"/>
    <xf numFmtId="0" fontId="63" fillId="66" borderId="43" xfId="0" applyFont="1" applyFill="1" applyBorder="1"/>
    <xf numFmtId="4" fontId="63" fillId="66" borderId="43" xfId="0" applyNumberFormat="1" applyFont="1" applyFill="1" applyBorder="1"/>
    <xf numFmtId="4" fontId="63" fillId="66" borderId="42" xfId="0" applyNumberFormat="1" applyFont="1" applyFill="1" applyBorder="1"/>
    <xf numFmtId="4" fontId="53" fillId="0" borderId="18" xfId="0" applyNumberFormat="1" applyFont="1" applyBorder="1"/>
    <xf numFmtId="4" fontId="53" fillId="0" borderId="19" xfId="0" applyNumberFormat="1" applyFont="1" applyBorder="1"/>
    <xf numFmtId="4" fontId="53" fillId="0" borderId="24" xfId="0" applyNumberFormat="1" applyFont="1" applyBorder="1"/>
    <xf numFmtId="0" fontId="53" fillId="0" borderId="40" xfId="0" applyFont="1" applyBorder="1"/>
    <xf numFmtId="0" fontId="53" fillId="0" borderId="43" xfId="0" applyFont="1" applyBorder="1"/>
    <xf numFmtId="4" fontId="53" fillId="0" borderId="43" xfId="0" applyNumberFormat="1" applyFont="1" applyBorder="1"/>
    <xf numFmtId="4" fontId="53" fillId="0" borderId="42" xfId="0" applyNumberFormat="1" applyFont="1" applyBorder="1"/>
    <xf numFmtId="0" fontId="53" fillId="70" borderId="17" xfId="0" applyFont="1" applyFill="1" applyBorder="1"/>
    <xf numFmtId="0" fontId="53" fillId="70" borderId="18" xfId="0" applyFont="1" applyFill="1" applyBorder="1"/>
    <xf numFmtId="4" fontId="53" fillId="70" borderId="18" xfId="0" applyNumberFormat="1" applyFont="1" applyFill="1" applyBorder="1"/>
    <xf numFmtId="4" fontId="53" fillId="70" borderId="19" xfId="0" applyNumberFormat="1" applyFont="1" applyFill="1" applyBorder="1"/>
    <xf numFmtId="9" fontId="53" fillId="0" borderId="0" xfId="0" applyNumberFormat="1" applyFont="1"/>
    <xf numFmtId="175" fontId="53" fillId="0" borderId="0" xfId="0" applyNumberFormat="1" applyFont="1"/>
    <xf numFmtId="1" fontId="53" fillId="0" borderId="0" xfId="0" applyNumberFormat="1" applyFont="1"/>
    <xf numFmtId="0" fontId="52" fillId="5" borderId="17" xfId="0" applyFont="1" applyFill="1" applyBorder="1" applyAlignment="1">
      <alignment horizontal="center" vertical="center" wrapText="1"/>
    </xf>
    <xf numFmtId="0" fontId="52" fillId="5" borderId="18" xfId="0" applyFont="1" applyFill="1" applyBorder="1" applyAlignment="1">
      <alignment horizontal="center" vertical="center" wrapText="1"/>
    </xf>
    <xf numFmtId="0" fontId="53" fillId="5" borderId="18" xfId="0" applyFont="1" applyFill="1" applyBorder="1"/>
    <xf numFmtId="0" fontId="53" fillId="5" borderId="19" xfId="0" applyFont="1" applyFill="1" applyBorder="1"/>
    <xf numFmtId="0" fontId="52" fillId="5" borderId="21" xfId="0" applyFont="1" applyFill="1" applyBorder="1" applyAlignment="1">
      <alignment vertical="center" wrapText="1"/>
    </xf>
    <xf numFmtId="0" fontId="52" fillId="5" borderId="0" xfId="0" applyFont="1" applyFill="1" applyAlignment="1">
      <alignment horizontal="center" vertical="center" wrapText="1"/>
    </xf>
    <xf numFmtId="0" fontId="53" fillId="5" borderId="0" xfId="0" applyFont="1" applyFill="1"/>
    <xf numFmtId="1" fontId="53" fillId="5" borderId="24" xfId="0" applyNumberFormat="1" applyFont="1" applyFill="1" applyBorder="1"/>
    <xf numFmtId="174" fontId="53" fillId="0" borderId="0" xfId="0" applyNumberFormat="1" applyFont="1"/>
    <xf numFmtId="0" fontId="53" fillId="5" borderId="24" xfId="0" applyFont="1" applyFill="1" applyBorder="1"/>
    <xf numFmtId="0" fontId="52" fillId="5" borderId="40" xfId="0" applyFont="1" applyFill="1" applyBorder="1" applyAlignment="1">
      <alignment vertical="center" wrapText="1"/>
    </xf>
    <xf numFmtId="0" fontId="52" fillId="5" borderId="43" xfId="0" applyFont="1" applyFill="1" applyBorder="1" applyAlignment="1">
      <alignment horizontal="center" vertical="center" wrapText="1"/>
    </xf>
    <xf numFmtId="0" fontId="53" fillId="5" borderId="43" xfId="0" applyFont="1" applyFill="1" applyBorder="1"/>
    <xf numFmtId="0" fontId="53" fillId="5" borderId="42" xfId="0" applyFont="1" applyFill="1" applyBorder="1"/>
    <xf numFmtId="0" fontId="52" fillId="0" borderId="0" xfId="0" applyFont="1" applyAlignment="1">
      <alignment vertical="center" wrapText="1"/>
    </xf>
    <xf numFmtId="0" fontId="52" fillId="0" borderId="0" xfId="0" applyFont="1" applyAlignment="1">
      <alignment horizontal="center" vertical="center" wrapText="1"/>
    </xf>
    <xf numFmtId="0" fontId="52" fillId="67" borderId="48" xfId="0" applyFont="1" applyFill="1" applyBorder="1" applyAlignment="1">
      <alignment vertical="center" wrapText="1"/>
    </xf>
    <xf numFmtId="0" fontId="52" fillId="67" borderId="47" xfId="0" applyFont="1" applyFill="1" applyBorder="1" applyAlignment="1">
      <alignment horizontal="center" vertical="center" wrapText="1"/>
    </xf>
    <xf numFmtId="0" fontId="52" fillId="67" borderId="50" xfId="0" applyFont="1" applyFill="1" applyBorder="1" applyAlignment="1">
      <alignment vertical="center" wrapText="1"/>
    </xf>
    <xf numFmtId="165" fontId="52" fillId="67" borderId="51" xfId="0" applyNumberFormat="1" applyFont="1" applyFill="1" applyBorder="1" applyAlignment="1">
      <alignment vertical="center" wrapText="1"/>
    </xf>
    <xf numFmtId="1" fontId="65" fillId="67" borderId="51" xfId="0" applyNumberFormat="1" applyFont="1" applyFill="1" applyBorder="1" applyAlignment="1">
      <alignment vertical="center" wrapText="1"/>
    </xf>
    <xf numFmtId="165" fontId="65" fillId="67" borderId="51" xfId="0" applyNumberFormat="1" applyFont="1" applyFill="1" applyBorder="1" applyAlignment="1">
      <alignment vertical="center" wrapText="1"/>
    </xf>
    <xf numFmtId="0" fontId="52" fillId="67" borderId="52" xfId="0" applyFont="1" applyFill="1" applyBorder="1" applyAlignment="1">
      <alignment vertical="center" wrapText="1"/>
    </xf>
    <xf numFmtId="165" fontId="65" fillId="67" borderId="53" xfId="0" applyNumberFormat="1" applyFont="1" applyFill="1" applyBorder="1" applyAlignment="1">
      <alignment vertical="center" wrapText="1"/>
    </xf>
    <xf numFmtId="0" fontId="52" fillId="58" borderId="17" xfId="0" applyFont="1" applyFill="1" applyBorder="1" applyAlignment="1">
      <alignment vertical="center" wrapText="1"/>
    </xf>
    <xf numFmtId="2" fontId="65" fillId="58" borderId="58" xfId="0" applyNumberFormat="1" applyFont="1" applyFill="1" applyBorder="1" applyAlignment="1">
      <alignment vertical="center" wrapText="1"/>
    </xf>
    <xf numFmtId="0" fontId="52" fillId="58" borderId="58" xfId="0" applyFont="1" applyFill="1" applyBorder="1" applyAlignment="1">
      <alignment vertical="center" wrapText="1"/>
    </xf>
    <xf numFmtId="165" fontId="65" fillId="58" borderId="42" xfId="0" applyNumberFormat="1" applyFont="1" applyFill="1" applyBorder="1" applyAlignment="1">
      <alignment vertical="center" wrapText="1"/>
    </xf>
    <xf numFmtId="1" fontId="65" fillId="58" borderId="16" xfId="0" applyNumberFormat="1" applyFont="1" applyFill="1" applyBorder="1" applyAlignment="1">
      <alignment vertical="center" wrapText="1"/>
    </xf>
    <xf numFmtId="0" fontId="66" fillId="0" borderId="58" xfId="0" applyFont="1" applyBorder="1" applyAlignment="1">
      <alignment vertical="center" wrapText="1"/>
    </xf>
    <xf numFmtId="0" fontId="65" fillId="0" borderId="0" xfId="0" applyFont="1" applyAlignment="1">
      <alignment vertical="center" wrapText="1"/>
    </xf>
    <xf numFmtId="1" fontId="65" fillId="0" borderId="0" xfId="0" applyNumberFormat="1" applyFont="1" applyAlignment="1">
      <alignment vertical="center" wrapText="1"/>
    </xf>
    <xf numFmtId="1" fontId="52" fillId="0" borderId="0" xfId="0" applyNumberFormat="1" applyFont="1"/>
    <xf numFmtId="2" fontId="52" fillId="0" borderId="0" xfId="0" applyNumberFormat="1" applyFont="1"/>
    <xf numFmtId="2" fontId="53" fillId="0" borderId="0" xfId="0" applyNumberFormat="1" applyFont="1"/>
    <xf numFmtId="165" fontId="53" fillId="0" borderId="0" xfId="0" applyNumberFormat="1" applyFont="1"/>
    <xf numFmtId="0" fontId="52" fillId="6" borderId="0" xfId="0" applyFont="1" applyFill="1" applyAlignment="1">
      <alignment vertical="center" wrapText="1"/>
    </xf>
    <xf numFmtId="0" fontId="52" fillId="6" borderId="0" xfId="0" applyFont="1" applyFill="1" applyAlignment="1">
      <alignment horizontal="center" vertical="center" wrapText="1"/>
    </xf>
    <xf numFmtId="0" fontId="66" fillId="6" borderId="0" xfId="0" applyFont="1" applyFill="1" applyAlignment="1">
      <alignment vertical="center" wrapText="1"/>
    </xf>
    <xf numFmtId="0" fontId="52" fillId="6" borderId="58" xfId="0" applyFont="1" applyFill="1" applyBorder="1" applyAlignment="1">
      <alignment vertical="center" wrapText="1"/>
    </xf>
    <xf numFmtId="0" fontId="0" fillId="2" borderId="0" xfId="0" applyFill="1"/>
    <xf numFmtId="0" fontId="0" fillId="70" borderId="0" xfId="0" applyFill="1"/>
    <xf numFmtId="0" fontId="0" fillId="71" borderId="0" xfId="0" applyFill="1"/>
    <xf numFmtId="0" fontId="53" fillId="0" borderId="0" xfId="0" applyFont="1" applyAlignment="1">
      <alignment vertical="center" wrapText="1"/>
    </xf>
    <xf numFmtId="2" fontId="53" fillId="0" borderId="0" xfId="0" applyNumberFormat="1" applyFont="1" applyAlignment="1">
      <alignment vertical="center" wrapText="1"/>
    </xf>
    <xf numFmtId="2" fontId="0" fillId="56" borderId="0" xfId="0" applyNumberFormat="1" applyFill="1"/>
    <xf numFmtId="2" fontId="65" fillId="58" borderId="16" xfId="0" applyNumberFormat="1" applyFont="1" applyFill="1" applyBorder="1" applyAlignment="1">
      <alignment vertical="center" wrapText="1"/>
    </xf>
    <xf numFmtId="0" fontId="0" fillId="0" borderId="0" xfId="0" applyAlignment="1">
      <alignment horizontal="center"/>
    </xf>
    <xf numFmtId="0" fontId="1" fillId="0" borderId="14" xfId="0" applyFont="1" applyBorder="1" applyAlignment="1">
      <alignment horizontal="center"/>
    </xf>
    <xf numFmtId="0" fontId="1" fillId="0" borderId="15" xfId="0" applyFont="1" applyBorder="1" applyAlignment="1">
      <alignment horizontal="center"/>
    </xf>
    <xf numFmtId="0" fontId="1" fillId="0" borderId="16" xfId="0" applyFont="1" applyBorder="1" applyAlignment="1">
      <alignment horizontal="center"/>
    </xf>
    <xf numFmtId="0" fontId="1" fillId="0" borderId="17" xfId="0" applyFont="1" applyBorder="1" applyAlignment="1">
      <alignment horizontal="center"/>
    </xf>
    <xf numFmtId="0" fontId="1" fillId="0" borderId="18" xfId="0" applyFont="1" applyBorder="1" applyAlignment="1">
      <alignment horizontal="center"/>
    </xf>
    <xf numFmtId="0" fontId="1" fillId="0" borderId="19" xfId="0" applyFont="1" applyBorder="1" applyAlignment="1">
      <alignment horizontal="center"/>
    </xf>
    <xf numFmtId="0" fontId="1" fillId="0" borderId="0" xfId="0" applyFont="1" applyAlignment="1">
      <alignment horizontal="center"/>
    </xf>
    <xf numFmtId="0" fontId="1" fillId="6" borderId="54" xfId="0" applyFont="1" applyFill="1" applyBorder="1" applyAlignment="1">
      <alignment horizontal="center"/>
    </xf>
    <xf numFmtId="0" fontId="1" fillId="6" borderId="55" xfId="0" applyFont="1" applyFill="1" applyBorder="1" applyAlignment="1">
      <alignment horizontal="center"/>
    </xf>
    <xf numFmtId="0" fontId="1" fillId="6" borderId="56" xfId="0" applyFont="1" applyFill="1" applyBorder="1" applyAlignment="1">
      <alignment horizontal="center"/>
    </xf>
    <xf numFmtId="0" fontId="1" fillId="6" borderId="44" xfId="0" applyFont="1" applyFill="1" applyBorder="1" applyAlignment="1">
      <alignment horizontal="center"/>
    </xf>
    <xf numFmtId="0" fontId="1" fillId="6" borderId="45" xfId="0" applyFont="1" applyFill="1" applyBorder="1" applyAlignment="1">
      <alignment horizontal="center"/>
    </xf>
    <xf numFmtId="0" fontId="1" fillId="6" borderId="46" xfId="0" applyFont="1" applyFill="1" applyBorder="1" applyAlignment="1">
      <alignment horizontal="center"/>
    </xf>
    <xf numFmtId="0" fontId="1" fillId="6" borderId="21" xfId="0" applyFont="1" applyFill="1" applyBorder="1" applyAlignment="1">
      <alignment horizontal="center"/>
    </xf>
    <xf numFmtId="0" fontId="1" fillId="6" borderId="0" xfId="0" applyFont="1" applyFill="1" applyAlignment="1">
      <alignment horizontal="center"/>
    </xf>
    <xf numFmtId="0" fontId="1" fillId="6" borderId="24" xfId="0" applyFont="1" applyFill="1" applyBorder="1" applyAlignment="1">
      <alignment horizontal="center"/>
    </xf>
    <xf numFmtId="0" fontId="0" fillId="60" borderId="53" xfId="0" applyFill="1" applyBorder="1" applyAlignment="1">
      <alignment horizontal="center"/>
    </xf>
    <xf numFmtId="0" fontId="0" fillId="60" borderId="57" xfId="0" applyFill="1" applyBorder="1" applyAlignment="1">
      <alignment horizontal="center"/>
    </xf>
    <xf numFmtId="0" fontId="0" fillId="60" borderId="52" xfId="0" applyFill="1" applyBorder="1" applyAlignment="1">
      <alignment horizontal="center"/>
    </xf>
    <xf numFmtId="0" fontId="61" fillId="9" borderId="14" xfId="0" applyFont="1" applyFill="1" applyBorder="1" applyAlignment="1">
      <alignment horizontal="center"/>
    </xf>
    <xf numFmtId="0" fontId="56" fillId="9" borderId="15" xfId="0" applyFont="1" applyFill="1" applyBorder="1" applyAlignment="1">
      <alignment horizontal="center"/>
    </xf>
    <xf numFmtId="0" fontId="56" fillId="9" borderId="16" xfId="0" applyFont="1" applyFill="1" applyBorder="1" applyAlignment="1">
      <alignment horizontal="center"/>
    </xf>
    <xf numFmtId="0" fontId="59" fillId="68" borderId="0" xfId="0" applyFont="1" applyFill="1" applyAlignment="1">
      <alignment horizontal="left"/>
    </xf>
    <xf numFmtId="0" fontId="52" fillId="65" borderId="17" xfId="0" applyFont="1" applyFill="1" applyBorder="1" applyAlignment="1">
      <alignment horizontal="center"/>
    </xf>
    <xf numFmtId="0" fontId="52" fillId="65" borderId="18" xfId="0" applyFont="1" applyFill="1" applyBorder="1" applyAlignment="1">
      <alignment horizontal="center"/>
    </xf>
    <xf numFmtId="0" fontId="52" fillId="65" borderId="19" xfId="0" applyFont="1" applyFill="1" applyBorder="1" applyAlignment="1">
      <alignment horizontal="center"/>
    </xf>
    <xf numFmtId="0" fontId="52" fillId="0" borderId="14" xfId="0" applyFont="1" applyBorder="1" applyAlignment="1">
      <alignment horizontal="center" vertical="center" wrapText="1"/>
    </xf>
    <xf numFmtId="0" fontId="52" fillId="0" borderId="15" xfId="0" applyFont="1" applyBorder="1" applyAlignment="1">
      <alignment horizontal="center" vertical="center" wrapText="1"/>
    </xf>
    <xf numFmtId="0" fontId="52" fillId="0" borderId="16" xfId="0" applyFont="1" applyBorder="1" applyAlignment="1">
      <alignment horizontal="center" vertical="center" wrapText="1"/>
    </xf>
    <xf numFmtId="0" fontId="59" fillId="68" borderId="21" xfId="0" applyFont="1" applyFill="1" applyBorder="1" applyAlignment="1">
      <alignment horizontal="left"/>
    </xf>
    <xf numFmtId="0" fontId="67" fillId="68" borderId="0" xfId="0" applyFont="1" applyFill="1" applyAlignment="1">
      <alignment horizontal="left"/>
    </xf>
    <xf numFmtId="0" fontId="0" fillId="9" borderId="0" xfId="0" applyFill="1" applyAlignment="1">
      <alignment horizontal="center"/>
    </xf>
    <xf numFmtId="0" fontId="68" fillId="9" borderId="21" xfId="0" applyFont="1" applyFill="1" applyBorder="1" applyAlignment="1">
      <alignment horizontal="center"/>
    </xf>
  </cellXfs>
  <cellStyles count="60">
    <cellStyle name="20% - Accent1" xfId="37" builtinId="30" customBuiltin="1"/>
    <cellStyle name="20% - Accent2" xfId="41" builtinId="34" customBuiltin="1"/>
    <cellStyle name="20% - Accent3" xfId="45" builtinId="38" customBuiltin="1"/>
    <cellStyle name="20% - Accent4" xfId="49" builtinId="42" customBuiltin="1"/>
    <cellStyle name="20% - Accent5" xfId="53" builtinId="46" customBuiltin="1"/>
    <cellStyle name="20% - Accent6" xfId="57" builtinId="50" customBuiltin="1"/>
    <cellStyle name="40% - Accent1" xfId="38" builtinId="31" customBuiltin="1"/>
    <cellStyle name="40% - Accent2" xfId="42" builtinId="35" customBuiltin="1"/>
    <cellStyle name="40% - Accent3" xfId="46" builtinId="39" customBuiltin="1"/>
    <cellStyle name="40% - Accent4" xfId="50" builtinId="43" customBuiltin="1"/>
    <cellStyle name="40% - Accent5" xfId="54" builtinId="47" customBuiltin="1"/>
    <cellStyle name="40% - Accent6" xfId="58" builtinId="51" customBuiltin="1"/>
    <cellStyle name="60% - Accent1" xfId="39" builtinId="32" customBuiltin="1"/>
    <cellStyle name="60% - Accent2" xfId="43" builtinId="36" customBuiltin="1"/>
    <cellStyle name="60% - Accent3" xfId="47" builtinId="40" customBuiltin="1"/>
    <cellStyle name="60% - Accent4" xfId="51" builtinId="44" customBuiltin="1"/>
    <cellStyle name="60% - Accent5" xfId="55" builtinId="48" customBuiltin="1"/>
    <cellStyle name="60% - Accent6" xfId="59" builtinId="52" customBuiltin="1"/>
    <cellStyle name="Accent1" xfId="36" builtinId="29" customBuiltin="1"/>
    <cellStyle name="Accent2" xfId="40" builtinId="33" customBuiltin="1"/>
    <cellStyle name="Accent3" xfId="44" builtinId="37" customBuiltin="1"/>
    <cellStyle name="Accent4" xfId="48" builtinId="41" customBuiltin="1"/>
    <cellStyle name="Accent5" xfId="52" builtinId="45" customBuiltin="1"/>
    <cellStyle name="Accent6" xfId="56" builtinId="49" customBuiltin="1"/>
    <cellStyle name="Bad" xfId="25" builtinId="27" customBuiltin="1"/>
    <cellStyle name="Body: normal cell" xfId="2" xr:uid="{0B5135AA-D1A9-4928-A88F-6ACA1A8037E3}"/>
    <cellStyle name="Calculation" xfId="29" builtinId="22" customBuiltin="1"/>
    <cellStyle name="Check Cell" xfId="31" builtinId="23" customBuiltin="1"/>
    <cellStyle name="Comma" xfId="1" builtinId="3"/>
    <cellStyle name="Explanatory Text" xfId="34" builtinId="53" customBuiltin="1"/>
    <cellStyle name="Good" xfId="24" builtinId="26" customBuiltin="1"/>
    <cellStyle name="Heading 1" xfId="20" builtinId="16" customBuiltin="1"/>
    <cellStyle name="Heading 2" xfId="21" builtinId="17" customBuiltin="1"/>
    <cellStyle name="Heading 3" xfId="22" builtinId="18" customBuiltin="1"/>
    <cellStyle name="Heading 4" xfId="23" builtinId="19" customBuiltin="1"/>
    <cellStyle name="Hyperlink" xfId="3" builtinId="8"/>
    <cellStyle name="Input" xfId="27" builtinId="20" customBuiltin="1"/>
    <cellStyle name="Linked Cell" xfId="30" builtinId="24" customBuiltin="1"/>
    <cellStyle name="Neutral" xfId="26" builtinId="28" customBuiltin="1"/>
    <cellStyle name="Normal" xfId="0" builtinId="0"/>
    <cellStyle name="Normal 2" xfId="4" xr:uid="{8AD544EF-668F-4EE5-88CA-56F66A1C70CC}"/>
    <cellStyle name="Note" xfId="33" builtinId="10" customBuiltin="1"/>
    <cellStyle name="Output" xfId="28" builtinId="21" customBuiltin="1"/>
    <cellStyle name="pmxBorderCellsS" xfId="5" xr:uid="{13852876-65D5-4004-8C8E-C8148FF64D3A}"/>
    <cellStyle name="pmxCategoryHeadingB" xfId="15" xr:uid="{F85DA165-0FE4-4C86-A3C0-F9D1AADCFC3B}"/>
    <cellStyle name="pmxCategoryHeadingM" xfId="16" xr:uid="{CA0B0889-D91A-4DF0-9628-43FD0876E827}"/>
    <cellStyle name="pmxHeadingB" xfId="10" xr:uid="{CCED33D1-D055-4F1C-9340-443E9F308899}"/>
    <cellStyle name="pmxHeadingL" xfId="12" xr:uid="{8ADFFF6C-A90E-4960-8AC5-0CB52CFEB5C5}"/>
    <cellStyle name="pmxHeadingM" xfId="11" xr:uid="{2C0C8605-DC76-4391-82BE-FBD335C59264}"/>
    <cellStyle name="pmxHeadingS" xfId="9" xr:uid="{93E602FA-67A9-44C8-A642-72106C94ADA3}"/>
    <cellStyle name="pmxMinorHeadingB" xfId="18" xr:uid="{D5FAE2B8-1678-4FC1-B00F-F10E0BFAA061}"/>
    <cellStyle name="pmxMinorHeadingS" xfId="17" xr:uid="{07C59A52-EE1E-4973-87B1-FDB5D2E1906B}"/>
    <cellStyle name="pmxSubHeadingB" xfId="13" xr:uid="{F97F8EB3-B60C-415A-9FB7-BC1F0582D79C}"/>
    <cellStyle name="pmxSubHeadingM" xfId="14" xr:uid="{342BD420-EAE1-4A17-A39F-DDD9DB96AF95}"/>
    <cellStyle name="pmxSubSubHeadingB" xfId="7" xr:uid="{4E4A9A4D-818D-4B0B-9135-3C41E8EAB478}"/>
    <cellStyle name="pmxSubSubHeadingM" xfId="8" xr:uid="{843F4418-D965-43A4-9835-FD5F8B541EE9}"/>
    <cellStyle name="pmxSubSubHeadingS" xfId="6" xr:uid="{9134A9BA-E43F-4C86-B356-C2B3FF005B32}"/>
    <cellStyle name="Title" xfId="19" builtinId="15" customBuiltin="1"/>
    <cellStyle name="Total" xfId="35" builtinId="25" customBuiltin="1"/>
    <cellStyle name="Warning Text" xfId="32" builtinId="11" customBuiltin="1"/>
  </cellStyles>
  <dxfs count="353">
    <dxf>
      <font>
        <strike val="0"/>
        <outline val="0"/>
        <shadow val="0"/>
        <u val="none"/>
        <vertAlign val="baseline"/>
        <sz val="11"/>
        <color theme="1"/>
        <name val="Calibri Light"/>
        <family val="2"/>
        <scheme val="major"/>
      </font>
      <numFmt numFmtId="0" formatCode="General"/>
      <alignment horizontal="general" vertical="center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Calibri Light"/>
        <family val="2"/>
        <scheme val="major"/>
      </font>
      <alignment horizontal="general" vertical="center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Calibri Light"/>
        <family val="2"/>
        <scheme val="major"/>
      </font>
      <alignment horizontal="general" vertical="center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Calibri Light"/>
        <family val="2"/>
        <scheme val="major"/>
      </font>
      <alignment horizontal="general" vertical="center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Calibri Light"/>
        <family val="2"/>
        <scheme val="major"/>
      </font>
      <alignment horizontal="general" vertical="center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Calibri Light"/>
        <family val="2"/>
        <scheme val="major"/>
      </font>
      <alignment horizontal="general" vertical="center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Calibri Light"/>
        <family val="2"/>
        <scheme val="major"/>
      </font>
      <alignment horizontal="general" vertical="center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Calibri Light"/>
        <family val="2"/>
        <scheme val="major"/>
      </font>
      <alignment horizontal="general" vertical="center" textRotation="0" wrapText="1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family val="2"/>
        <scheme val="major"/>
      </font>
      <alignment horizontal="center" vertical="center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Calibri Light"/>
        <family val="2"/>
        <scheme val="major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family val="2"/>
        <scheme val="major"/>
      </font>
    </dxf>
    <dxf>
      <border diagonalUp="0" diagonalDown="0"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font>
        <strike val="0"/>
        <outline val="0"/>
        <shadow val="0"/>
        <u val="none"/>
        <vertAlign val="baseline"/>
        <sz val="11"/>
        <color theme="1"/>
        <name val="Calibri Light"/>
        <family val="2"/>
        <scheme val="major"/>
      </font>
    </dxf>
    <dxf>
      <font>
        <strike val="0"/>
        <outline val="0"/>
        <shadow val="0"/>
        <u val="none"/>
        <vertAlign val="baseline"/>
        <sz val="11"/>
        <color theme="1"/>
        <name val="Calibri Light"/>
        <family val="2"/>
        <scheme val="major"/>
      </font>
    </dxf>
    <dxf>
      <font>
        <strike val="0"/>
        <outline val="0"/>
        <shadow val="0"/>
        <u val="none"/>
        <vertAlign val="baseline"/>
        <color theme="1"/>
        <name val="Calibri Light"/>
        <family val="2"/>
        <scheme val="major"/>
      </font>
      <numFmt numFmtId="165" formatCode="0.0"/>
    </dxf>
    <dxf>
      <font>
        <strike val="0"/>
        <outline val="0"/>
        <shadow val="0"/>
        <u val="none"/>
        <vertAlign val="baseline"/>
        <color theme="1"/>
        <name val="Calibri Light"/>
        <family val="2"/>
        <scheme val="major"/>
      </font>
      <numFmt numFmtId="165" formatCode="0.0"/>
    </dxf>
    <dxf>
      <font>
        <strike val="0"/>
        <outline val="0"/>
        <shadow val="0"/>
        <u val="none"/>
        <vertAlign val="baseline"/>
        <color theme="1"/>
        <name val="Calibri Light"/>
        <family val="2"/>
        <scheme val="major"/>
      </font>
      <numFmt numFmtId="165" formatCode="0.0"/>
    </dxf>
    <dxf>
      <font>
        <strike val="0"/>
        <outline val="0"/>
        <shadow val="0"/>
        <u val="none"/>
        <vertAlign val="baseline"/>
        <color theme="1"/>
        <name val="Calibri Light"/>
        <family val="2"/>
        <scheme val="major"/>
      </font>
      <numFmt numFmtId="165" formatCode="0.0"/>
    </dxf>
    <dxf>
      <font>
        <strike val="0"/>
        <outline val="0"/>
        <shadow val="0"/>
        <u val="none"/>
        <vertAlign val="baseline"/>
        <color theme="1"/>
        <name val="Calibri Light"/>
        <family val="2"/>
        <scheme val="major"/>
      </font>
      <numFmt numFmtId="165" formatCode="0.0"/>
    </dxf>
    <dxf>
      <font>
        <strike val="0"/>
        <outline val="0"/>
        <shadow val="0"/>
        <u val="none"/>
        <vertAlign val="baseline"/>
        <color theme="1"/>
        <name val="Calibri Light"/>
        <family val="2"/>
        <scheme val="major"/>
      </font>
      <numFmt numFmtId="2" formatCode="0.00"/>
    </dxf>
    <dxf>
      <font>
        <strike val="0"/>
        <outline val="0"/>
        <shadow val="0"/>
        <u val="none"/>
        <vertAlign val="baseline"/>
        <color theme="1"/>
        <name val="Calibri Light"/>
        <family val="2"/>
        <scheme val="major"/>
      </font>
      <numFmt numFmtId="1" formatCode="0"/>
    </dxf>
    <dxf>
      <font>
        <strike val="0"/>
        <outline val="0"/>
        <shadow val="0"/>
        <u val="none"/>
        <vertAlign val="baseline"/>
        <color theme="1"/>
        <name val="Calibri Light"/>
        <family val="2"/>
        <scheme val="major"/>
      </font>
    </dxf>
    <dxf>
      <font>
        <strike val="0"/>
        <outline val="0"/>
        <shadow val="0"/>
        <u val="none"/>
        <vertAlign val="baseline"/>
        <color theme="1"/>
        <name val="Calibri Light"/>
        <family val="2"/>
        <scheme val="major"/>
      </font>
      <numFmt numFmtId="13" formatCode="0%"/>
    </dxf>
    <dxf>
      <font>
        <strike val="0"/>
        <outline val="0"/>
        <shadow val="0"/>
        <u val="none"/>
        <vertAlign val="baseline"/>
        <color theme="1"/>
        <name val="Calibri Light"/>
        <family val="2"/>
        <scheme val="major"/>
      </font>
    </dxf>
    <dxf>
      <font>
        <strike val="0"/>
        <outline val="0"/>
        <shadow val="0"/>
        <u val="none"/>
        <vertAlign val="baseline"/>
        <color theme="1"/>
        <name val="Calibri Light"/>
        <family val="2"/>
        <scheme val="major"/>
      </font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font>
        <strike val="0"/>
        <outline val="0"/>
        <shadow val="0"/>
        <u val="none"/>
        <vertAlign val="baseline"/>
        <color theme="1"/>
        <name val="Calibri Light"/>
        <family val="2"/>
        <scheme val="major"/>
      </font>
      <numFmt numFmtId="13" formatCode="0%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family val="2"/>
        <scheme val="major"/>
      </font>
      <numFmt numFmtId="1" formatCode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family val="2"/>
        <scheme val="major"/>
      </font>
      <numFmt numFmtId="1" formatCode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family val="2"/>
        <scheme val="major"/>
      </font>
      <numFmt numFmtId="1" formatCode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family val="2"/>
        <scheme val="major"/>
      </font>
      <numFmt numFmtId="1" formatCode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family val="2"/>
        <scheme val="major"/>
      </font>
      <alignment horizontal="general" vertical="center" textRotation="0" wrapText="1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family val="2"/>
        <scheme val="major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family val="2"/>
        <scheme val="major"/>
      </font>
    </dxf>
    <dxf>
      <font>
        <strike val="0"/>
        <outline val="0"/>
        <shadow val="0"/>
        <u val="none"/>
        <vertAlign val="baseline"/>
        <color theme="1"/>
        <name val="Calibri Light"/>
        <family val="2"/>
        <scheme val="major"/>
      </font>
      <numFmt numFmtId="1" formatCode="0"/>
    </dxf>
    <dxf>
      <font>
        <strike val="0"/>
        <outline val="0"/>
        <shadow val="0"/>
        <u val="none"/>
        <vertAlign val="baseline"/>
        <color theme="1"/>
        <name val="Calibri Light"/>
        <family val="2"/>
        <scheme val="major"/>
      </font>
      <numFmt numFmtId="174" formatCode="0.000"/>
    </dxf>
    <dxf>
      <font>
        <strike val="0"/>
        <outline val="0"/>
        <shadow val="0"/>
        <u val="none"/>
        <vertAlign val="baseline"/>
        <color theme="1"/>
        <name val="Calibri Light"/>
        <family val="2"/>
        <scheme val="major"/>
      </font>
    </dxf>
    <dxf>
      <font>
        <strike val="0"/>
        <outline val="0"/>
        <shadow val="0"/>
        <u val="none"/>
        <vertAlign val="baseline"/>
        <color theme="1"/>
        <name val="Calibri Light"/>
        <family val="2"/>
        <scheme val="major"/>
      </font>
    </dxf>
    <dxf>
      <font>
        <strike val="0"/>
        <outline val="0"/>
        <shadow val="0"/>
        <u val="none"/>
        <vertAlign val="baseline"/>
        <color theme="1"/>
        <name val="Calibri Light"/>
        <family val="2"/>
        <scheme val="major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 Light"/>
        <family val="2"/>
        <scheme val="major"/>
      </font>
      <numFmt numFmtId="1" formatCode="0"/>
      <fill>
        <patternFill patternType="solid">
          <fgColor indexed="64"/>
          <bgColor rgb="FF2D6800"/>
        </patternFill>
      </fill>
      <alignment horizontal="general" vertical="center" textRotation="0" wrapText="1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family val="2"/>
        <scheme val="major"/>
      </font>
      <fill>
        <patternFill patternType="solid">
          <fgColor indexed="64"/>
          <bgColor rgb="FF2D6800"/>
        </patternFill>
      </fill>
      <alignment horizontal="general" vertical="center" textRotation="0" wrapText="1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color theme="1"/>
        <name val="Calibri Light"/>
        <family val="2"/>
        <scheme val="major"/>
      </font>
      <fill>
        <patternFill patternType="solid">
          <fgColor indexed="64"/>
          <bgColor rgb="FF2D6800"/>
        </patternFill>
      </fill>
    </dxf>
    <dxf>
      <border outline="0"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color theme="1"/>
        <name val="Calibri Light"/>
        <family val="2"/>
        <scheme val="major"/>
      </font>
      <fill>
        <patternFill patternType="solid">
          <fgColor indexed="64"/>
          <bgColor rgb="FF2D6800"/>
        </patternFill>
      </fill>
    </dxf>
    <dxf>
      <font>
        <strike val="0"/>
        <outline val="0"/>
        <shadow val="0"/>
        <u val="none"/>
        <vertAlign val="baseline"/>
        <color theme="1"/>
        <name val="Calibri Light"/>
        <family val="2"/>
        <scheme val="major"/>
      </font>
      <fill>
        <patternFill patternType="solid">
          <fgColor indexed="64"/>
          <bgColor theme="9" tint="0.79998168889431442"/>
        </patternFill>
      </fill>
      <border diagonalUp="0" diagonalDown="0" outline="0">
        <left/>
        <right style="medium">
          <color indexed="64"/>
        </right>
        <top/>
        <bottom/>
      </border>
    </dxf>
    <dxf>
      <font>
        <strike val="0"/>
        <outline val="0"/>
        <shadow val="0"/>
        <u val="none"/>
        <vertAlign val="baseline"/>
        <color theme="1"/>
        <name val="Calibri Light"/>
        <family val="2"/>
        <scheme val="major"/>
      </font>
      <fill>
        <patternFill patternType="solid">
          <fgColor indexed="64"/>
          <bgColor theme="9" tint="0.7999816888943144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 Light"/>
        <family val="2"/>
        <scheme val="major"/>
      </font>
      <numFmt numFmtId="0" formatCode="General"/>
      <fill>
        <patternFill patternType="solid">
          <fgColor indexed="64"/>
          <bgColor theme="9" tint="0.79998168889431442"/>
        </patternFill>
      </fill>
      <alignment horizontal="general" vertical="center" textRotation="0" wrapText="1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family val="2"/>
        <scheme val="major"/>
      </font>
      <fill>
        <patternFill patternType="solid">
          <fgColor indexed="64"/>
          <bgColor theme="9" tint="0.79998168889431442"/>
        </patternFill>
      </fill>
      <alignment horizontal="general" vertical="center" textRotation="0" wrapText="1" indent="0" justifyLastLine="0" shrinkToFit="0" readingOrder="0"/>
      <border diagonalUp="0" diagonalDown="0" outline="0">
        <left style="medium">
          <color indexed="64"/>
        </left>
        <right/>
        <top/>
        <bottom/>
      </border>
    </dxf>
    <dxf>
      <font>
        <strike val="0"/>
        <outline val="0"/>
        <shadow val="0"/>
        <u val="none"/>
        <vertAlign val="baseline"/>
        <color theme="1"/>
        <name val="Calibri Light"/>
        <family val="2"/>
        <scheme val="major"/>
      </font>
      <fill>
        <patternFill patternType="solid">
          <fgColor indexed="64"/>
          <bgColor theme="9" tint="0.79998168889431442"/>
        </patternFill>
      </fill>
    </dxf>
    <dxf>
      <font>
        <strike val="0"/>
        <outline val="0"/>
        <shadow val="0"/>
        <u val="none"/>
        <vertAlign val="baseline"/>
        <color theme="1"/>
        <name val="Calibri Light"/>
        <family val="2"/>
        <scheme val="major"/>
      </font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2" tint="-0.24994659260841701"/>
      </font>
      <fill>
        <patternFill>
          <bgColor theme="2" tint="-0.24994659260841701"/>
        </patternFill>
      </fill>
    </dxf>
    <dxf>
      <font>
        <color theme="0"/>
      </font>
      <fill>
        <patternFill patternType="solid">
          <bgColor theme="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alignment horizontal="general" vertical="center" textRotation="0" wrapText="1" indent="0" justifyLastLine="0" shrinkToFit="0" readingOrder="0"/>
    </dxf>
    <dxf>
      <alignment horizontal="general" vertical="center" textRotation="0" wrapText="1" indent="0" justifyLastLine="0" shrinkToFit="0" readingOrder="0"/>
    </dxf>
    <dxf>
      <alignment horizontal="general" vertical="center" textRotation="0" wrapText="1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center" vertical="center" textRotation="0" wrapText="1" indent="0" justifyLastLine="0" shrinkToFit="0" readingOrder="0"/>
    </dxf>
    <dxf>
      <alignment horizontal="general" vertical="center" textRotation="0" wrapText="1" indent="0" justifyLastLine="0" shrinkToFit="0" readingOrder="0"/>
    </dxf>
    <dxf>
      <alignment horizontal="general" vertical="center" textRotation="0" wrapText="1" indent="0" justifyLastLine="0" shrinkToFit="0" readingOrder="0"/>
    </dxf>
    <dxf>
      <alignment horizontal="general" vertical="center" textRotation="0" wrapText="1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center" vertical="center" textRotation="0" wrapText="1" indent="0" justifyLastLine="0" shrinkToFit="0" readingOrder="0"/>
    </dxf>
    <dxf>
      <alignment horizontal="general" vertical="center" textRotation="0" wrapText="1" indent="0" justifyLastLine="0" shrinkToFit="0" readingOrder="0"/>
    </dxf>
    <dxf>
      <alignment horizontal="general" vertical="center" textRotation="0" wrapText="1" indent="0" justifyLastLine="0" shrinkToFit="0" readingOrder="0"/>
    </dxf>
    <dxf>
      <alignment horizontal="general" vertical="center" textRotation="0" wrapText="1" indent="0" justifyLastLine="0" shrinkToFit="0" readingOrder="0"/>
    </dxf>
    <dxf>
      <alignment horizontal="general" vertical="center" textRotation="0" wrapText="1" indent="0" justifyLastLine="0" shrinkToFit="0" readingOrder="0"/>
    </dxf>
    <dxf>
      <alignment horizontal="general" vertical="center" textRotation="0" wrapText="1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center" vertical="center" textRotation="0" wrapText="1" indent="0" justifyLastLine="0" shrinkToFit="0" readingOrder="0"/>
    </dxf>
    <dxf>
      <alignment horizontal="general" vertical="center" textRotation="0" wrapText="1" indent="0" justifyLastLine="0" shrinkToFit="0" readingOrder="0"/>
    </dxf>
    <dxf>
      <alignment horizontal="general" vertical="center" textRotation="0" wrapText="1" indent="0" justifyLastLine="0" shrinkToFit="0" readingOrder="0"/>
    </dxf>
    <dxf>
      <alignment horizontal="general" vertical="center" textRotation="0" wrapText="1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center" vertical="center" textRotation="0" wrapText="1" indent="0" justifyLastLine="0" shrinkToFit="0" readingOrder="0"/>
    </dxf>
    <dxf>
      <numFmt numFmtId="165" formatCode="0.0"/>
      <alignment horizontal="general" vertical="center" textRotation="0" wrapText="1" indent="0" justifyLastLine="0" shrinkToFit="0" readingOrder="0"/>
    </dxf>
    <dxf>
      <numFmt numFmtId="165" formatCode="0.0"/>
      <alignment horizontal="general" vertical="center" textRotation="0" wrapText="1" indent="0" justifyLastLine="0" shrinkToFit="0" readingOrder="0"/>
    </dxf>
    <dxf>
      <numFmt numFmtId="165" formatCode="0.0"/>
      <alignment horizontal="general" vertical="center" textRotation="0" wrapText="1" indent="0" justifyLastLine="0" shrinkToFit="0" readingOrder="0"/>
    </dxf>
    <dxf>
      <alignment horizontal="general" vertical="center" textRotation="0" wrapText="1" indent="0" justifyLastLine="0" shrinkToFit="0" readingOrder="0"/>
    </dxf>
    <dxf>
      <alignment horizontal="general" vertical="center" textRotation="0" wrapText="1" indent="0" justifyLastLine="0" shrinkToFit="0" readingOrder="0"/>
    </dxf>
    <dxf>
      <alignment horizontal="general" vertical="center" textRotation="0" wrapText="1" indent="0" justifyLastLine="0" shrinkToFit="0" readingOrder="0"/>
    </dxf>
    <dxf>
      <alignment horizontal="general" vertical="center" textRotation="0" wrapText="1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center" vertical="center" textRotation="0" wrapText="1" indent="0" justifyLastLine="0" shrinkToFit="0" readingOrder="0"/>
    </dxf>
    <dxf>
      <alignment horizontal="general" vertical="center" textRotation="0" wrapText="1" indent="0" justifyLastLine="0" shrinkToFit="0" readingOrder="0"/>
    </dxf>
    <dxf>
      <alignment horizontal="general" vertical="center" textRotation="0" wrapText="1" indent="0" justifyLastLine="0" shrinkToFit="0" readingOrder="0"/>
    </dxf>
    <dxf>
      <alignment horizontal="general" vertical="center" textRotation="0" wrapText="1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center" vertical="center" textRotation="0" wrapText="1" indent="0" justifyLastLine="0" shrinkToFit="0" readingOrder="0"/>
    </dxf>
    <dxf>
      <alignment horizontal="general" vertical="center" textRotation="0" wrapText="1" indent="0" justifyLastLine="0" shrinkToFit="0" readingOrder="0"/>
    </dxf>
    <dxf>
      <alignment horizontal="general" vertical="center" textRotation="0" wrapText="1" indent="0" justifyLastLine="0" shrinkToFit="0" readingOrder="0"/>
    </dxf>
    <dxf>
      <alignment horizontal="general" vertical="center" textRotation="0" wrapText="1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center" vertical="center" textRotation="0" wrapText="1" indent="0" justifyLastLine="0" shrinkToFit="0" readingOrder="0"/>
    </dxf>
    <dxf>
      <alignment horizontal="general" vertical="center" textRotation="0" wrapText="1" indent="0" justifyLastLine="0" shrinkToFit="0" readingOrder="0"/>
    </dxf>
    <dxf>
      <numFmt numFmtId="2" formatCode="0.00"/>
      <alignment horizontal="general" vertical="center" textRotation="0" wrapText="1" indent="0" justifyLastLine="0" shrinkToFit="0" readingOrder="0"/>
    </dxf>
    <dxf>
      <alignment horizontal="general" vertical="center" textRotation="0" wrapText="1" indent="0" justifyLastLine="0" shrinkToFit="0" readingOrder="0"/>
    </dxf>
    <dxf>
      <numFmt numFmtId="2" formatCode="0.00"/>
      <alignment horizontal="general" vertical="center" textRotation="0" wrapText="1" indent="0" justifyLastLine="0" shrinkToFit="0" readingOrder="0"/>
    </dxf>
    <dxf>
      <alignment horizontal="general" vertical="center" textRotation="0" wrapText="1" indent="0" justifyLastLine="0" shrinkToFit="0" readingOrder="0"/>
    </dxf>
    <dxf>
      <numFmt numFmtId="2" formatCode="0.00"/>
      <alignment horizontal="general" vertical="center" textRotation="0" wrapText="1" indent="0" justifyLastLine="0" shrinkToFit="0" readingOrder="0"/>
    </dxf>
    <dxf>
      <alignment horizontal="general" vertical="center" textRotation="0" wrapText="1" indent="0" justifyLastLine="0" shrinkToFit="0" readingOrder="0"/>
    </dxf>
    <dxf>
      <numFmt numFmtId="2" formatCode="0.00"/>
      <alignment horizontal="general" vertical="center" textRotation="0" wrapText="1" indent="0" justifyLastLine="0" shrinkToFit="0" readingOrder="0"/>
    </dxf>
    <dxf>
      <alignment horizontal="general" vertical="center" textRotation="0" wrapText="1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center" textRotation="0" wrapText="1" indent="0" justifyLastLine="0" shrinkToFit="0" readingOrder="0"/>
    </dxf>
    <dxf>
      <alignment horizontal="general" vertical="center" textRotation="0" wrapText="1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center" vertical="center" textRotation="0" wrapText="1" indent="0" justifyLastLine="0" shrinkToFit="0" readingOrder="0"/>
    </dxf>
    <dxf>
      <numFmt numFmtId="165" formatCode="0.0"/>
    </dxf>
    <dxf>
      <numFmt numFmtId="1" formatCode="0"/>
    </dxf>
    <dxf>
      <border outline="0">
        <top style="thin">
          <color indexed="64"/>
        </top>
      </border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165" formatCode="0.0"/>
    </dxf>
    <dxf>
      <numFmt numFmtId="0" formatCode="General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medium">
          <color indexed="64"/>
        </bottom>
      </border>
    </dxf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alignment horizontal="general" vertical="center" textRotation="0" wrapText="1" indent="0" justifyLastLine="0" shrinkToFit="0" readingOrder="0"/>
    </dxf>
    <dxf>
      <alignment horizontal="general" vertical="center" textRotation="0" wrapText="1" indent="0" justifyLastLine="0" shrinkToFit="0" readingOrder="0"/>
    </dxf>
    <dxf>
      <alignment horizontal="general" vertical="center" textRotation="0" wrapText="1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center" vertical="center" textRotation="0" wrapText="1" indent="0" justifyLastLine="0" shrinkToFit="0" readingOrder="0"/>
    </dxf>
    <dxf>
      <numFmt numFmtId="2" formatCode="0.0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numFmt numFmtId="2" formatCode="0.0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numFmt numFmtId="2" formatCode="0.0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numFmt numFmtId="2" formatCode="0.0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numFmt numFmtId="2" formatCode="0.0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numFmt numFmtId="2" formatCode="0.0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numFmt numFmtId="2" formatCode="0.0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numFmt numFmtId="2" formatCode="0.0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border diagonalUp="0" diagonalDown="0">
        <left/>
        <right style="thin">
          <color indexed="64"/>
        </right>
        <top style="thin">
          <color indexed="64"/>
        </top>
        <bottom/>
        <vertical/>
        <horizontal/>
      </border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2" formatCode="0.0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numFmt numFmtId="2" formatCode="0.0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numFmt numFmtId="2" formatCode="0.0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numFmt numFmtId="2" formatCode="0.0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numFmt numFmtId="2" formatCode="0.0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numFmt numFmtId="2" formatCode="0.0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numFmt numFmtId="2" formatCode="0.0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numFmt numFmtId="2" formatCode="0.0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numFmt numFmtId="2" formatCode="0.0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border diagonalUp="0" diagonalDown="0">
        <left/>
        <right style="thin">
          <color indexed="64"/>
        </right>
        <top style="thin">
          <color indexed="64"/>
        </top>
        <bottom/>
        <vertical/>
        <horizontal/>
      </border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2" formatCode="0.0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numFmt numFmtId="2" formatCode="0.0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numFmt numFmtId="2" formatCode="0.0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numFmt numFmtId="2" formatCode="0.0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numFmt numFmtId="2" formatCode="0.0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numFmt numFmtId="2" formatCode="0.0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numFmt numFmtId="2" formatCode="0.0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numFmt numFmtId="2" formatCode="0.0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numFmt numFmtId="2" formatCode="0.0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border diagonalUp="0" diagonalDown="0">
        <left/>
        <right style="thin">
          <color indexed="64"/>
        </right>
        <top style="thin">
          <color indexed="64"/>
        </top>
        <bottom/>
        <vertical/>
        <horizontal/>
      </border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2" formatCode="0.0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numFmt numFmtId="2" formatCode="0.0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numFmt numFmtId="2" formatCode="0.0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numFmt numFmtId="2" formatCode="0.0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numFmt numFmtId="2" formatCode="0.0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numFmt numFmtId="2" formatCode="0.0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numFmt numFmtId="2" formatCode="0.0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numFmt numFmtId="2" formatCode="0.0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numFmt numFmtId="2" formatCode="0.0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border diagonalUp="0" diagonalDown="0">
        <left/>
        <right style="thin">
          <color indexed="64"/>
        </right>
        <top style="thin">
          <color indexed="64"/>
        </top>
        <bottom/>
        <vertical/>
        <horizontal/>
      </border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2" formatCode="0.0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numFmt numFmtId="2" formatCode="0.0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numFmt numFmtId="2" formatCode="0.0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numFmt numFmtId="2" formatCode="0.0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numFmt numFmtId="2" formatCode="0.0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numFmt numFmtId="2" formatCode="0.0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numFmt numFmtId="2" formatCode="0.0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numFmt numFmtId="2" formatCode="0.0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numFmt numFmtId="2" formatCode="0.0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border diagonalUp="0" diagonalDown="0">
        <left/>
        <right style="thin">
          <color indexed="64"/>
        </right>
        <top style="thin">
          <color indexed="64"/>
        </top>
        <bottom/>
        <vertical/>
        <horizontal/>
      </border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medium">
          <color indexed="64"/>
        </top>
        <bottom style="thin">
          <color indexed="64"/>
        </bottom>
      </border>
    </dxf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2" formatCode="0.0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numFmt numFmtId="2" formatCode="0.0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numFmt numFmtId="2" formatCode="0.0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numFmt numFmtId="176" formatCode="0.0000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numFmt numFmtId="2" formatCode="0.0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numFmt numFmtId="176" formatCode="0.0000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numFmt numFmtId="2" formatCode="0.0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numFmt numFmtId="2" formatCode="0.0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numFmt numFmtId="2" formatCode="0.0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border diagonalUp="0" diagonalDown="0">
        <left/>
        <right style="thin">
          <color indexed="64"/>
        </right>
        <top style="thin">
          <color indexed="64"/>
        </top>
        <bottom/>
        <vertical/>
        <horizontal/>
      </border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numFmt numFmtId="176" formatCode="0.0000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numFmt numFmtId="2" formatCode="0.0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numFmt numFmtId="176" formatCode="0.0000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numFmt numFmtId="2" formatCode="0.0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border diagonalUp="0" diagonalDown="0">
        <left/>
        <right style="thin">
          <color indexed="64"/>
        </right>
        <top style="thin">
          <color indexed="64"/>
        </top>
        <bottom/>
        <vertical/>
        <horizontal/>
      </border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numFmt numFmtId="175" formatCode="0.000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numFmt numFmtId="2" formatCode="0.0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numFmt numFmtId="175" formatCode="0.000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numFmt numFmtId="2" formatCode="0.0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numFmt numFmtId="175" formatCode="0.000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numFmt numFmtId="2" formatCode="0.0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numFmt numFmtId="2" formatCode="0.0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numFmt numFmtId="2" formatCode="0.0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border diagonalUp="0" diagonalDown="0">
        <left/>
        <right style="thin">
          <color indexed="64"/>
        </right>
        <top style="thin">
          <color indexed="64"/>
        </top>
        <bottom/>
        <vertical/>
        <horizontal/>
      </border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numFmt numFmtId="175" formatCode="0.000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numFmt numFmtId="176" formatCode="0.0000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numFmt numFmtId="2" formatCode="0.0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numFmt numFmtId="2" formatCode="0.0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numFmt numFmtId="2" formatCode="0.0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numFmt numFmtId="2" formatCode="0.0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numFmt numFmtId="2" formatCode="0.0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numFmt numFmtId="2" formatCode="0.0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>
        <left/>
        <right style="thin">
          <color indexed="64"/>
        </right>
        <top style="thin">
          <color indexed="64"/>
        </top>
        <bottom/>
        <vertical/>
        <horizontal/>
      </border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numFmt numFmtId="175" formatCode="0.000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numFmt numFmtId="175" formatCode="0.000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numFmt numFmtId="2" formatCode="0.0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numFmt numFmtId="2" formatCode="0.0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numFmt numFmtId="175" formatCode="0.000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numFmt numFmtId="2" formatCode="0.0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numFmt numFmtId="2" formatCode="0.0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numFmt numFmtId="2" formatCode="0.0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border diagonalUp="0" diagonalDown="0">
        <left/>
        <right style="thin">
          <color indexed="64"/>
        </right>
        <top style="thin">
          <color indexed="64"/>
        </top>
        <bottom/>
        <vertical/>
        <horizontal/>
      </border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medium">
          <color indexed="64"/>
        </top>
        <bottom style="thin">
          <color indexed="64"/>
        </bottom>
      </border>
    </dxf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numFmt numFmtId="2" formatCode="0.0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  <vertical/>
        <horizontal/>
      </border>
    </dxf>
    <dxf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bottom style="thin">
          <color indexed="64"/>
        </bottom>
      </border>
    </dxf>
    <dxf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numFmt numFmtId="2" formatCode="0.0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  <vertical/>
        <horizontal/>
      </border>
    </dxf>
    <dxf>
      <numFmt numFmtId="2" formatCode="0.0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bottom style="thin">
          <color indexed="64"/>
        </bottom>
      </border>
    </dxf>
    <dxf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numFmt numFmtId="2" formatCode="0.0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  <vertical/>
        <horizontal/>
      </border>
    </dxf>
    <dxf>
      <numFmt numFmtId="2" formatCode="0.0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bottom style="thin">
          <color indexed="64"/>
        </bottom>
      </border>
    </dxf>
    <dxf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numFmt numFmtId="2" formatCode="0.0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  <vertical/>
        <horizontal/>
      </border>
    </dxf>
    <dxf>
      <numFmt numFmtId="2" formatCode="0.0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bottom style="thin">
          <color indexed="64"/>
        </bottom>
      </border>
    </dxf>
    <dxf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numFmt numFmtId="2" formatCode="0.0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 style="thin">
          <color indexed="64"/>
        </bottom>
        <vertical/>
        <horizontal/>
      </border>
    </dxf>
    <dxf>
      <numFmt numFmtId="2" formatCode="0.0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outline="0">
        <left style="thin">
          <color indexed="64"/>
        </left>
        <right style="thin">
          <color indexed="64"/>
        </right>
        <top style="medium">
          <color indexed="64"/>
        </top>
        <bottom style="thin">
          <color indexed="64"/>
        </bottom>
      </border>
    </dxf>
    <dxf>
      <border outline="0">
        <bottom style="thin">
          <color indexed="64"/>
        </bottom>
      </border>
    </dxf>
    <dxf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numFmt numFmtId="0" formatCode="General"/>
      <alignment horizontal="general" vertical="center" textRotation="0" wrapText="1" indent="0" justifyLastLine="0" shrinkToFit="0" readingOrder="0"/>
    </dxf>
    <dxf>
      <numFmt numFmtId="0" formatCode="General"/>
      <alignment horizontal="general" vertical="center" textRotation="0" wrapText="1" indent="0" justifyLastLine="0" shrinkToFit="0" readingOrder="0"/>
    </dxf>
    <dxf>
      <numFmt numFmtId="0" formatCode="General"/>
      <alignment horizontal="general" vertical="center" textRotation="0" wrapText="1" indent="0" justifyLastLine="0" shrinkToFit="0" readingOrder="0"/>
    </dxf>
    <dxf>
      <alignment horizontal="general" vertical="center" textRotation="0" wrapText="1" indent="0" justifyLastLine="0" shrinkToFit="0" readingOrder="0"/>
    </dxf>
    <dxf>
      <alignment horizontal="general" vertical="center" textRotation="0" wrapText="1" indent="0" justifyLastLine="0" shrinkToFit="0" readingOrder="0"/>
    </dxf>
    <dxf>
      <alignment horizontal="general" vertical="center" textRotation="0" wrapText="1" indent="0" justifyLastLine="0" shrinkToFit="0" readingOrder="0"/>
    </dxf>
    <dxf>
      <alignment horizontal="general" vertical="center" textRotation="0" wrapText="1" indent="0" justifyLastLine="0" shrinkToFit="0" readingOrder="0"/>
    </dxf>
    <dxf>
      <alignment horizontal="general" vertical="center" textRotation="0" wrapText="1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center" vertical="center" textRotation="0" wrapText="1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2" tint="-9.9978637043366805E-2"/>
        </patternFill>
      </fill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2" tint="-9.9978637043366805E-2"/>
        </patternFill>
      </fill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2" tint="-9.9978637043366805E-2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2"/>
        </patternFill>
      </fill>
      <border diagonalUp="0" diagonalDown="0">
        <left/>
        <right style="medium">
          <color auto="1"/>
        </right>
        <top/>
        <bottom/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2"/>
        </patternFill>
      </fill>
      <border diagonalUp="0" diagonalDown="0">
        <left style="medium">
          <color auto="1"/>
        </left>
        <right/>
        <top/>
        <bottom/>
        <vertical/>
        <horizontal/>
      </border>
    </dxf>
    <dxf>
      <border outline="0">
        <top style="thin">
          <color indexed="64"/>
        </top>
        <bottom style="medium">
          <color indexed="64"/>
        </bottom>
      </border>
    </dxf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2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2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2"/>
        </patternFill>
      </fill>
    </dxf>
    <dxf>
      <border outline="0">
        <left style="medium">
          <color indexed="64"/>
        </left>
        <right style="medium">
          <color indexed="64"/>
        </right>
        <bottom style="medium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2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2"/>
        </patternFill>
      </fill>
    </dxf>
    <dxf>
      <border outline="0">
        <bottom style="thin">
          <color theme="9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9" tint="-0.249977111117893"/>
        <name val="Calibri"/>
        <family val="2"/>
        <scheme val="minor"/>
      </font>
    </dxf>
    <dxf>
      <border outline="0">
        <top style="thin">
          <color theme="9"/>
        </top>
      </border>
    </dxf>
    <dxf>
      <border outline="0">
        <bottom style="thin">
          <color theme="9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9" tint="-0.249977111117893"/>
        <name val="Calibri"/>
        <family val="2"/>
        <scheme val="minor"/>
      </font>
    </dxf>
    <dxf>
      <numFmt numFmtId="0" formatCode="General"/>
    </dxf>
    <dxf>
      <numFmt numFmtId="2" formatCode="0.00"/>
    </dxf>
    <dxf>
      <border outline="0">
        <top style="medium">
          <color indexed="64"/>
        </top>
      </border>
    </dxf>
    <dxf>
      <numFmt numFmtId="0" formatCode="General"/>
    </dxf>
    <dxf>
      <numFmt numFmtId="2" formatCode="0.00"/>
    </dxf>
    <dxf>
      <numFmt numFmtId="2" formatCode="0.00"/>
    </dxf>
    <dxf>
      <border outline="0">
        <top style="medium">
          <color indexed="64"/>
        </top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</dxfs>
  <tableStyles count="0" defaultTableStyle="TableStyleMedium2" defaultPivotStyle="PivotStyleLight16"/>
  <colors>
    <mruColors>
      <color rgb="FFF3F1C3"/>
      <color rgb="FF000000"/>
      <color rgb="FF99CCFF"/>
      <color rgb="FF2D6800"/>
      <color rgb="FF4BB000"/>
      <color rgb="FF2075C2"/>
      <color rgb="FF0066FF"/>
      <color rgb="FFFFFFFF"/>
      <color rgb="FF4D4D4D"/>
      <color rgb="FFAC00A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microsoft.com/office/2006/relationships/vbaProject" Target="vbaProject.bin"/><Relationship Id="rId3" Type="http://schemas.openxmlformats.org/officeDocument/2006/relationships/worksheet" Target="worksheets/sheet3.xml"/><Relationship Id="rId21" Type="http://schemas.openxmlformats.org/officeDocument/2006/relationships/sharedStrings" Target="sharedString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customXml" Target="../customXml/item3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customXml" Target="../customXml/item2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customXml" Target="../customXml/item1.xml"/><Relationship Id="rId10" Type="http://schemas.openxmlformats.org/officeDocument/2006/relationships/worksheet" Target="worksheets/sheet10.xml"/><Relationship Id="rId19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calcChain" Target="calcChain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12.xml"/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13.xml"/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IN" baseline="0"/>
              <a:t>Annual Production Costs $/MT Product</a:t>
            </a:r>
            <a:endParaRPr lang="en-IN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IN"/>
        </a:p>
      </c:txPr>
    </c:title>
    <c:autoTitleDeleted val="0"/>
    <c:view3D>
      <c:rotX val="30"/>
      <c:rotY val="0"/>
      <c:depthPercent val="100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pie3DChart>
        <c:varyColors val="1"/>
        <c:ser>
          <c:idx val="1"/>
          <c:order val="0"/>
          <c:dPt>
            <c:idx val="0"/>
            <c:bubble3D val="0"/>
            <c:spPr>
              <a:solidFill>
                <a:schemeClr val="accent1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1-B7A5-4398-B478-3BF968DDCA40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3-B7A5-4398-B478-3BF968DDCA40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5-B7A5-4398-B478-3BF968DDCA40}"/>
              </c:ext>
            </c:extLst>
          </c:dPt>
          <c:dLbls>
            <c:numFmt formatCode="[$$-409]#,###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bestFit"/>
            <c:showLegendKey val="0"/>
            <c:showVal val="1"/>
            <c:showCatName val="0"/>
            <c:showSerName val="0"/>
            <c:showPercent val="0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'Economic Results'!$I$5:$I$7</c:f>
              <c:strCache>
                <c:ptCount val="3"/>
                <c:pt idx="0">
                  <c:v>CAPEX</c:v>
                </c:pt>
                <c:pt idx="1">
                  <c:v>OPEX</c:v>
                </c:pt>
                <c:pt idx="2">
                  <c:v>Storage</c:v>
                </c:pt>
              </c:strCache>
            </c:strRef>
          </c:cat>
          <c:val>
            <c:numRef>
              <c:f>'Economic Results'!$K$5:$K$7</c:f>
              <c:numCache>
                <c:formatCode>0</c:formatCode>
                <c:ptCount val="3"/>
                <c:pt idx="0">
                  <c:v>123.86196958217307</c:v>
                </c:pt>
                <c:pt idx="1">
                  <c:v>1813.4430778470157</c:v>
                </c:pt>
                <c:pt idx="2" formatCode="General">
                  <c:v>199.99999999999997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F240-4A1A-8BB9-467263BEF4D0}"/>
            </c:ext>
          </c:extLst>
        </c:ser>
        <c:dLbls>
          <c:dLblPos val="bestFit"/>
          <c:showLegendKey val="0"/>
          <c:showVal val="1"/>
          <c:showCatName val="0"/>
          <c:showSerName val="0"/>
          <c:showPercent val="0"/>
          <c:showBubbleSize val="0"/>
          <c:showLeaderLines val="1"/>
        </c:dLbls>
      </c:pie3DChart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rgbClr val="F3F1C3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8"/>
    </mc:Choice>
    <mc:Fallback>
      <c:style val="8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800" b="1" i="0" u="none" strike="noStrike" kern="1200" cap="all" spc="150" baseline="0">
                <a:solidFill>
                  <a:schemeClr val="tx1">
                    <a:lumMod val="50000"/>
                    <a:lumOff val="50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 </a:t>
            </a:r>
            <a:r>
              <a:rPr lang="en-US">
                <a:latin typeface="+mj-lt"/>
              </a:rPr>
              <a:t>NPV Chart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1" i="0" u="none" strike="noStrike" kern="1200" cap="all" spc="150" baseline="0">
              <a:solidFill>
                <a:schemeClr val="tx1">
                  <a:lumMod val="50000"/>
                  <a:lumOff val="50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'Economic Results'!$E$28</c:f>
              <c:strCache>
                <c:ptCount val="1"/>
                <c:pt idx="0">
                  <c:v>Cumulative Present Value MM $</c:v>
                </c:pt>
              </c:strCache>
            </c:strRef>
          </c:tx>
          <c:spPr>
            <a:pattFill prst="narHorz">
              <a:fgClr>
                <a:schemeClr val="accent6"/>
              </a:fgClr>
              <a:bgClr>
                <a:schemeClr val="accent6">
                  <a:lumMod val="20000"/>
                  <a:lumOff val="80000"/>
                </a:schemeClr>
              </a:bgClr>
            </a:pattFill>
            <a:ln>
              <a:noFill/>
            </a:ln>
            <a:effectLst>
              <a:innerShdw blurRad="114300">
                <a:schemeClr val="accent6"/>
              </a:innerShd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numRef>
              <c:f>'Economic Results'!$A$29:$A$49</c:f>
              <c:numCache>
                <c:formatCode>General</c:formatCode>
                <c:ptCount val="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</c:numCache>
            </c:numRef>
          </c:cat>
          <c:val>
            <c:numRef>
              <c:f>'Economic Results'!$E$29:$E$49</c:f>
              <c:numCache>
                <c:formatCode>0</c:formatCode>
                <c:ptCount val="21"/>
                <c:pt idx="0">
                  <c:v>-106.37557387645454</c:v>
                </c:pt>
                <c:pt idx="1">
                  <c:v>-92.244186284823726</c:v>
                </c:pt>
                <c:pt idx="2">
                  <c:v>-78.912688556870137</c:v>
                </c:pt>
                <c:pt idx="3">
                  <c:v>-66.335803907857311</c:v>
                </c:pt>
                <c:pt idx="4">
                  <c:v>-54.47081838992068</c:v>
                </c:pt>
                <c:pt idx="5">
                  <c:v>-43.277435825829528</c:v>
                </c:pt>
                <c:pt idx="6">
                  <c:v>-32.717640954045422</c:v>
                </c:pt>
                <c:pt idx="7">
                  <c:v>-22.755570320286829</c:v>
                </c:pt>
                <c:pt idx="8">
                  <c:v>-13.357390477118345</c:v>
                </c:pt>
                <c:pt idx="9">
                  <c:v>-4.4911830779027948</c:v>
                </c:pt>
                <c:pt idx="10">
                  <c:v>3.8731635251307424</c:v>
                </c:pt>
                <c:pt idx="11">
                  <c:v>11.764056546860495</c:v>
                </c:pt>
                <c:pt idx="12">
                  <c:v>19.208295246605545</c:v>
                </c:pt>
                <c:pt idx="13">
                  <c:v>26.231161944478231</c:v>
                </c:pt>
                <c:pt idx="14">
                  <c:v>32.856507885867558</c:v>
                </c:pt>
                <c:pt idx="15">
                  <c:v>39.106834245668807</c:v>
                </c:pt>
                <c:pt idx="16">
                  <c:v>45.003368547368105</c:v>
                </c:pt>
                <c:pt idx="17">
                  <c:v>50.566136756518382</c:v>
                </c:pt>
                <c:pt idx="18">
                  <c:v>55.814031293452608</c:v>
                </c:pt>
                <c:pt idx="19">
                  <c:v>60.764875196220743</c:v>
                </c:pt>
                <c:pt idx="20">
                  <c:v>70.410743665647132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367-4C6D-8F29-BD783BBC2340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164"/>
        <c:overlap val="-22"/>
        <c:axId val="1907468672"/>
        <c:axId val="1907465792"/>
      </c:barChart>
      <c:catAx>
        <c:axId val="1907468672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IN"/>
                  <a:t>Year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1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19050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907465792"/>
        <c:crosses val="autoZero"/>
        <c:auto val="1"/>
        <c:lblAlgn val="ctr"/>
        <c:lblOffset val="100"/>
        <c:noMultiLvlLbl val="0"/>
      </c:catAx>
      <c:valAx>
        <c:axId val="1907465792"/>
        <c:scaling>
          <c:orientation val="minMax"/>
        </c:scaling>
        <c:delete val="0"/>
        <c:axPos val="l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IN"/>
                  <a:t>Cumulative Cash Flow MM $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900" b="1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9074686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800" b="1" i="0" u="none" strike="noStrike" kern="1200" cap="all" spc="5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IN"/>
              <a:t>ROI Sensitivity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1" i="0" u="none" strike="noStrike" kern="1200" cap="all" spc="5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bar"/>
        <c:grouping val="clustered"/>
        <c:varyColors val="0"/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gapWidth val="50"/>
        <c:axId val="2029570640"/>
        <c:axId val="2029575920"/>
        <c:extLst>
          <c:ext xmlns:c15="http://schemas.microsoft.com/office/drawing/2012/chart" uri="{02D57815-91ED-43cb-92C2-25804820EDAC}">
            <c15:filteredBarSeries>
              <c15:ser>
                <c:idx val="0"/>
                <c:order val="0"/>
                <c:spPr>
                  <a:solidFill>
                    <a:schemeClr val="accent4">
                      <a:lumMod val="20000"/>
                      <a:lumOff val="80000"/>
                    </a:schemeClr>
                  </a:solidFill>
                  <a:ln>
                    <a:noFill/>
                  </a:ln>
                  <a:effectLst/>
                </c:spPr>
                <c:invertIfNegative val="0"/>
                <c:dLbls>
                  <c:delete val="1"/>
                </c:dLbls>
                <c:cat>
                  <c:numRef>
                    <c:extLst>
                      <c:ext uri="{02D57815-91ED-43cb-92C2-25804820EDAC}">
                        <c15:formulaRef>
                          <c15:sqref>'Economic Results'!$U$2:$U$8</c15:sqref>
                        </c15:formulaRef>
                      </c:ext>
                    </c:extLst>
                    <c:numCache>
                      <c:formatCode>0%</c:formatCode>
                      <c:ptCount val="7"/>
                      <c:pt idx="0">
                        <c:v>-0.5</c:v>
                      </c:pt>
                      <c:pt idx="1">
                        <c:v>-0.25</c:v>
                      </c:pt>
                      <c:pt idx="2">
                        <c:v>0</c:v>
                      </c:pt>
                      <c:pt idx="3">
                        <c:v>0.25</c:v>
                      </c:pt>
                      <c:pt idx="4">
                        <c:v>0.5</c:v>
                      </c:pt>
                      <c:pt idx="5">
                        <c:v>0.75</c:v>
                      </c:pt>
                      <c:pt idx="6">
                        <c:v>1</c:v>
                      </c:pt>
                    </c:numCache>
                  </c:numRef>
                </c:cat>
                <c:val>
                  <c:numRef>
                    <c:extLst>
                      <c:ext uri="{02D57815-91ED-43cb-92C2-25804820EDAC}">
                        <c15:formulaRef>
                          <c15:sqref>'Economic Results'!$Y$2:$Y$8</c15:sqref>
                        </c15:formulaRef>
                      </c:ext>
                    </c:extLst>
                    <c:numCache>
                      <c:formatCode>0.00</c:formatCode>
                      <c:ptCount val="7"/>
                      <c:pt idx="0">
                        <c:v>-40.27705010391314</c:v>
                      </c:pt>
                      <c:pt idx="1">
                        <c:v>-18.831807395756641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0</c:v>
                      </c:pt>
                      <c:pt idx="5">
                        <c:v>0</c:v>
                      </c:pt>
                      <c:pt idx="6">
                        <c:v>0</c:v>
                      </c:pt>
                    </c:numCache>
                  </c:numRef>
                </c:val>
                <c:extLst>
                  <c:ext xmlns:c16="http://schemas.microsoft.com/office/drawing/2014/chart" uri="{C3380CC4-5D6E-409C-BE32-E72D297353CC}">
                    <c16:uniqueId val="{00000000-2B05-44B5-AEF1-98D17371B72C}"/>
                  </c:ext>
                </c:extLst>
              </c15:ser>
            </c15:filteredBarSeries>
            <c15:filteredBarSeries>
              <c15:ser>
                <c:idx val="1"/>
                <c:order val="1"/>
                <c:spPr>
                  <a:solidFill>
                    <a:schemeClr val="accent6">
                      <a:lumMod val="40000"/>
                      <a:lumOff val="60000"/>
                    </a:schemeClr>
                  </a:solidFill>
                  <a:ln>
                    <a:noFill/>
                  </a:ln>
                  <a:effectLst/>
                </c:spPr>
                <c:invertIfNegative val="0"/>
                <c:dLbls>
                  <c:delete val="1"/>
                </c:dLbls>
                <c:cat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'Economic Results'!$U$2:$U$8</c15:sqref>
                        </c15:formulaRef>
                      </c:ext>
                    </c:extLst>
                    <c:numCache>
                      <c:formatCode>0%</c:formatCode>
                      <c:ptCount val="7"/>
                      <c:pt idx="0">
                        <c:v>-0.5</c:v>
                      </c:pt>
                      <c:pt idx="1">
                        <c:v>-0.25</c:v>
                      </c:pt>
                      <c:pt idx="2">
                        <c:v>0</c:v>
                      </c:pt>
                      <c:pt idx="3">
                        <c:v>0.25</c:v>
                      </c:pt>
                      <c:pt idx="4">
                        <c:v>0.5</c:v>
                      </c:pt>
                      <c:pt idx="5">
                        <c:v>0.75</c:v>
                      </c:pt>
                      <c:pt idx="6">
                        <c:v>1</c:v>
                      </c:pt>
                    </c:numCache>
                  </c:num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'Economic Results'!$Z$2:$Z$8</c15:sqref>
                        </c15:formulaRef>
                      </c:ext>
                    </c:extLst>
                    <c:numCache>
                      <c:formatCode>0.00</c:formatCode>
                      <c:ptCount val="7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16.941741739443636</c:v>
                      </c:pt>
                      <c:pt idx="4">
                        <c:v>33.883483478887271</c:v>
                      </c:pt>
                      <c:pt idx="5">
                        <c:v>50.825225218330914</c:v>
                      </c:pt>
                      <c:pt idx="6">
                        <c:v>67.766966957774557</c:v>
                      </c:pt>
                    </c:numCache>
                  </c:numRef>
                </c:val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1-2B05-44B5-AEF1-98D17371B72C}"/>
                  </c:ext>
                </c:extLst>
              </c15:ser>
            </c15:filteredBarSeries>
            <c15:filteredBarSeries>
              <c15:ser>
                <c:idx val="2"/>
                <c:order val="2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'Economic Results'!$W$2:$W$8</c15:sqref>
                        </c15:formulaRef>
                      </c:ext>
                    </c:extLst>
                    <c:strCache>
                      <c:ptCount val="7"/>
                      <c:pt idx="0">
                        <c:v>-26.20</c:v>
                      </c:pt>
                      <c:pt idx="1">
                        <c:v>-4.75</c:v>
                      </c:pt>
                      <c:pt idx="2">
                        <c:v>14.08</c:v>
                      </c:pt>
                      <c:pt idx="3">
                        <c:v>31.02</c:v>
                      </c:pt>
                      <c:pt idx="4">
                        <c:v>47.96</c:v>
                      </c:pt>
                      <c:pt idx="5">
                        <c:v>64.91</c:v>
                      </c:pt>
                      <c:pt idx="6">
                        <c:v>81.85</c:v>
                      </c:pt>
                    </c:strCache>
                  </c:strRef>
                </c:tx>
                <c:spPr>
                  <a:solidFill>
                    <a:schemeClr val="accent5">
                      <a:alpha val="70000"/>
                    </a:schemeClr>
                  </a:solidFill>
                  <a:ln>
                    <a:noFill/>
                  </a:ln>
                  <a:effectLst/>
                </c:spPr>
                <c:invertIfNegative val="0"/>
                <c:dLbls>
                  <c:spPr>
                    <a:noFill/>
                    <a:ln>
                      <a:noFill/>
                    </a:ln>
                    <a:effectLst/>
                  </c:spPr>
                  <c:txPr>
                    <a:bodyPr rot="0" spcFirstLastPara="1" vertOverflow="ellipsis" vert="horz" wrap="square" lIns="38100" tIns="19050" rIns="38100" bIns="19050" anchor="ctr" anchorCtr="1">
                      <a:spAutoFit/>
                    </a:bodyPr>
                    <a:lstStyle/>
                    <a:p>
                      <a:pPr>
                        <a:defRPr sz="900" b="0" i="0" u="none" strike="noStrike" kern="1200" baseline="0">
                          <a:solidFill>
                            <a:schemeClr val="tx1">
                              <a:lumMod val="75000"/>
                              <a:lumOff val="25000"/>
                            </a:schemeClr>
                          </a:solidFill>
                          <a:latin typeface="+mn-lt"/>
                          <a:ea typeface="+mn-ea"/>
                          <a:cs typeface="+mn-cs"/>
                        </a:defRPr>
                      </a:pPr>
                      <a:endParaRPr lang="en-US"/>
                    </a:p>
                  </c:txPr>
                  <c:dLblPos val="ctr"/>
                  <c:showLegendKey val="0"/>
                  <c:showVal val="1"/>
                  <c:showCatName val="0"/>
                  <c:showSerName val="0"/>
                  <c:showPercent val="0"/>
                  <c:showBubbleSize val="0"/>
                  <c:showLeaderLines val="0"/>
                  <c:extLst xmlns:c15="http://schemas.microsoft.com/office/drawing/2012/chart">
                    <c:ext xmlns:c15="http://schemas.microsoft.com/office/drawing/2012/chart" uri="{CE6537A1-D6FC-4f65-9D91-7224C49458BB}">
                      <c15:showLeaderLines val="1"/>
                      <c15:leaderLines>
                        <c:spPr>
                          <a:ln w="9525">
                            <a:solidFill>
                              <a:schemeClr val="tx1">
                                <a:lumMod val="35000"/>
                                <a:lumOff val="65000"/>
                              </a:schemeClr>
                            </a:solidFill>
                          </a:ln>
                          <a:effectLst/>
                        </c:spPr>
                      </c15:leaderLines>
                    </c:ext>
                  </c:extLst>
                </c:dLbls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'Economic Results'!$W$2:$W$8</c15:sqref>
                        </c15:formulaRef>
                      </c:ext>
                    </c:extLst>
                    <c:numCache>
                      <c:formatCode>0.00</c:formatCode>
                      <c:ptCount val="7"/>
                      <c:pt idx="0">
                        <c:v>-26.195555357266031</c:v>
                      </c:pt>
                      <c:pt idx="1">
                        <c:v>-4.750312649109528</c:v>
                      </c:pt>
                      <c:pt idx="2">
                        <c:v>14.081494746647111</c:v>
                      </c:pt>
                      <c:pt idx="3">
                        <c:v>31.023236486090749</c:v>
                      </c:pt>
                      <c:pt idx="4">
                        <c:v>47.964978225534381</c:v>
                      </c:pt>
                      <c:pt idx="5">
                        <c:v>64.906719964978024</c:v>
                      </c:pt>
                      <c:pt idx="6">
                        <c:v>81.848461704421666</c:v>
                      </c:pt>
                    </c:numCache>
                  </c:numRef>
                </c:val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0-F1FC-4B92-A8F8-002F467F7578}"/>
                  </c:ext>
                </c:extLst>
              </c15:ser>
            </c15:filteredBarSeries>
          </c:ext>
        </c:extLst>
      </c:barChart>
      <c:catAx>
        <c:axId val="2029570640"/>
        <c:scaling>
          <c:orientation val="minMax"/>
        </c:scaling>
        <c:delete val="0"/>
        <c:axPos val="l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0" i="0" u="none" strike="noStrike" kern="1200" cap="all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IN"/>
                  <a:t>% Change in Sale Price of Product</a:t>
                </a:r>
              </a:p>
            </c:rich>
          </c:tx>
          <c:layout>
            <c:manualLayout>
              <c:xMode val="edge"/>
              <c:yMode val="edge"/>
              <c:x val="3.2916211252630244E-2"/>
              <c:y val="0.1150614626409109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900" b="0" i="0" u="none" strike="noStrike" kern="1200" cap="all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%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  <a:headEnd type="none" w="sm" len="sm"/>
            <a:tailEnd type="none" w="sm" len="sm"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29575920"/>
        <c:crosses val="autoZero"/>
        <c:auto val="1"/>
        <c:lblAlgn val="ctr"/>
        <c:lblOffset val="100"/>
        <c:noMultiLvlLbl val="0"/>
      </c:catAx>
      <c:valAx>
        <c:axId val="2029575920"/>
        <c:scaling>
          <c:orientation val="minMax"/>
        </c:scaling>
        <c:delete val="0"/>
        <c:axPos val="b"/>
        <c:majorGridlines>
          <c:spPr>
            <a:ln w="9525" cap="flat" cmpd="sng" algn="ctr">
              <a:gradFill>
                <a:gsLst>
                  <a:gs pos="0">
                    <a:schemeClr val="tx1">
                      <a:lumMod val="5000"/>
                      <a:lumOff val="95000"/>
                    </a:schemeClr>
                  </a:gs>
                  <a:gs pos="100000">
                    <a:schemeClr val="tx1">
                      <a:lumMod val="15000"/>
                      <a:lumOff val="85000"/>
                    </a:schemeClr>
                  </a:gs>
                </a:gsLst>
                <a:lin ang="5400000" scaled="0"/>
              </a:gra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900" b="0" i="0" u="none" strike="noStrike" kern="1200" cap="all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IN"/>
                  <a:t>% Change in ROI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0" i="0" u="none" strike="noStrike" kern="1200" cap="all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##,##0&quot;%&quot;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2957064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IN"/>
              <a:t>NPV</a:t>
            </a:r>
            <a:r>
              <a:rPr lang="en-IN" baseline="0"/>
              <a:t> Sensitivity</a:t>
            </a:r>
            <a:endParaRPr lang="en-IN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IN"/>
        </a:p>
      </c:txPr>
    </c:title>
    <c:autoTitleDeleted val="0"/>
    <c:plotArea>
      <c:layout/>
      <c:barChart>
        <c:barDir val="bar"/>
        <c:grouping val="clustered"/>
        <c:varyColors val="0"/>
        <c:ser>
          <c:idx val="0"/>
          <c:order val="0"/>
          <c:spPr>
            <a:gradFill flip="none" rotWithShape="1">
              <a:gsLst>
                <a:gs pos="14000">
                  <a:schemeClr val="accent3">
                    <a:lumMod val="75000"/>
                  </a:schemeClr>
                </a:gs>
                <a:gs pos="36000">
                  <a:schemeClr val="accent5">
                    <a:lumMod val="50000"/>
                    <a:alpha val="34000"/>
                  </a:schemeClr>
                </a:gs>
                <a:gs pos="50000">
                  <a:schemeClr val="accent1">
                    <a:tint val="44500"/>
                    <a:satMod val="160000"/>
                  </a:schemeClr>
                </a:gs>
                <a:gs pos="100000">
                  <a:schemeClr val="accent1">
                    <a:tint val="23500"/>
                    <a:satMod val="160000"/>
                  </a:schemeClr>
                </a:gs>
              </a:gsLst>
              <a:lin ang="5400000" scaled="1"/>
              <a:tileRect/>
            </a:gradFill>
            <a:ln>
              <a:noFill/>
            </a:ln>
            <a:effectLst/>
          </c:spPr>
          <c:invertIfNegative val="0"/>
          <c:cat>
            <c:numRef>
              <c:f>'Economic Results'!$A$52:$A$62</c:f>
              <c:numCache>
                <c:formatCode>0%</c:formatCode>
                <c:ptCount val="11"/>
                <c:pt idx="0">
                  <c:v>-0.5</c:v>
                </c:pt>
                <c:pt idx="1">
                  <c:v>-0.4</c:v>
                </c:pt>
                <c:pt idx="2">
                  <c:v>-0.3</c:v>
                </c:pt>
                <c:pt idx="3">
                  <c:v>-0.2</c:v>
                </c:pt>
                <c:pt idx="4">
                  <c:v>-0.1</c:v>
                </c:pt>
                <c:pt idx="5">
                  <c:v>0</c:v>
                </c:pt>
                <c:pt idx="6">
                  <c:v>0.1</c:v>
                </c:pt>
                <c:pt idx="7">
                  <c:v>0.2</c:v>
                </c:pt>
                <c:pt idx="8">
                  <c:v>0.3</c:v>
                </c:pt>
                <c:pt idx="9">
                  <c:v>0.4</c:v>
                </c:pt>
                <c:pt idx="10">
                  <c:v>0.5</c:v>
                </c:pt>
              </c:numCache>
            </c:numRef>
          </c:cat>
          <c:val>
            <c:numRef>
              <c:f>'Economic Results'!$C$52:$C$62</c:f>
              <c:numCache>
                <c:formatCode>0</c:formatCode>
                <c:ptCount val="11"/>
                <c:pt idx="0">
                  <c:v>-421.01737932086513</c:v>
                </c:pt>
                <c:pt idx="1">
                  <c:v>-316.35434820145713</c:v>
                </c:pt>
                <c:pt idx="2">
                  <c:v>-211.6913170820491</c:v>
                </c:pt>
                <c:pt idx="3">
                  <c:v>-107.02828596264106</c:v>
                </c:pt>
                <c:pt idx="4">
                  <c:v>-12.273050918685021</c:v>
                </c:pt>
                <c:pt idx="5">
                  <c:v>70.410743665647317</c:v>
                </c:pt>
                <c:pt idx="6">
                  <c:v>153.09453824997965</c:v>
                </c:pt>
                <c:pt idx="7">
                  <c:v>235.77833283431201</c:v>
                </c:pt>
                <c:pt idx="8">
                  <c:v>318.46212741864429</c:v>
                </c:pt>
                <c:pt idx="9">
                  <c:v>401.1459220029767</c:v>
                </c:pt>
                <c:pt idx="10">
                  <c:v>483.82971658730906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771-45F0-925C-84168574767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axId val="2029543280"/>
        <c:axId val="2029541360"/>
      </c:barChart>
      <c:catAx>
        <c:axId val="2029543280"/>
        <c:scaling>
          <c:orientation val="minMax"/>
        </c:scaling>
        <c:delete val="0"/>
        <c:axPos val="l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IN"/>
                  <a:t>%</a:t>
                </a:r>
                <a:r>
                  <a:rPr lang="en-IN" baseline="0"/>
                  <a:t> Change in Sale Price of Product</a:t>
                </a:r>
                <a:endParaRPr lang="en-IN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IN"/>
            </a:p>
          </c:txPr>
        </c:title>
        <c:numFmt formatCode="0%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29541360"/>
        <c:crosses val="autoZero"/>
        <c:auto val="1"/>
        <c:lblAlgn val="ctr"/>
        <c:lblOffset val="100"/>
        <c:noMultiLvlLbl val="0"/>
      </c:catAx>
      <c:valAx>
        <c:axId val="202954136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IN"/>
                  <a:t>Net</a:t>
                </a:r>
                <a:r>
                  <a:rPr lang="en-IN" baseline="0"/>
                  <a:t> Present Value (NPV) in MM $</a:t>
                </a:r>
                <a:endParaRPr lang="en-IN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IN"/>
            </a:p>
          </c:txPr>
        </c:title>
        <c:numFmt formatCode="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2954328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smoothMarker"/>
        <c:varyColors val="0"/>
        <c:ser>
          <c:idx val="0"/>
          <c:order val="0"/>
          <c:tx>
            <c:v>CAPEX</c:v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'Economic Results'!$B$68:$B$86</c:f>
              <c:numCache>
                <c:formatCode>0.0</c:formatCode>
                <c:ptCount val="19"/>
                <c:pt idx="0">
                  <c:v>41.580061090960513</c:v>
                </c:pt>
                <c:pt idx="1">
                  <c:v>64.068219446771323</c:v>
                </c:pt>
                <c:pt idx="2">
                  <c:v>82.155082522065086</c:v>
                </c:pt>
                <c:pt idx="3">
                  <c:v>97.894519272384755</c:v>
                </c:pt>
                <c:pt idx="4">
                  <c:v>112.09812079534593</c:v>
                </c:pt>
                <c:pt idx="5">
                  <c:v>125.1897251939789</c:v>
                </c:pt>
                <c:pt idx="6">
                  <c:v>137.42507376086243</c:v>
                </c:pt>
                <c:pt idx="7">
                  <c:v>148.97307710062483</c:v>
                </c:pt>
                <c:pt idx="8">
                  <c:v>159.95247808692403</c:v>
                </c:pt>
                <c:pt idx="9">
                  <c:v>170.45066601456847</c:v>
                </c:pt>
                <c:pt idx="10">
                  <c:v>180.53425618977542</c:v>
                </c:pt>
                <c:pt idx="11">
                  <c:v>190.25546228475071</c:v>
                </c:pt>
                <c:pt idx="12">
                  <c:v>199.6561463159326</c:v>
                </c:pt>
                <c:pt idx="13">
                  <c:v>208.77050626724238</c:v>
                </c:pt>
                <c:pt idx="14">
                  <c:v>217.62692419185387</c:v>
                </c:pt>
                <c:pt idx="15">
                  <c:v>226.24927547077218</c:v>
                </c:pt>
                <c:pt idx="16">
                  <c:v>234.65788015245772</c:v>
                </c:pt>
                <c:pt idx="17">
                  <c:v>242.87020948424222</c:v>
                </c:pt>
                <c:pt idx="18">
                  <c:v>250.90142070717613</c:v>
                </c:pt>
              </c:numCache>
            </c:numRef>
          </c:xVal>
          <c:yVal>
            <c:numRef>
              <c:f>'Economic Results'!$A$68:$A$86</c:f>
              <c:numCache>
                <c:formatCode>0.0</c:formatCode>
                <c:ptCount val="19"/>
                <c:pt idx="0">
                  <c:v>10000</c:v>
                </c:pt>
                <c:pt idx="1">
                  <c:v>20555.555555555555</c:v>
                </c:pt>
                <c:pt idx="2">
                  <c:v>31111.111111111109</c:v>
                </c:pt>
                <c:pt idx="3">
                  <c:v>41666.666666666664</c:v>
                </c:pt>
                <c:pt idx="4">
                  <c:v>52222.222222222219</c:v>
                </c:pt>
                <c:pt idx="5">
                  <c:v>62777.777777777774</c:v>
                </c:pt>
                <c:pt idx="6">
                  <c:v>73333.333333333328</c:v>
                </c:pt>
                <c:pt idx="7">
                  <c:v>83888.888888888876</c:v>
                </c:pt>
                <c:pt idx="8">
                  <c:v>94444.444444444438</c:v>
                </c:pt>
                <c:pt idx="9">
                  <c:v>105000</c:v>
                </c:pt>
                <c:pt idx="10">
                  <c:v>115555.55555555555</c:v>
                </c:pt>
                <c:pt idx="11">
                  <c:v>126111.11111111109</c:v>
                </c:pt>
                <c:pt idx="12">
                  <c:v>136666.66666666666</c:v>
                </c:pt>
                <c:pt idx="13">
                  <c:v>147222.22222222222</c:v>
                </c:pt>
                <c:pt idx="14">
                  <c:v>157777.77777777775</c:v>
                </c:pt>
                <c:pt idx="15">
                  <c:v>168333.33333333331</c:v>
                </c:pt>
                <c:pt idx="16">
                  <c:v>178888.88888888888</c:v>
                </c:pt>
                <c:pt idx="17">
                  <c:v>189444.44444444444</c:v>
                </c:pt>
                <c:pt idx="18">
                  <c:v>200000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A999-44ED-8A1F-24D9D33C4E3D}"/>
            </c:ext>
          </c:extLst>
        </c:ser>
        <c:ser>
          <c:idx val="2"/>
          <c:order val="2"/>
          <c:tx>
            <c:v>NPV</c:v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xVal>
            <c:numRef>
              <c:f>'Economic Results'!$D$68:$D$86</c:f>
              <c:numCache>
                <c:formatCode>0.0</c:formatCode>
                <c:ptCount val="19"/>
                <c:pt idx="0">
                  <c:v>2.4659372973593872</c:v>
                </c:pt>
                <c:pt idx="1">
                  <c:v>26.492437079497819</c:v>
                </c:pt>
                <c:pt idx="2">
                  <c:v>54.924686481282173</c:v>
                </c:pt>
                <c:pt idx="3">
                  <c:v>85.706737925247751</c:v>
                </c:pt>
                <c:pt idx="4">
                  <c:v>118.02617894148901</c:v>
                </c:pt>
                <c:pt idx="5">
                  <c:v>151.45874248083052</c:v>
                </c:pt>
                <c:pt idx="6">
                  <c:v>185.74842842723839</c:v>
                </c:pt>
                <c:pt idx="7">
                  <c:v>220.72615522979146</c:v>
                </c:pt>
                <c:pt idx="8">
                  <c:v>256.27305984088468</c:v>
                </c:pt>
                <c:pt idx="9">
                  <c:v>292.3016645232093</c:v>
                </c:pt>
                <c:pt idx="10">
                  <c:v>328.74528655240317</c:v>
                </c:pt>
                <c:pt idx="11">
                  <c:v>365.5516594133145</c:v>
                </c:pt>
                <c:pt idx="12">
                  <c:v>402.67887872297553</c:v>
                </c:pt>
                <c:pt idx="13">
                  <c:v>440.09271188732907</c:v>
                </c:pt>
                <c:pt idx="14">
                  <c:v>477.76474812909123</c:v>
                </c:pt>
                <c:pt idx="15">
                  <c:v>515.67108790413579</c:v>
                </c:pt>
                <c:pt idx="16">
                  <c:v>553.79139059905492</c:v>
                </c:pt>
                <c:pt idx="17">
                  <c:v>592.10816728471048</c:v>
                </c:pt>
                <c:pt idx="18">
                  <c:v>630.60624538013826</c:v>
                </c:pt>
              </c:numCache>
            </c:numRef>
          </c:xVal>
          <c:yVal>
            <c:numRef>
              <c:f>'Economic Results'!$A$68:$A$86</c:f>
              <c:numCache>
                <c:formatCode>0.0</c:formatCode>
                <c:ptCount val="19"/>
                <c:pt idx="0">
                  <c:v>10000</c:v>
                </c:pt>
                <c:pt idx="1">
                  <c:v>20555.555555555555</c:v>
                </c:pt>
                <c:pt idx="2">
                  <c:v>31111.111111111109</c:v>
                </c:pt>
                <c:pt idx="3">
                  <c:v>41666.666666666664</c:v>
                </c:pt>
                <c:pt idx="4">
                  <c:v>52222.222222222219</c:v>
                </c:pt>
                <c:pt idx="5">
                  <c:v>62777.777777777774</c:v>
                </c:pt>
                <c:pt idx="6">
                  <c:v>73333.333333333328</c:v>
                </c:pt>
                <c:pt idx="7">
                  <c:v>83888.888888888876</c:v>
                </c:pt>
                <c:pt idx="8">
                  <c:v>94444.444444444438</c:v>
                </c:pt>
                <c:pt idx="9">
                  <c:v>105000</c:v>
                </c:pt>
                <c:pt idx="10">
                  <c:v>115555.55555555555</c:v>
                </c:pt>
                <c:pt idx="11">
                  <c:v>126111.11111111109</c:v>
                </c:pt>
                <c:pt idx="12">
                  <c:v>136666.66666666666</c:v>
                </c:pt>
                <c:pt idx="13">
                  <c:v>147222.22222222222</c:v>
                </c:pt>
                <c:pt idx="14">
                  <c:v>157777.77777777775</c:v>
                </c:pt>
                <c:pt idx="15">
                  <c:v>168333.33333333331</c:v>
                </c:pt>
                <c:pt idx="16">
                  <c:v>178888.88888888888</c:v>
                </c:pt>
                <c:pt idx="17">
                  <c:v>189444.44444444444</c:v>
                </c:pt>
                <c:pt idx="18">
                  <c:v>200000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A999-44ED-8A1F-24D9D33C4E3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94393567"/>
        <c:axId val="1094393087"/>
      </c:scatterChart>
      <c:scatterChart>
        <c:scatterStyle val="smoothMarker"/>
        <c:varyColors val="0"/>
        <c:ser>
          <c:idx val="1"/>
          <c:order val="1"/>
          <c:tx>
            <c:v>ROI %</c:v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'Economic Results'!$C$68:$C$86</c:f>
              <c:numCache>
                <c:formatCode>0.0</c:formatCode>
                <c:ptCount val="19"/>
                <c:pt idx="0">
                  <c:v>8.7501838189580834</c:v>
                </c:pt>
                <c:pt idx="1">
                  <c:v>11.375032970964604</c:v>
                </c:pt>
                <c:pt idx="2">
                  <c:v>13.265093892591134</c:v>
                </c:pt>
                <c:pt idx="3">
                  <c:v>14.798750645003114</c:v>
                </c:pt>
                <c:pt idx="4">
                  <c:v>16.113272294701623</c:v>
                </c:pt>
                <c:pt idx="5">
                  <c:v>17.27638627842931</c:v>
                </c:pt>
                <c:pt idx="6">
                  <c:v>18.327225736376967</c:v>
                </c:pt>
                <c:pt idx="7">
                  <c:v>19.290741972183582</c:v>
                </c:pt>
                <c:pt idx="8">
                  <c:v>20.183960852999196</c:v>
                </c:pt>
                <c:pt idx="9">
                  <c:v>21.019093219512207</c:v>
                </c:pt>
                <c:pt idx="10">
                  <c:v>21.805237272517846</c:v>
                </c:pt>
                <c:pt idx="11">
                  <c:v>22.549380009759886</c:v>
                </c:pt>
                <c:pt idx="12">
                  <c:v>23.257020450838592</c:v>
                </c:pt>
                <c:pt idx="13">
                  <c:v>23.932575453843363</c:v>
                </c:pt>
                <c:pt idx="14">
                  <c:v>24.579653993436551</c:v>
                </c:pt>
                <c:pt idx="15">
                  <c:v>25.201248412663688</c:v>
                </c:pt>
                <c:pt idx="16">
                  <c:v>25.799871368415861</c:v>
                </c:pt>
                <c:pt idx="17">
                  <c:v>26.377656158685319</c:v>
                </c:pt>
                <c:pt idx="18">
                  <c:v>26.936431700733014</c:v>
                </c:pt>
              </c:numCache>
              <c:extLst xmlns:c15="http://schemas.microsoft.com/office/drawing/2012/chart"/>
            </c:numRef>
          </c:xVal>
          <c:yVal>
            <c:numRef>
              <c:f>'Economic Results'!$A$68:$A$86</c:f>
              <c:numCache>
                <c:formatCode>0.0</c:formatCode>
                <c:ptCount val="19"/>
                <c:pt idx="0">
                  <c:v>10000</c:v>
                </c:pt>
                <c:pt idx="1">
                  <c:v>20555.555555555555</c:v>
                </c:pt>
                <c:pt idx="2">
                  <c:v>31111.111111111109</c:v>
                </c:pt>
                <c:pt idx="3">
                  <c:v>41666.666666666664</c:v>
                </c:pt>
                <c:pt idx="4">
                  <c:v>52222.222222222219</c:v>
                </c:pt>
                <c:pt idx="5">
                  <c:v>62777.777777777774</c:v>
                </c:pt>
                <c:pt idx="6">
                  <c:v>73333.333333333328</c:v>
                </c:pt>
                <c:pt idx="7">
                  <c:v>83888.888888888876</c:v>
                </c:pt>
                <c:pt idx="8">
                  <c:v>94444.444444444438</c:v>
                </c:pt>
                <c:pt idx="9">
                  <c:v>105000</c:v>
                </c:pt>
                <c:pt idx="10">
                  <c:v>115555.55555555555</c:v>
                </c:pt>
                <c:pt idx="11">
                  <c:v>126111.11111111109</c:v>
                </c:pt>
                <c:pt idx="12">
                  <c:v>136666.66666666666</c:v>
                </c:pt>
                <c:pt idx="13">
                  <c:v>147222.22222222222</c:v>
                </c:pt>
                <c:pt idx="14">
                  <c:v>157777.77777777775</c:v>
                </c:pt>
                <c:pt idx="15">
                  <c:v>168333.33333333331</c:v>
                </c:pt>
                <c:pt idx="16">
                  <c:v>178888.88888888888</c:v>
                </c:pt>
                <c:pt idx="17">
                  <c:v>189444.44444444444</c:v>
                </c:pt>
                <c:pt idx="18">
                  <c:v>200000</c:v>
                </c:pt>
              </c:numCache>
              <c:extLst xmlns:c15="http://schemas.microsoft.com/office/drawing/2012/chart"/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1-A999-44ED-8A1F-24D9D33C4E3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82241423"/>
        <c:axId val="1782243823"/>
        <c:extLst/>
      </c:scatterChart>
      <c:valAx>
        <c:axId val="1094393567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IN"/>
                  <a:t>NPV</a:t>
                </a:r>
                <a:r>
                  <a:rPr lang="en-IN" baseline="0"/>
                  <a:t> in MM $ and ROI in %</a:t>
                </a:r>
                <a:endParaRPr lang="en-IN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IN"/>
            </a:p>
          </c:txPr>
        </c:title>
        <c:numFmt formatCode="0.0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94393087"/>
        <c:crosses val="autoZero"/>
        <c:crossBetween val="midCat"/>
      </c:valAx>
      <c:valAx>
        <c:axId val="1094393087"/>
        <c:scaling>
          <c:orientation val="minMax"/>
          <c:max val="200000"/>
          <c:min val="1000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IN"/>
                  <a:t>H2</a:t>
                </a:r>
                <a:r>
                  <a:rPr lang="en-IN" baseline="0"/>
                  <a:t> Capacity in MTPA</a:t>
                </a:r>
                <a:endParaRPr lang="en-IN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IN"/>
            </a:p>
          </c:txPr>
        </c:title>
        <c:numFmt formatCode="0.0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94393567"/>
        <c:crosses val="autoZero"/>
        <c:crossBetween val="midCat"/>
      </c:valAx>
      <c:valAx>
        <c:axId val="1782243823"/>
        <c:scaling>
          <c:orientation val="minMax"/>
        </c:scaling>
        <c:delete val="0"/>
        <c:axPos val="r"/>
        <c:numFmt formatCode="0.0" sourceLinked="1"/>
        <c:majorTickMark val="none"/>
        <c:minorTickMark val="none"/>
        <c:tickLblPos val="none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82241423"/>
        <c:crosses val="max"/>
        <c:crossBetween val="midCat"/>
      </c:valAx>
      <c:valAx>
        <c:axId val="1782241423"/>
        <c:scaling>
          <c:orientation val="minMax"/>
        </c:scaling>
        <c:delete val="0"/>
        <c:axPos val="b"/>
        <c:numFmt formatCode="0.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82243823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ROI Sensitivity 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bar"/>
        <c:grouping val="clustered"/>
        <c:varyColors val="0"/>
        <c:ser>
          <c:idx val="0"/>
          <c:order val="0"/>
          <c:tx>
            <c:strRef>
              <c:f>'Economic Results'!$W$1</c:f>
              <c:strCache>
                <c:ptCount val="1"/>
                <c:pt idx="0">
                  <c:v>ROI %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cat>
            <c:numRef>
              <c:f>'Economic Results'!$U$2:$U$8</c:f>
              <c:numCache>
                <c:formatCode>0%</c:formatCode>
                <c:ptCount val="7"/>
                <c:pt idx="0">
                  <c:v>-0.5</c:v>
                </c:pt>
                <c:pt idx="1">
                  <c:v>-0.25</c:v>
                </c:pt>
                <c:pt idx="2">
                  <c:v>0</c:v>
                </c:pt>
                <c:pt idx="3">
                  <c:v>0.25</c:v>
                </c:pt>
                <c:pt idx="4">
                  <c:v>0.5</c:v>
                </c:pt>
                <c:pt idx="5">
                  <c:v>0.75</c:v>
                </c:pt>
                <c:pt idx="6">
                  <c:v>1</c:v>
                </c:pt>
              </c:numCache>
            </c:numRef>
          </c:cat>
          <c:val>
            <c:numRef>
              <c:f>'Economic Results'!$W$2:$W$8</c:f>
              <c:numCache>
                <c:formatCode>0.00</c:formatCode>
                <c:ptCount val="7"/>
                <c:pt idx="0">
                  <c:v>-26.195555357266031</c:v>
                </c:pt>
                <c:pt idx="1">
                  <c:v>-4.750312649109528</c:v>
                </c:pt>
                <c:pt idx="2">
                  <c:v>14.081494746647111</c:v>
                </c:pt>
                <c:pt idx="3">
                  <c:v>31.023236486090749</c:v>
                </c:pt>
                <c:pt idx="4">
                  <c:v>47.964978225534381</c:v>
                </c:pt>
                <c:pt idx="5">
                  <c:v>64.906719964978024</c:v>
                </c:pt>
                <c:pt idx="6">
                  <c:v>81.848461704421666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BD3-438A-B1F6-51762865B6B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axId val="1155999663"/>
        <c:axId val="1156000623"/>
      </c:barChart>
      <c:catAx>
        <c:axId val="1155999663"/>
        <c:scaling>
          <c:orientation val="minMax"/>
        </c:scaling>
        <c:delete val="0"/>
        <c:axPos val="l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IN"/>
                  <a:t>%</a:t>
                </a:r>
                <a:r>
                  <a:rPr lang="en-IN" baseline="0"/>
                  <a:t> Change in Sale Price of Product</a:t>
                </a:r>
                <a:endParaRPr lang="en-IN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IN"/>
            </a:p>
          </c:txPr>
        </c:title>
        <c:numFmt formatCode="0%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56000623"/>
        <c:crosses val="autoZero"/>
        <c:auto val="1"/>
        <c:lblAlgn val="ctr"/>
        <c:lblOffset val="100"/>
        <c:noMultiLvlLbl val="0"/>
      </c:catAx>
      <c:valAx>
        <c:axId val="1156000623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IN"/>
                  <a:t>ROI</a:t>
                </a:r>
                <a:r>
                  <a:rPr lang="en-IN" baseline="0"/>
                  <a:t> in %</a:t>
                </a:r>
                <a:endParaRPr lang="en-IN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IN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55999663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IN"/>
              <a:t>Scope Emissions for Hydrogen Processes</a:t>
            </a:r>
            <a:r>
              <a:rPr lang="en-IN" baseline="0"/>
              <a:t> </a:t>
            </a:r>
            <a:endParaRPr lang="en-IN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IN"/>
        </a:p>
      </c:txPr>
    </c:title>
    <c:autoTitleDeleted val="0"/>
    <c:plotArea>
      <c:layout/>
      <c:barChart>
        <c:barDir val="col"/>
        <c:grouping val="stacked"/>
        <c:varyColors val="0"/>
        <c:ser>
          <c:idx val="0"/>
          <c:order val="0"/>
          <c:tx>
            <c:v>Scope 1</c:v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'Emission Results'!$X$2:$X$7</c:f>
              <c:strCache>
                <c:ptCount val="6"/>
                <c:pt idx="0">
                  <c:v>SMR H₂ CG</c:v>
                </c:pt>
                <c:pt idx="1">
                  <c:v>SMR H₂ RG</c:v>
                </c:pt>
                <c:pt idx="2">
                  <c:v>BMG H₂ CG</c:v>
                </c:pt>
                <c:pt idx="3">
                  <c:v>BMG H₂ RG</c:v>
                </c:pt>
                <c:pt idx="4">
                  <c:v>WE H₂ CG</c:v>
                </c:pt>
                <c:pt idx="5">
                  <c:v>WE H₂ RG</c:v>
                </c:pt>
              </c:strCache>
            </c:strRef>
          </c:cat>
          <c:val>
            <c:numRef>
              <c:f>'Emission Results'!$U$2:$U$7</c:f>
              <c:numCache>
                <c:formatCode>0.00</c:formatCode>
                <c:ptCount val="6"/>
                <c:pt idx="0">
                  <c:v>6.951906186705064</c:v>
                </c:pt>
                <c:pt idx="1">
                  <c:v>6.951906186705064</c:v>
                </c:pt>
                <c:pt idx="2" formatCode="General">
                  <c:v>5.5</c:v>
                </c:pt>
                <c:pt idx="3" formatCode="General">
                  <c:v>5.5</c:v>
                </c:pt>
                <c:pt idx="4" formatCode="General">
                  <c:v>0</c:v>
                </c:pt>
                <c:pt idx="5" formatCode="General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969-4223-8194-89CBB0BEEE73}"/>
            </c:ext>
          </c:extLst>
        </c:ser>
        <c:ser>
          <c:idx val="1"/>
          <c:order val="1"/>
          <c:tx>
            <c:v>Scope 2</c:v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'Emission Results'!$X$2:$X$7</c:f>
              <c:strCache>
                <c:ptCount val="6"/>
                <c:pt idx="0">
                  <c:v>SMR H₂ CG</c:v>
                </c:pt>
                <c:pt idx="1">
                  <c:v>SMR H₂ RG</c:v>
                </c:pt>
                <c:pt idx="2">
                  <c:v>BMG H₂ CG</c:v>
                </c:pt>
                <c:pt idx="3">
                  <c:v>BMG H₂ RG</c:v>
                </c:pt>
                <c:pt idx="4">
                  <c:v>WE H₂ CG</c:v>
                </c:pt>
                <c:pt idx="5">
                  <c:v>WE H₂ RG</c:v>
                </c:pt>
              </c:strCache>
            </c:strRef>
          </c:cat>
          <c:val>
            <c:numRef>
              <c:f>'Emission Results'!$V$2:$V$7</c:f>
              <c:numCache>
                <c:formatCode>0.00</c:formatCode>
                <c:ptCount val="6"/>
                <c:pt idx="0" formatCode="General">
                  <c:v>2.78</c:v>
                </c:pt>
                <c:pt idx="1">
                  <c:v>0.22070874124070078</c:v>
                </c:pt>
                <c:pt idx="2" formatCode="General">
                  <c:v>0.15</c:v>
                </c:pt>
                <c:pt idx="3">
                  <c:v>0.01</c:v>
                </c:pt>
                <c:pt idx="4">
                  <c:v>20.688322889085512</c:v>
                </c:pt>
                <c:pt idx="5">
                  <c:v>1.3824052471142063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2969-4223-8194-89CBB0BEEE7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1552273071"/>
        <c:axId val="1552271151"/>
        <c:extLst>
          <c:ext xmlns:c15="http://schemas.microsoft.com/office/drawing/2012/chart" uri="{02D57815-91ED-43cb-92C2-25804820EDAC}">
            <c15:filteredBarSeries>
              <c15:ser>
                <c:idx val="2"/>
                <c:order val="2"/>
                <c:tx>
                  <c:v>Series3</c:v>
                </c:tx>
                <c:spPr>
                  <a:solidFill>
                    <a:schemeClr val="accent3"/>
                  </a:solidFill>
                  <a:ln>
                    <a:noFill/>
                  </a:ln>
                  <a:effectLst/>
                </c:spPr>
                <c:invertIfNegative val="0"/>
                <c:cat>
                  <c:strRef>
                    <c:extLst>
                      <c:ext uri="{02D57815-91ED-43cb-92C2-25804820EDAC}">
                        <c15:formulaRef>
                          <c15:sqref>'Emission Results'!$X$2:$X$7</c15:sqref>
                        </c15:formulaRef>
                      </c:ext>
                    </c:extLst>
                    <c:strCache>
                      <c:ptCount val="6"/>
                      <c:pt idx="0">
                        <c:v>SMR H₂ CG</c:v>
                      </c:pt>
                      <c:pt idx="1">
                        <c:v>SMR H₂ RG</c:v>
                      </c:pt>
                      <c:pt idx="2">
                        <c:v>BMG H₂ CG</c:v>
                      </c:pt>
                      <c:pt idx="3">
                        <c:v>BMG H₂ RG</c:v>
                      </c:pt>
                      <c:pt idx="4">
                        <c:v>WE H₂ CG</c:v>
                      </c:pt>
                      <c:pt idx="5">
                        <c:v>WE H₂ RG</c:v>
                      </c:pt>
                    </c:strCache>
                  </c:strRef>
                </c:cat>
                <c:val>
                  <c:numRef>
                    <c:extLst>
                      <c:ext uri="{02D57815-91ED-43cb-92C2-25804820EDAC}">
                        <c15:formulaRef>
                          <c15:sqref>'Emission Results'!$X$2:$X$7</c15:sqref>
                        </c15:formulaRef>
                      </c:ext>
                    </c:extLst>
                    <c:numCache>
                      <c:formatCode>General</c:formatCode>
                      <c:ptCount val="6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0</c:v>
                      </c:pt>
                      <c:pt idx="5">
                        <c:v>0</c:v>
                      </c:pt>
                    </c:numCache>
                  </c:numRef>
                </c:val>
                <c:extLst>
                  <c:ext xmlns:c16="http://schemas.microsoft.com/office/drawing/2014/chart" uri="{C3380CC4-5D6E-409C-BE32-E72D297353CC}">
                    <c16:uniqueId val="{00000002-2969-4223-8194-89CBB0BEEE73}"/>
                  </c:ext>
                </c:extLst>
              </c15:ser>
            </c15:filteredBarSeries>
          </c:ext>
        </c:extLst>
      </c:barChart>
      <c:catAx>
        <c:axId val="1552273071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552271151"/>
        <c:crosses val="autoZero"/>
        <c:auto val="1"/>
        <c:lblAlgn val="ctr"/>
        <c:lblOffset val="100"/>
        <c:noMultiLvlLbl val="0"/>
      </c:catAx>
      <c:valAx>
        <c:axId val="1552271151"/>
        <c:scaling>
          <c:orientation val="minMax"/>
          <c:max val="2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IN"/>
                  <a:t>MT</a:t>
                </a:r>
                <a:r>
                  <a:rPr lang="en-IN" baseline="0"/>
                  <a:t> CO2/MT H2</a:t>
                </a:r>
                <a:endParaRPr lang="en-IN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IN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552273071"/>
        <c:crosses val="autoZero"/>
        <c:crossBetween val="between"/>
        <c:majorUnit val="5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IN"/>
              <a:t>Scope</a:t>
            </a:r>
            <a:r>
              <a:rPr lang="en-IN" baseline="0"/>
              <a:t> Emissions for Downstream Processes</a:t>
            </a:r>
            <a:endParaRPr lang="en-IN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IN"/>
        </a:p>
      </c:txPr>
    </c:title>
    <c:autoTitleDeleted val="0"/>
    <c:plotArea>
      <c:layout/>
      <c:barChart>
        <c:barDir val="col"/>
        <c:grouping val="stacked"/>
        <c:varyColors val="0"/>
        <c:ser>
          <c:idx val="0"/>
          <c:order val="0"/>
          <c:tx>
            <c:v>Scope 1</c:v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'Emission Results'!$X$8:$X$11</c:f>
              <c:strCache>
                <c:ptCount val="4"/>
                <c:pt idx="0">
                  <c:v>HB NH₃ CG</c:v>
                </c:pt>
                <c:pt idx="1">
                  <c:v>HB NH₃ RG</c:v>
                </c:pt>
                <c:pt idx="2">
                  <c:v>MeOH MeOH CG</c:v>
                </c:pt>
                <c:pt idx="3">
                  <c:v>MeOH MeOH RG</c:v>
                </c:pt>
              </c:strCache>
            </c:strRef>
          </c:cat>
          <c:val>
            <c:numRef>
              <c:f>'Emission Results'!$U$8:$U$11</c:f>
              <c:numCache>
                <c:formatCode>0.00</c:formatCode>
                <c:ptCount val="4"/>
                <c:pt idx="0">
                  <c:v>0.91824602334859984</c:v>
                </c:pt>
                <c:pt idx="1">
                  <c:v>0.91824602334859984</c:v>
                </c:pt>
                <c:pt idx="2">
                  <c:v>0.91103772894560819</c:v>
                </c:pt>
                <c:pt idx="3">
                  <c:v>0.91103772894560819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55F-4148-821A-B6D72260047F}"/>
            </c:ext>
          </c:extLst>
        </c:ser>
        <c:ser>
          <c:idx val="1"/>
          <c:order val="1"/>
          <c:tx>
            <c:v>Scope 2</c:v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'Emission Results'!$X$8:$X$11</c:f>
              <c:strCache>
                <c:ptCount val="4"/>
                <c:pt idx="0">
                  <c:v>HB NH₃ CG</c:v>
                </c:pt>
                <c:pt idx="1">
                  <c:v>HB NH₃ RG</c:v>
                </c:pt>
                <c:pt idx="2">
                  <c:v>MeOH MeOH CG</c:v>
                </c:pt>
                <c:pt idx="3">
                  <c:v>MeOH MeOH RG</c:v>
                </c:pt>
              </c:strCache>
            </c:strRef>
          </c:cat>
          <c:val>
            <c:numRef>
              <c:f>'Emission Results'!$V$8:$V$11</c:f>
              <c:numCache>
                <c:formatCode>0.00</c:formatCode>
                <c:ptCount val="4"/>
                <c:pt idx="0">
                  <c:v>0.10908380451401795</c:v>
                </c:pt>
                <c:pt idx="1">
                  <c:v>7.2890405154549713E-3</c:v>
                </c:pt>
                <c:pt idx="2">
                  <c:v>4.4223297374078624E-2</c:v>
                </c:pt>
                <c:pt idx="3">
                  <c:v>2.955025337837838E-3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355F-4148-821A-B6D72260047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1560447935"/>
        <c:axId val="1560442655"/>
        <c:extLst>
          <c:ext xmlns:c15="http://schemas.microsoft.com/office/drawing/2012/chart" uri="{02D57815-91ED-43cb-92C2-25804820EDAC}">
            <c15:filteredBarSeries>
              <c15:ser>
                <c:idx val="2"/>
                <c:order val="2"/>
                <c:tx>
                  <c:v>Series3</c:v>
                </c:tx>
                <c:spPr>
                  <a:solidFill>
                    <a:schemeClr val="accent3"/>
                  </a:solidFill>
                  <a:ln>
                    <a:noFill/>
                  </a:ln>
                  <a:effectLst/>
                </c:spPr>
                <c:invertIfNegative val="0"/>
                <c:cat>
                  <c:strRef>
                    <c:extLst>
                      <c:ext uri="{02D57815-91ED-43cb-92C2-25804820EDAC}">
                        <c15:formulaRef>
                          <c15:sqref>'Emission Results'!$X$8:$X$11</c15:sqref>
                        </c15:formulaRef>
                      </c:ext>
                    </c:extLst>
                    <c:strCache>
                      <c:ptCount val="4"/>
                      <c:pt idx="0">
                        <c:v>HB NH₃ CG</c:v>
                      </c:pt>
                      <c:pt idx="1">
                        <c:v>HB NH₃ RG</c:v>
                      </c:pt>
                      <c:pt idx="2">
                        <c:v>MeOH MeOH CG</c:v>
                      </c:pt>
                      <c:pt idx="3">
                        <c:v>MeOH MeOH RG</c:v>
                      </c:pt>
                    </c:strCache>
                  </c:strRef>
                </c:cat>
                <c:val>
                  <c:numRef>
                    <c:extLst>
                      <c:ext uri="{02D57815-91ED-43cb-92C2-25804820EDAC}">
                        <c15:formulaRef>
                          <c15:sqref>'Emission Results'!$X$8:$X$11</c15:sqref>
                        </c15:formulaRef>
                      </c:ext>
                    </c:extLst>
                    <c:numCache>
                      <c:formatCode>General</c:formatCode>
                      <c:ptCount val="4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</c:numCache>
                  </c:numRef>
                </c:val>
                <c:extLst>
                  <c:ext xmlns:c16="http://schemas.microsoft.com/office/drawing/2014/chart" uri="{C3380CC4-5D6E-409C-BE32-E72D297353CC}">
                    <c16:uniqueId val="{00000002-355F-4148-821A-B6D72260047F}"/>
                  </c:ext>
                </c:extLst>
              </c15:ser>
            </c15:filteredBarSeries>
          </c:ext>
        </c:extLst>
      </c:barChart>
      <c:catAx>
        <c:axId val="1560447935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560442655"/>
        <c:crosses val="autoZero"/>
        <c:auto val="1"/>
        <c:lblAlgn val="ctr"/>
        <c:lblOffset val="100"/>
        <c:noMultiLvlLbl val="0"/>
      </c:catAx>
      <c:valAx>
        <c:axId val="1560442655"/>
        <c:scaling>
          <c:orientation val="minMax"/>
          <c:max val="2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IN"/>
                  <a:t>MT</a:t>
                </a:r>
                <a:r>
                  <a:rPr lang="en-IN" baseline="0"/>
                  <a:t> CO2/MT Product</a:t>
                </a:r>
                <a:endParaRPr lang="en-IN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IN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560447935"/>
        <c:crosses val="autoZero"/>
        <c:crossBetween val="between"/>
        <c:majorUnit val="5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withinLinear" id="19">
  <a:schemeClr val="accent6"/>
</cs:colorStyle>
</file>

<file path=xl/charts/colors3.xml><?xml version="1.0" encoding="utf-8"?>
<cs:colorStyle xmlns:cs="http://schemas.microsoft.com/office/drawing/2012/chartStyle" xmlns:a="http://schemas.openxmlformats.org/drawingml/2006/main" meth="cycle" id="11">
  <a:schemeClr val="accent1"/>
  <a:schemeClr val="accent3"/>
  <a:schemeClr val="accent5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3">
  <a:schemeClr val="accent6"/>
  <a:schemeClr val="accent5"/>
  <a:schemeClr val="accent4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6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3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b="1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19050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dk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>
      <cs:styleClr val="auto"/>
    </cs:effectRef>
    <cs:fontRef idx="minor">
      <a:schemeClr val="dk1"/>
    </cs:fontRef>
    <cs:spPr>
      <a:pattFill prst="narHorz">
        <a:fgClr>
          <a:schemeClr val="phClr"/>
        </a:fgClr>
        <a:bgClr>
          <a:schemeClr val="phClr">
            <a:lumMod val="20000"/>
            <a:lumOff val="80000"/>
          </a:schemeClr>
        </a:bgClr>
      </a:pattFill>
      <a:effectLst>
        <a:innerShdw blurRad="114300">
          <a:schemeClr val="phClr"/>
        </a:innerShdw>
      </a:effectLst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pattFill prst="narHorz">
        <a:fgClr>
          <a:schemeClr val="phClr"/>
        </a:fgClr>
        <a:bgClr>
          <a:schemeClr val="phClr">
            <a:lumMod val="20000"/>
            <a:lumOff val="80000"/>
          </a:schemeClr>
        </a:bgClr>
      </a:pattFill>
      <a:effectLst>
        <a:innerShdw blurRad="114300">
          <a:schemeClr val="phClr"/>
        </a:innerShdw>
      </a:effectLst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50000"/>
            <a:lumOff val="50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>
        <a:solidFill>
          <a:schemeClr val="tx1">
            <a:lumMod val="15000"/>
            <a:lumOff val="85000"/>
          </a:schemeClr>
        </a:solidFill>
      </a:ln>
    </cs:spPr>
  </cs:gridlineMajor>
  <cs:gridlineMinor>
    <cs:lnRef idx="0"/>
    <cs:fillRef idx="0"/>
    <cs:effectRef idx="0"/>
    <cs:fontRef idx="minor">
      <a:schemeClr val="dk1"/>
    </cs:fontRef>
    <cs:spPr>
      <a:ln>
        <a:solidFill>
          <a:schemeClr val="tx1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50000"/>
        <a:lumOff val="50000"/>
      </a:schemeClr>
    </cs:fontRef>
    <cs:defRPr sz="1800" b="1" kern="1200" cap="all" spc="15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50000"/>
            <a:lumOff val="50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3.xml><?xml version="1.0" encoding="utf-8"?>
<cs:chartStyle xmlns:cs="http://schemas.microsoft.com/office/drawing/2012/chartStyle" xmlns:a="http://schemas.openxmlformats.org/drawingml/2006/main" id="305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  <a:headEnd type="none" w="sm" len="sm"/>
        <a:tailEnd type="none" w="sm" len="sm"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dk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bg1"/>
    </cs:fontRef>
    <cs:spPr>
      <a:solidFill>
        <a:schemeClr val="tx1">
          <a:lumMod val="50000"/>
          <a:lumOff val="50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tx1"/>
    </cs:fontRef>
    <cs:spPr>
      <a:solidFill>
        <a:schemeClr val="phClr">
          <a:alpha val="70000"/>
        </a:schemeClr>
      </a:solidFill>
    </cs:spPr>
  </cs:dataPoint>
  <cs:dataPoint3D>
    <cs:lnRef idx="0"/>
    <cs:fillRef idx="0">
      <cs:styleClr val="auto"/>
    </cs:fillRef>
    <cs:effectRef idx="0"/>
    <cs:fontRef idx="minor">
      <a:schemeClr val="tx1"/>
    </cs:fontRef>
    <cs:spPr>
      <a:solidFill>
        <a:schemeClr val="phClr">
          <a:alpha val="70000"/>
        </a:schemeClr>
      </a:solidFill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0">
      <cs:styleClr val="auto"/>
    </cs:fillRef>
    <cs:effectRef idx="0"/>
    <cs:fontRef idx="minor">
      <a:schemeClr val="dk1"/>
    </cs:fontRef>
    <cs:spPr>
      <a:gradFill>
        <a:gsLst>
          <a:gs pos="0">
            <a:schemeClr val="phClr"/>
          </a:gs>
          <a:gs pos="46000">
            <a:schemeClr val="phClr"/>
          </a:gs>
          <a:gs pos="100000">
            <a:schemeClr val="phClr">
              <a:lumMod val="20000"/>
              <a:lumOff val="80000"/>
              <a:alpha val="0"/>
            </a:schemeClr>
          </a:gs>
        </a:gsLst>
        <a:path path="circle">
          <a:fillToRect l="50000" t="-80000" r="50000" b="180000"/>
        </a:path>
      </a:gradFill>
      <a:ln w="9525" cap="flat" cmpd="sng" algn="ctr">
        <a:solidFill>
          <a:schemeClr val="phClr">
            <a:shade val="95000"/>
          </a:schemeClr>
        </a:solidFill>
        <a:round/>
      </a:ln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dropLine>
  <cs:errorBa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0">
              <a:schemeClr val="tx1">
                <a:lumMod val="5000"/>
                <a:lumOff val="95000"/>
              </a:schemeClr>
            </a:gs>
            <a:gs pos="100000">
              <a:schemeClr val="tx1">
                <a:lumMod val="15000"/>
                <a:lumOff val="85000"/>
              </a:schemeClr>
            </a:gs>
          </a:gsLst>
          <a:lin ang="5400000" scaled="0"/>
        </a:gradFill>
        <a:round/>
      </a:ln>
    </cs:spPr>
  </cs:gridlineMajor>
  <cs:gridlineMin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0">
              <a:schemeClr val="tx1">
                <a:lumMod val="5000"/>
                <a:lumOff val="95000"/>
              </a:schemeClr>
            </a:gs>
            <a:gs pos="100000">
              <a:schemeClr val="tx1">
                <a:lumMod val="15000"/>
                <a:lumOff val="85000"/>
              </a:schemeClr>
            </a:gs>
          </a:gsLst>
          <a:lin ang="5400000" scaled="0"/>
        </a:gra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  <a:headEnd type="none" w="sm" len="sm"/>
        <a:tailEnd type="none" w="sm" len="sm"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800" b="1" kern="1200" cap="all" spc="5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4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32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4" Type="http://schemas.openxmlformats.org/officeDocument/2006/relationships/image" Target="../media/image4.png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image" Target="../media/image6.png"/><Relationship Id="rId1" Type="http://schemas.openxmlformats.org/officeDocument/2006/relationships/image" Target="../media/image5.png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image" Target="../media/image8.png"/><Relationship Id="rId2" Type="http://schemas.openxmlformats.org/officeDocument/2006/relationships/image" Target="../media/image7.png"/><Relationship Id="rId1" Type="http://schemas.openxmlformats.org/officeDocument/2006/relationships/image" Target="../media/image5.png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9.png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image" Target="../media/image10.png"/></Relationships>
</file>

<file path=xl/drawings/_rels/drawing10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5" Type="http://schemas.openxmlformats.org/officeDocument/2006/relationships/chart" Target="../charts/chart5.xml"/><Relationship Id="rId4" Type="http://schemas.openxmlformats.org/officeDocument/2006/relationships/chart" Target="../charts/chart4.xml"/></Relationships>
</file>

<file path=xl/drawings/_rels/drawing1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8.xml"/><Relationship Id="rId1" Type="http://schemas.openxmlformats.org/officeDocument/2006/relationships/chart" Target="../charts/chart7.xml"/></Relationships>
</file>

<file path=xl/drawings/drawing1.xml><?xml version="1.0" encoding="utf-8"?>
<xdr:wsDr xmlns:xdr="http://schemas.openxmlformats.org/drawingml/2006/spreadsheetDrawing" xmlns:a="http://schemas.openxmlformats.org/drawingml/2006/main">
  <xdr:oneCellAnchor>
    <xdr:from>
      <xdr:col>1</xdr:col>
      <xdr:colOff>66675</xdr:colOff>
      <xdr:row>9</xdr:row>
      <xdr:rowOff>19050</xdr:rowOff>
    </xdr:from>
    <xdr:ext cx="3314700" cy="200025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2" name="TextBox 1">
              <a:extLst>
                <a:ext uri="{FF2B5EF4-FFF2-40B4-BE49-F238E27FC236}">
                  <a16:creationId xmlns:a16="http://schemas.microsoft.com/office/drawing/2014/main" id="{83DB379F-6F9B-7614-75D8-B0992DD84869}"/>
                </a:ext>
              </a:extLst>
            </xdr:cNvPr>
            <xdr:cNvSpPr txBox="1"/>
          </xdr:nvSpPr>
          <xdr:spPr>
            <a:xfrm>
              <a:off x="2409825" y="1790700"/>
              <a:ext cx="3314700" cy="200025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no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en-US" sz="1100" b="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n-US" sz="1100" b="0" i="1">
                            <a:latin typeface="Cambria Math" panose="02040503050406030204" pitchFamily="18" charset="0"/>
                          </a:rPr>
                          <m:t>𝐶</m:t>
                        </m:r>
                      </m:e>
                      <m:sub>
                        <m:r>
                          <a:rPr lang="en-US" sz="1100" b="0" i="1">
                            <a:latin typeface="Cambria Math" panose="02040503050406030204" pitchFamily="18" charset="0"/>
                          </a:rPr>
                          <m:t>𝑛</m:t>
                        </m:r>
                      </m:sub>
                    </m:sSub>
                    <m:sSub>
                      <m:sSubPr>
                        <m:ctrlPr>
                          <a:rPr lang="en-US" sz="1100" b="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n-US" sz="1100" b="0" i="1">
                            <a:latin typeface="Cambria Math" panose="02040503050406030204" pitchFamily="18" charset="0"/>
                          </a:rPr>
                          <m:t>𝐻</m:t>
                        </m:r>
                      </m:e>
                      <m:sub>
                        <m:r>
                          <a:rPr lang="en-US" sz="1100" b="0" i="1">
                            <a:latin typeface="Cambria Math" panose="02040503050406030204" pitchFamily="18" charset="0"/>
                          </a:rPr>
                          <m:t>𝑚</m:t>
                        </m:r>
                      </m:sub>
                    </m:sSub>
                    <m:sSub>
                      <m:sSubPr>
                        <m:ctrlPr>
                          <a:rPr lang="en-US" sz="1100" b="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n-US" sz="1100" b="0" i="1">
                            <a:latin typeface="Cambria Math" panose="02040503050406030204" pitchFamily="18" charset="0"/>
                          </a:rPr>
                          <m:t>𝑂</m:t>
                        </m:r>
                      </m:e>
                      <m:sub>
                        <m:r>
                          <a:rPr lang="en-US" sz="1100" b="0" i="1">
                            <a:latin typeface="Cambria Math" panose="02040503050406030204" pitchFamily="18" charset="0"/>
                          </a:rPr>
                          <m:t>𝑘</m:t>
                        </m:r>
                      </m:sub>
                    </m:sSub>
                    <m:r>
                      <a:rPr lang="en-US" sz="1100" b="0" i="1">
                        <a:latin typeface="Cambria Math" panose="02040503050406030204" pitchFamily="18" charset="0"/>
                      </a:rPr>
                      <m:t>+</m:t>
                    </m:r>
                    <m:d>
                      <m:dPr>
                        <m:ctrlPr>
                          <a:rPr lang="en-US" sz="1100" b="0" i="1">
                            <a:latin typeface="Cambria Math" panose="02040503050406030204" pitchFamily="18" charset="0"/>
                          </a:rPr>
                        </m:ctrlPr>
                      </m:dPr>
                      <m:e>
                        <m:r>
                          <a:rPr lang="en-US" sz="1100" b="0" i="1">
                            <a:latin typeface="Cambria Math" panose="02040503050406030204" pitchFamily="18" charset="0"/>
                          </a:rPr>
                          <m:t>2</m:t>
                        </m:r>
                        <m:r>
                          <a:rPr lang="en-US" sz="1100" b="0" i="1">
                            <a:latin typeface="Cambria Math" panose="02040503050406030204" pitchFamily="18" charset="0"/>
                          </a:rPr>
                          <m:t>𝑛</m:t>
                        </m:r>
                        <m:r>
                          <a:rPr lang="en-US" sz="1100" b="0" i="1">
                            <a:latin typeface="Cambria Math" panose="02040503050406030204" pitchFamily="18" charset="0"/>
                          </a:rPr>
                          <m:t>−</m:t>
                        </m:r>
                        <m:r>
                          <a:rPr lang="en-US" sz="1100" b="0" i="1">
                            <a:latin typeface="Cambria Math" panose="02040503050406030204" pitchFamily="18" charset="0"/>
                          </a:rPr>
                          <m:t>𝑘</m:t>
                        </m:r>
                      </m:e>
                    </m:d>
                    <m:sSub>
                      <m:sSubPr>
                        <m:ctrlPr>
                          <a:rPr lang="en-US" sz="1100" b="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n-US" sz="1100" b="0" i="1">
                            <a:latin typeface="Cambria Math" panose="02040503050406030204" pitchFamily="18" charset="0"/>
                          </a:rPr>
                          <m:t>𝐻</m:t>
                        </m:r>
                      </m:e>
                      <m:sub>
                        <m:r>
                          <a:rPr lang="en-US" sz="1100" b="0" i="1">
                            <a:latin typeface="Cambria Math" panose="02040503050406030204" pitchFamily="18" charset="0"/>
                          </a:rPr>
                          <m:t>2</m:t>
                        </m:r>
                      </m:sub>
                    </m:sSub>
                    <m:r>
                      <a:rPr lang="en-US" sz="1100" b="0" i="1">
                        <a:latin typeface="Cambria Math" panose="02040503050406030204" pitchFamily="18" charset="0"/>
                      </a:rPr>
                      <m:t>𝑂</m:t>
                    </m:r>
                    <m:r>
                      <a:rPr lang="en-US" sz="1100" b="0" i="1">
                        <a:latin typeface="Cambria Math" panose="02040503050406030204" pitchFamily="18" charset="0"/>
                      </a:rPr>
                      <m:t> →</m:t>
                    </m:r>
                    <m:r>
                      <a:rPr lang="en-US" sz="1100" b="0" i="1">
                        <a:latin typeface="Cambria Math" panose="02040503050406030204" pitchFamily="18" charset="0"/>
                      </a:rPr>
                      <m:t>𝑛𝐶</m:t>
                    </m:r>
                    <m:sSub>
                      <m:sSubPr>
                        <m:ctrlPr>
                          <a:rPr lang="en-US" sz="1100" b="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n-US" sz="1100" b="0" i="1">
                            <a:latin typeface="Cambria Math" panose="02040503050406030204" pitchFamily="18" charset="0"/>
                          </a:rPr>
                          <m:t>𝑂</m:t>
                        </m:r>
                      </m:e>
                      <m:sub>
                        <m:r>
                          <a:rPr lang="en-US" sz="1100" b="0" i="1">
                            <a:latin typeface="Cambria Math" panose="02040503050406030204" pitchFamily="18" charset="0"/>
                          </a:rPr>
                          <m:t>2</m:t>
                        </m:r>
                      </m:sub>
                    </m:sSub>
                    <m:r>
                      <a:rPr lang="en-US" sz="1100" b="0" i="1">
                        <a:latin typeface="Cambria Math" panose="02040503050406030204" pitchFamily="18" charset="0"/>
                      </a:rPr>
                      <m:t>+</m:t>
                    </m:r>
                    <m:d>
                      <m:dPr>
                        <m:ctrlPr>
                          <a:rPr lang="en-US" sz="1100" b="0" i="1">
                            <a:latin typeface="Cambria Math" panose="02040503050406030204" pitchFamily="18" charset="0"/>
                          </a:rPr>
                        </m:ctrlPr>
                      </m:dPr>
                      <m:e>
                        <m:r>
                          <a:rPr lang="en-US" sz="1100" b="0" i="1">
                            <a:latin typeface="Cambria Math" panose="02040503050406030204" pitchFamily="18" charset="0"/>
                          </a:rPr>
                          <m:t>2</m:t>
                        </m:r>
                        <m:r>
                          <a:rPr lang="en-US" sz="1100" b="0" i="1">
                            <a:latin typeface="Cambria Math" panose="02040503050406030204" pitchFamily="18" charset="0"/>
                          </a:rPr>
                          <m:t>𝑛</m:t>
                        </m:r>
                        <m:r>
                          <a:rPr lang="en-US" sz="1100" b="0" i="1">
                            <a:latin typeface="Cambria Math" panose="02040503050406030204" pitchFamily="18" charset="0"/>
                          </a:rPr>
                          <m:t>+</m:t>
                        </m:r>
                        <m:f>
                          <m:fPr>
                            <m:ctrlPr>
                              <a:rPr lang="en-US" sz="1100" b="0" i="1">
                                <a:latin typeface="Cambria Math" panose="02040503050406030204" pitchFamily="18" charset="0"/>
                              </a:rPr>
                            </m:ctrlPr>
                          </m:fPr>
                          <m:num>
                            <m:r>
                              <a:rPr lang="en-US" sz="1100" b="0" i="1">
                                <a:latin typeface="Cambria Math" panose="02040503050406030204" pitchFamily="18" charset="0"/>
                              </a:rPr>
                              <m:t>𝑚</m:t>
                            </m:r>
                          </m:num>
                          <m:den>
                            <m:r>
                              <a:rPr lang="en-US" sz="1100" b="0" i="1">
                                <a:latin typeface="Cambria Math" panose="02040503050406030204" pitchFamily="18" charset="0"/>
                              </a:rPr>
                              <m:t>2</m:t>
                            </m:r>
                          </m:den>
                        </m:f>
                        <m:r>
                          <a:rPr lang="en-US" sz="1100" b="0" i="1">
                            <a:latin typeface="Cambria Math" panose="02040503050406030204" pitchFamily="18" charset="0"/>
                          </a:rPr>
                          <m:t>−</m:t>
                        </m:r>
                        <m:r>
                          <a:rPr lang="en-US" sz="1100" b="0" i="1">
                            <a:latin typeface="Cambria Math" panose="02040503050406030204" pitchFamily="18" charset="0"/>
                          </a:rPr>
                          <m:t>𝑘</m:t>
                        </m:r>
                      </m:e>
                    </m:d>
                    <m:sSub>
                      <m:sSubPr>
                        <m:ctrlPr>
                          <a:rPr lang="en-US" sz="1100" b="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n-US" sz="1100" b="0" i="1">
                            <a:latin typeface="Cambria Math" panose="02040503050406030204" pitchFamily="18" charset="0"/>
                          </a:rPr>
                          <m:t>𝐻</m:t>
                        </m:r>
                      </m:e>
                      <m:sub>
                        <m:r>
                          <a:rPr lang="en-US" sz="1100" b="0" i="1">
                            <a:latin typeface="Cambria Math" panose="02040503050406030204" pitchFamily="18" charset="0"/>
                          </a:rPr>
                          <m:t>2</m:t>
                        </m:r>
                      </m:sub>
                    </m:sSub>
                  </m:oMath>
                </m:oMathPara>
              </a14:m>
              <a:endParaRPr lang="en-US" sz="1100" b="0"/>
            </a:p>
            <a:p>
              <a:endParaRPr lang="en-IN" sz="1100"/>
            </a:p>
          </xdr:txBody>
        </xdr:sp>
      </mc:Choice>
      <mc:Fallback xmlns="">
        <xdr:sp macro="" textlink="">
          <xdr:nvSpPr>
            <xdr:cNvPr id="2" name="TextBox 1">
              <a:extLst>
                <a:ext uri="{FF2B5EF4-FFF2-40B4-BE49-F238E27FC236}">
                  <a16:creationId xmlns:a16="http://schemas.microsoft.com/office/drawing/2014/main" id="{83DB379F-6F9B-7614-75D8-B0992DD84869}"/>
                </a:ext>
              </a:extLst>
            </xdr:cNvPr>
            <xdr:cNvSpPr txBox="1"/>
          </xdr:nvSpPr>
          <xdr:spPr>
            <a:xfrm>
              <a:off x="2476500" y="1676401"/>
              <a:ext cx="3311869" cy="266700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noAutofit/>
            </a:bodyPr>
            <a:lstStyle/>
            <a:p>
              <a:pPr/>
              <a:r>
                <a:rPr lang="en-US" sz="1100" b="0" i="0">
                  <a:latin typeface="Cambria Math" panose="02040503050406030204" pitchFamily="18" charset="0"/>
                </a:rPr>
                <a:t>𝐶_𝑛 𝐻_𝑚 𝑂_𝑘+(2𝑛−𝑘) 𝐻_2 𝑂 →𝑛𝐶𝑂_2+(2𝑛+𝑚/2−𝑘) 𝐻_2</a:t>
              </a:r>
              <a:endParaRPr lang="en-US" sz="1100" b="0"/>
            </a:p>
            <a:p>
              <a:endParaRPr lang="en-IN" sz="1100"/>
            </a:p>
          </xdr:txBody>
        </xdr:sp>
      </mc:Fallback>
    </mc:AlternateContent>
    <xdr:clientData/>
  </xdr:oneCellAnchor>
  <xdr:twoCellAnchor editAs="oneCell">
    <xdr:from>
      <xdr:col>1</xdr:col>
      <xdr:colOff>0</xdr:colOff>
      <xdr:row>26</xdr:row>
      <xdr:rowOff>1</xdr:rowOff>
    </xdr:from>
    <xdr:to>
      <xdr:col>2</xdr:col>
      <xdr:colOff>47343</xdr:colOff>
      <xdr:row>46</xdr:row>
      <xdr:rowOff>137160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B75D9B1B-3060-F3A6-6A47-615168C7A6E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407920" y="5135881"/>
          <a:ext cx="4002123" cy="3794759"/>
        </a:xfrm>
        <a:prstGeom prst="rect">
          <a:avLst/>
        </a:prstGeom>
      </xdr:spPr>
    </xdr:pic>
    <xdr:clientData/>
  </xdr:twoCellAnchor>
  <xdr:twoCellAnchor editAs="oneCell">
    <xdr:from>
      <xdr:col>0</xdr:col>
      <xdr:colOff>2369820</xdr:colOff>
      <xdr:row>47</xdr:row>
      <xdr:rowOff>76201</xdr:rowOff>
    </xdr:from>
    <xdr:to>
      <xdr:col>2</xdr:col>
      <xdr:colOff>18273</xdr:colOff>
      <xdr:row>69</xdr:row>
      <xdr:rowOff>53340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ED1FA796-6BB4-7C65-3298-DA106257FDA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2369820" y="9052561"/>
          <a:ext cx="4011153" cy="4000499"/>
        </a:xfrm>
        <a:prstGeom prst="rect">
          <a:avLst/>
        </a:prstGeom>
      </xdr:spPr>
    </xdr:pic>
    <xdr:clientData/>
  </xdr:twoCellAnchor>
  <xdr:twoCellAnchor editAs="oneCell">
    <xdr:from>
      <xdr:col>0</xdr:col>
      <xdr:colOff>2293621</xdr:colOff>
      <xdr:row>69</xdr:row>
      <xdr:rowOff>137160</xdr:rowOff>
    </xdr:from>
    <xdr:to>
      <xdr:col>1</xdr:col>
      <xdr:colOff>3762771</xdr:colOff>
      <xdr:row>89</xdr:row>
      <xdr:rowOff>0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6225D8FB-7728-F29D-CFF5-BB1BB0E2F1B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2293621" y="13136880"/>
          <a:ext cx="3877070" cy="3520440"/>
        </a:xfrm>
        <a:prstGeom prst="rect">
          <a:avLst/>
        </a:prstGeom>
      </xdr:spPr>
    </xdr:pic>
    <xdr:clientData/>
  </xdr:twoCellAnchor>
  <xdr:twoCellAnchor editAs="oneCell">
    <xdr:from>
      <xdr:col>0</xdr:col>
      <xdr:colOff>2369821</xdr:colOff>
      <xdr:row>90</xdr:row>
      <xdr:rowOff>160021</xdr:rowOff>
    </xdr:from>
    <xdr:to>
      <xdr:col>2</xdr:col>
      <xdr:colOff>3811</xdr:colOff>
      <xdr:row>108</xdr:row>
      <xdr:rowOff>60663</xdr:rowOff>
    </xdr:to>
    <xdr:pic>
      <xdr:nvPicPr>
        <xdr:cNvPr id="6" name="Picture 5">
          <a:extLst>
            <a:ext uri="{FF2B5EF4-FFF2-40B4-BE49-F238E27FC236}">
              <a16:creationId xmlns:a16="http://schemas.microsoft.com/office/drawing/2014/main" id="{AD0B1217-0046-A2B1-2BED-5B92C2B3181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2369821" y="17000221"/>
          <a:ext cx="3909060" cy="3192482"/>
        </a:xfrm>
        <a:prstGeom prst="rect">
          <a:avLst/>
        </a:prstGeom>
      </xdr:spPr>
    </xdr:pic>
    <xdr:clientData/>
  </xdr:twoCellAnchor>
  <xdr:oneCellAnchor>
    <xdr:from>
      <xdr:col>1</xdr:col>
      <xdr:colOff>297180</xdr:colOff>
      <xdr:row>113</xdr:row>
      <xdr:rowOff>7620</xdr:rowOff>
    </xdr:from>
    <xdr:ext cx="1216167" cy="344453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7" name="TextBox 6">
              <a:extLst>
                <a:ext uri="{FF2B5EF4-FFF2-40B4-BE49-F238E27FC236}">
                  <a16:creationId xmlns:a16="http://schemas.microsoft.com/office/drawing/2014/main" id="{E38A5401-95C6-BF4F-DDDA-0830E63E5035}"/>
                </a:ext>
              </a:extLst>
            </xdr:cNvPr>
            <xdr:cNvSpPr txBox="1"/>
          </xdr:nvSpPr>
          <xdr:spPr>
            <a:xfrm>
              <a:off x="2705100" y="21054060"/>
              <a:ext cx="1216167" cy="344453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en-US" sz="1100" b="0" i="1">
                        <a:latin typeface="Cambria Math" panose="02040503050406030204" pitchFamily="18" charset="0"/>
                      </a:rPr>
                      <m:t>2</m:t>
                    </m:r>
                    <m:sSub>
                      <m:sSubPr>
                        <m:ctrlPr>
                          <a:rPr lang="en-US" sz="1100" b="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n-US" sz="1100" b="0" i="1">
                            <a:latin typeface="Cambria Math" panose="02040503050406030204" pitchFamily="18" charset="0"/>
                          </a:rPr>
                          <m:t>𝐻</m:t>
                        </m:r>
                      </m:e>
                      <m:sub>
                        <m:r>
                          <a:rPr lang="en-US" sz="1100" b="0" i="1">
                            <a:latin typeface="Cambria Math" panose="02040503050406030204" pitchFamily="18" charset="0"/>
                          </a:rPr>
                          <m:t>2</m:t>
                        </m:r>
                      </m:sub>
                    </m:sSub>
                    <m:r>
                      <a:rPr lang="en-US" sz="1100" b="0" i="1">
                        <a:latin typeface="Cambria Math" panose="02040503050406030204" pitchFamily="18" charset="0"/>
                      </a:rPr>
                      <m:t>𝑂</m:t>
                    </m:r>
                    <m:r>
                      <a:rPr lang="en-US" sz="1100" b="0" i="1">
                        <a:latin typeface="Cambria Math" panose="02040503050406030204" pitchFamily="18" charset="0"/>
                      </a:rPr>
                      <m:t> →2</m:t>
                    </m:r>
                    <m:sSub>
                      <m:sSubPr>
                        <m:ctrlPr>
                          <a:rPr lang="en-US" sz="1100" b="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n-US" sz="1100" b="0" i="1">
                            <a:latin typeface="Cambria Math" panose="02040503050406030204" pitchFamily="18" charset="0"/>
                          </a:rPr>
                          <m:t>𝐻</m:t>
                        </m:r>
                      </m:e>
                      <m:sub>
                        <m:r>
                          <a:rPr lang="en-US" sz="1100" b="0" i="1">
                            <a:latin typeface="Cambria Math" panose="02040503050406030204" pitchFamily="18" charset="0"/>
                          </a:rPr>
                          <m:t>2</m:t>
                        </m:r>
                      </m:sub>
                    </m:sSub>
                    <m:r>
                      <a:rPr lang="en-US" sz="1100" b="0" i="1">
                        <a:latin typeface="Cambria Math" panose="02040503050406030204" pitchFamily="18" charset="0"/>
                      </a:rPr>
                      <m:t>+</m:t>
                    </m:r>
                    <m:sSub>
                      <m:sSubPr>
                        <m:ctrlPr>
                          <a:rPr lang="en-US" sz="1100" b="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n-US" sz="1100" b="0" i="1">
                            <a:latin typeface="Cambria Math" panose="02040503050406030204" pitchFamily="18" charset="0"/>
                          </a:rPr>
                          <m:t>𝑂</m:t>
                        </m:r>
                      </m:e>
                      <m:sub>
                        <m:r>
                          <a:rPr lang="en-US" sz="1100" b="0" i="1">
                            <a:latin typeface="Cambria Math" panose="02040503050406030204" pitchFamily="18" charset="0"/>
                          </a:rPr>
                          <m:t>2</m:t>
                        </m:r>
                      </m:sub>
                    </m:sSub>
                  </m:oMath>
                </m:oMathPara>
              </a14:m>
              <a:endParaRPr lang="en-US" sz="1100" b="0"/>
            </a:p>
            <a:p>
              <a:endParaRPr lang="en-IN" sz="1100"/>
            </a:p>
          </xdr:txBody>
        </xdr:sp>
      </mc:Choice>
      <mc:Fallback xmlns="">
        <xdr:sp macro="" textlink="">
          <xdr:nvSpPr>
            <xdr:cNvPr id="7" name="TextBox 6">
              <a:extLst>
                <a:ext uri="{FF2B5EF4-FFF2-40B4-BE49-F238E27FC236}">
                  <a16:creationId xmlns:a16="http://schemas.microsoft.com/office/drawing/2014/main" id="{E38A5401-95C6-BF4F-DDDA-0830E63E5035}"/>
                </a:ext>
              </a:extLst>
            </xdr:cNvPr>
            <xdr:cNvSpPr txBox="1"/>
          </xdr:nvSpPr>
          <xdr:spPr>
            <a:xfrm>
              <a:off x="2705100" y="21054060"/>
              <a:ext cx="1216167" cy="344453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r>
                <a:rPr lang="en-US" sz="1100" b="0" i="0">
                  <a:latin typeface="Cambria Math" panose="02040503050406030204" pitchFamily="18" charset="0"/>
                </a:rPr>
                <a:t>2𝐻_2 𝑂 →2𝐻_2+𝑂_2</a:t>
              </a:r>
              <a:endParaRPr lang="en-US" sz="1100" b="0"/>
            </a:p>
            <a:p>
              <a:endParaRPr lang="en-IN" sz="1100"/>
            </a:p>
          </xdr:txBody>
        </xdr:sp>
      </mc:Fallback>
    </mc:AlternateContent>
    <xdr:clientData/>
  </xdr:one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603885</xdr:colOff>
      <xdr:row>8</xdr:row>
      <xdr:rowOff>1082040</xdr:rowOff>
    </xdr:from>
    <xdr:to>
      <xdr:col>13</xdr:col>
      <xdr:colOff>512445</xdr:colOff>
      <xdr:row>21</xdr:row>
      <xdr:rowOff>137160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50278560-5CCF-EA41-2F5C-31941DD96559}"/>
            </a:ext>
          </a:extLst>
        </xdr:cNvPr>
        <xdr:cNvSpPr txBox="1"/>
      </xdr:nvSpPr>
      <xdr:spPr>
        <a:xfrm>
          <a:off x="8985885" y="2996565"/>
          <a:ext cx="3966210" cy="450342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IN" sz="1600" kern="1200"/>
            <a:t>Reformer</a:t>
          </a:r>
          <a:r>
            <a:rPr lang="en-IN" sz="1600" kern="1200" baseline="0"/>
            <a:t> </a:t>
          </a:r>
        </a:p>
        <a:p>
          <a:pPr algn="ctr"/>
          <a:endParaRPr lang="en-IN" sz="1600" kern="1200" baseline="0"/>
        </a:p>
        <a:p>
          <a:pPr algn="ctr"/>
          <a:r>
            <a:rPr lang="en-IN" sz="1600" kern="1200" baseline="0"/>
            <a:t>+ Water Gas Shift</a:t>
          </a:r>
          <a:endParaRPr lang="en-IN" sz="1600" kern="1200"/>
        </a:p>
      </xdr:txBody>
    </xdr:sp>
    <xdr:clientData/>
  </xdr:twoCellAnchor>
  <xdr:twoCellAnchor>
    <xdr:from>
      <xdr:col>13</xdr:col>
      <xdr:colOff>512445</xdr:colOff>
      <xdr:row>8</xdr:row>
      <xdr:rowOff>1851660</xdr:rowOff>
    </xdr:from>
    <xdr:to>
      <xdr:col>15</xdr:col>
      <xdr:colOff>108585</xdr:colOff>
      <xdr:row>16</xdr:row>
      <xdr:rowOff>175260</xdr:rowOff>
    </xdr:to>
    <xdr:cxnSp macro="">
      <xdr:nvCxnSpPr>
        <xdr:cNvPr id="4" name="Straight Arrow Connector 3">
          <a:extLst>
            <a:ext uri="{FF2B5EF4-FFF2-40B4-BE49-F238E27FC236}">
              <a16:creationId xmlns:a16="http://schemas.microsoft.com/office/drawing/2014/main" id="{FC00AF0E-29E2-D05A-EF1C-0B2B8E46CE80}"/>
            </a:ext>
            <a:ext uri="{147F2762-F138-4A5C-976F-8EAC2B608ADB}">
              <a16:predDERef xmlns:a16="http://schemas.microsoft.com/office/drawing/2014/main" pred="{50278560-5CCF-EA41-2F5C-31941DD96559}"/>
            </a:ext>
          </a:extLst>
        </xdr:cNvPr>
        <xdr:cNvCxnSpPr>
          <a:stCxn id="2" idx="3"/>
          <a:extLst>
            <a:ext uri="{5F17804C-33F3-41E3-A699-7DCFA2EF7971}">
              <a16:cxnDERefs xmlns:a16="http://schemas.microsoft.com/office/drawing/2014/main" st="{50278560-5CCF-EA41-2F5C-31941DD96559}" end="{00000000-0000-0000-0000-000000000000}"/>
            </a:ext>
          </a:extLst>
        </xdr:cNvCxnSpPr>
      </xdr:nvCxnSpPr>
      <xdr:spPr>
        <a:xfrm flipV="1">
          <a:off x="12952095" y="3766185"/>
          <a:ext cx="815340" cy="2781300"/>
        </a:xfrm>
        <a:prstGeom prst="straightConnector1">
          <a:avLst/>
        </a:prstGeom>
        <a:ln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14</xdr:col>
      <xdr:colOff>487680</xdr:colOff>
      <xdr:row>4</xdr:row>
      <xdr:rowOff>175260</xdr:rowOff>
    </xdr:from>
    <xdr:to>
      <xdr:col>18</xdr:col>
      <xdr:colOff>289560</xdr:colOff>
      <xdr:row>12</xdr:row>
      <xdr:rowOff>175260</xdr:rowOff>
    </xdr:to>
    <xdr:sp macro="" textlink="">
      <xdr:nvSpPr>
        <xdr:cNvPr id="5" name="TextBox 4">
          <a:extLst>
            <a:ext uri="{FF2B5EF4-FFF2-40B4-BE49-F238E27FC236}">
              <a16:creationId xmlns:a16="http://schemas.microsoft.com/office/drawing/2014/main" id="{A5E292D0-B0C3-4C3C-789B-B75FF51B0848}"/>
            </a:ext>
          </a:extLst>
        </xdr:cNvPr>
        <xdr:cNvSpPr txBox="1"/>
      </xdr:nvSpPr>
      <xdr:spPr>
        <a:xfrm>
          <a:off x="9022080" y="906780"/>
          <a:ext cx="2240280" cy="146304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IN" sz="1400" kern="1200"/>
            <a:t>PSA</a:t>
          </a:r>
        </a:p>
      </xdr:txBody>
    </xdr:sp>
    <xdr:clientData/>
  </xdr:twoCellAnchor>
  <xdr:twoCellAnchor editAs="oneCell">
    <xdr:from>
      <xdr:col>13</xdr:col>
      <xdr:colOff>259080</xdr:colOff>
      <xdr:row>13</xdr:row>
      <xdr:rowOff>68580</xdr:rowOff>
    </xdr:from>
    <xdr:to>
      <xdr:col>22</xdr:col>
      <xdr:colOff>393214</xdr:colOff>
      <xdr:row>22</xdr:row>
      <xdr:rowOff>99299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41F0BB74-16A4-B601-6277-00A3BB91479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8183880" y="2446020"/>
          <a:ext cx="5620534" cy="1714739"/>
        </a:xfrm>
        <a:prstGeom prst="rect">
          <a:avLst/>
        </a:prstGeom>
      </xdr:spPr>
    </xdr:pic>
    <xdr:clientData/>
  </xdr:twoCellAnchor>
  <xdr:twoCellAnchor editAs="oneCell">
    <xdr:from>
      <xdr:col>1</xdr:col>
      <xdr:colOff>1</xdr:colOff>
      <xdr:row>8</xdr:row>
      <xdr:rowOff>0</xdr:rowOff>
    </xdr:from>
    <xdr:to>
      <xdr:col>7</xdr:col>
      <xdr:colOff>182002</xdr:colOff>
      <xdr:row>8</xdr:row>
      <xdr:rowOff>2941320</xdr:rowOff>
    </xdr:to>
    <xdr:pic>
      <xdr:nvPicPr>
        <xdr:cNvPr id="6" name="Picture 5">
          <a:extLst>
            <a:ext uri="{FF2B5EF4-FFF2-40B4-BE49-F238E27FC236}">
              <a16:creationId xmlns:a16="http://schemas.microsoft.com/office/drawing/2014/main" id="{61096B46-8971-B950-222B-D307AB66890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3474721" y="1828800"/>
          <a:ext cx="3769116" cy="2941320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541020</xdr:colOff>
      <xdr:row>5</xdr:row>
      <xdr:rowOff>160020</xdr:rowOff>
    </xdr:from>
    <xdr:to>
      <xdr:col>11</xdr:col>
      <xdr:colOff>274320</xdr:colOff>
      <xdr:row>14</xdr:row>
      <xdr:rowOff>129540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25A7F89F-4FF9-89F0-BD5A-C8665E477525}"/>
            </a:ext>
          </a:extLst>
        </xdr:cNvPr>
        <xdr:cNvSpPr txBox="1"/>
      </xdr:nvSpPr>
      <xdr:spPr>
        <a:xfrm>
          <a:off x="3589020" y="1074420"/>
          <a:ext cx="2171700" cy="161544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IN" sz="1600" kern="1200"/>
            <a:t>Steam</a:t>
          </a:r>
          <a:r>
            <a:rPr lang="en-IN" sz="1600" kern="1200" baseline="0"/>
            <a:t> Gasification + WGS</a:t>
          </a:r>
          <a:endParaRPr lang="en-IN" sz="1600" kern="1200"/>
        </a:p>
      </xdr:txBody>
    </xdr:sp>
    <xdr:clientData/>
  </xdr:twoCellAnchor>
  <xdr:twoCellAnchor>
    <xdr:from>
      <xdr:col>11</xdr:col>
      <xdr:colOff>274320</xdr:colOff>
      <xdr:row>10</xdr:row>
      <xdr:rowOff>53340</xdr:rowOff>
    </xdr:from>
    <xdr:to>
      <xdr:col>14</xdr:col>
      <xdr:colOff>251460</xdr:colOff>
      <xdr:row>10</xdr:row>
      <xdr:rowOff>60960</xdr:rowOff>
    </xdr:to>
    <xdr:cxnSp macro="">
      <xdr:nvCxnSpPr>
        <xdr:cNvPr id="4" name="Straight Arrow Connector 3">
          <a:extLst>
            <a:ext uri="{FF2B5EF4-FFF2-40B4-BE49-F238E27FC236}">
              <a16:creationId xmlns:a16="http://schemas.microsoft.com/office/drawing/2014/main" id="{BA0CB8A7-D0F0-9F98-0E0C-D59A4F9C8324}"/>
            </a:ext>
          </a:extLst>
        </xdr:cNvPr>
        <xdr:cNvCxnSpPr>
          <a:stCxn id="2" idx="3"/>
          <a:endCxn id="5" idx="1"/>
        </xdr:cNvCxnSpPr>
      </xdr:nvCxnSpPr>
      <xdr:spPr>
        <a:xfrm>
          <a:off x="5760720" y="1882140"/>
          <a:ext cx="1805940" cy="7620"/>
        </a:xfrm>
        <a:prstGeom prst="straightConnector1">
          <a:avLst/>
        </a:prstGeom>
        <a:ln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14</xdr:col>
      <xdr:colOff>251460</xdr:colOff>
      <xdr:row>6</xdr:row>
      <xdr:rowOff>7620</xdr:rowOff>
    </xdr:from>
    <xdr:to>
      <xdr:col>17</xdr:col>
      <xdr:colOff>403860</xdr:colOff>
      <xdr:row>14</xdr:row>
      <xdr:rowOff>114300</xdr:rowOff>
    </xdr:to>
    <xdr:sp macro="" textlink="">
      <xdr:nvSpPr>
        <xdr:cNvPr id="5" name="TextBox 4">
          <a:extLst>
            <a:ext uri="{FF2B5EF4-FFF2-40B4-BE49-F238E27FC236}">
              <a16:creationId xmlns:a16="http://schemas.microsoft.com/office/drawing/2014/main" id="{161A3A60-CADB-351D-41B6-6F4E88FA7F6E}"/>
            </a:ext>
          </a:extLst>
        </xdr:cNvPr>
        <xdr:cNvSpPr txBox="1"/>
      </xdr:nvSpPr>
      <xdr:spPr>
        <a:xfrm>
          <a:off x="7566660" y="1104900"/>
          <a:ext cx="1981200" cy="156972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IN" sz="1400" kern="1200"/>
            <a:t>PSA</a:t>
          </a:r>
        </a:p>
      </xdr:txBody>
    </xdr:sp>
    <xdr:clientData/>
  </xdr:twoCellAnchor>
  <xdr:twoCellAnchor editAs="oneCell">
    <xdr:from>
      <xdr:col>13</xdr:col>
      <xdr:colOff>60960</xdr:colOff>
      <xdr:row>15</xdr:row>
      <xdr:rowOff>7620</xdr:rowOff>
    </xdr:from>
    <xdr:to>
      <xdr:col>22</xdr:col>
      <xdr:colOff>195094</xdr:colOff>
      <xdr:row>24</xdr:row>
      <xdr:rowOff>76439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E1593185-5850-A354-515A-F6E88EE02CF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6766560" y="2750820"/>
          <a:ext cx="5620534" cy="1714739"/>
        </a:xfrm>
        <a:prstGeom prst="rect">
          <a:avLst/>
        </a:prstGeom>
      </xdr:spPr>
    </xdr:pic>
    <xdr:clientData/>
  </xdr:twoCellAnchor>
  <xdr:twoCellAnchor editAs="oneCell">
    <xdr:from>
      <xdr:col>0</xdr:col>
      <xdr:colOff>297180</xdr:colOff>
      <xdr:row>15</xdr:row>
      <xdr:rowOff>15240</xdr:rowOff>
    </xdr:from>
    <xdr:to>
      <xdr:col>7</xdr:col>
      <xdr:colOff>397187</xdr:colOff>
      <xdr:row>17</xdr:row>
      <xdr:rowOff>106744</xdr:rowOff>
    </xdr:to>
    <xdr:pic>
      <xdr:nvPicPr>
        <xdr:cNvPr id="7" name="Picture 6">
          <a:extLst>
            <a:ext uri="{FF2B5EF4-FFF2-40B4-BE49-F238E27FC236}">
              <a16:creationId xmlns:a16="http://schemas.microsoft.com/office/drawing/2014/main" id="{B965CBCA-C9E4-FA9E-07F5-8BC70488109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297180" y="3383280"/>
          <a:ext cx="6782747" cy="457264"/>
        </a:xfrm>
        <a:prstGeom prst="rect">
          <a:avLst/>
        </a:prstGeom>
      </xdr:spPr>
    </xdr:pic>
    <xdr:clientData/>
  </xdr:twoCellAnchor>
  <xdr:oneCellAnchor>
    <xdr:from>
      <xdr:col>0</xdr:col>
      <xdr:colOff>91440</xdr:colOff>
      <xdr:row>11</xdr:row>
      <xdr:rowOff>167640</xdr:rowOff>
    </xdr:from>
    <xdr:ext cx="3451860" cy="459105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9" name="TextBox 8">
              <a:extLst>
                <a:ext uri="{FF2B5EF4-FFF2-40B4-BE49-F238E27FC236}">
                  <a16:creationId xmlns:a16="http://schemas.microsoft.com/office/drawing/2014/main" id="{9CC51BBE-7E08-4F82-9D5B-00B84A0511F6}"/>
                </a:ext>
              </a:extLst>
            </xdr:cNvPr>
            <xdr:cNvSpPr txBox="1"/>
          </xdr:nvSpPr>
          <xdr:spPr>
            <a:xfrm>
              <a:off x="91440" y="2804160"/>
              <a:ext cx="3451860" cy="459105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no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en-US" sz="1100" b="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n-US" sz="1100" b="0" i="1">
                            <a:latin typeface="Cambria Math" panose="02040503050406030204" pitchFamily="18" charset="0"/>
                          </a:rPr>
                          <m:t>𝐶</m:t>
                        </m:r>
                      </m:e>
                      <m:sub>
                        <m:r>
                          <a:rPr lang="en-US" sz="1100" b="0" i="1">
                            <a:latin typeface="Cambria Math" panose="02040503050406030204" pitchFamily="18" charset="0"/>
                          </a:rPr>
                          <m:t>𝑛</m:t>
                        </m:r>
                      </m:sub>
                    </m:sSub>
                    <m:sSub>
                      <m:sSubPr>
                        <m:ctrlPr>
                          <a:rPr lang="en-US" sz="1100" b="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n-US" sz="1100" b="0" i="1">
                            <a:latin typeface="Cambria Math" panose="02040503050406030204" pitchFamily="18" charset="0"/>
                          </a:rPr>
                          <m:t>𝐻</m:t>
                        </m:r>
                      </m:e>
                      <m:sub>
                        <m:r>
                          <a:rPr lang="en-US" sz="1100" b="0" i="1">
                            <a:latin typeface="Cambria Math" panose="02040503050406030204" pitchFamily="18" charset="0"/>
                          </a:rPr>
                          <m:t>𝑚</m:t>
                        </m:r>
                      </m:sub>
                    </m:sSub>
                    <m:sSub>
                      <m:sSubPr>
                        <m:ctrlPr>
                          <a:rPr lang="en-US" sz="1100" b="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n-US" sz="1100" b="0" i="1">
                            <a:latin typeface="Cambria Math" panose="02040503050406030204" pitchFamily="18" charset="0"/>
                          </a:rPr>
                          <m:t>𝑂</m:t>
                        </m:r>
                      </m:e>
                      <m:sub>
                        <m:r>
                          <a:rPr lang="en-US" sz="1100" b="0" i="1">
                            <a:latin typeface="Cambria Math" panose="02040503050406030204" pitchFamily="18" charset="0"/>
                          </a:rPr>
                          <m:t>𝑘</m:t>
                        </m:r>
                      </m:sub>
                    </m:sSub>
                    <m:r>
                      <a:rPr lang="en-US" sz="1100" b="0" i="1">
                        <a:latin typeface="Cambria Math" panose="02040503050406030204" pitchFamily="18" charset="0"/>
                      </a:rPr>
                      <m:t>+</m:t>
                    </m:r>
                    <m:d>
                      <m:dPr>
                        <m:ctrlPr>
                          <a:rPr lang="en-US" sz="1100" b="0" i="1">
                            <a:latin typeface="Cambria Math" panose="02040503050406030204" pitchFamily="18" charset="0"/>
                          </a:rPr>
                        </m:ctrlPr>
                      </m:dPr>
                      <m:e>
                        <m:r>
                          <a:rPr lang="en-US" sz="1100" b="0" i="1">
                            <a:latin typeface="Cambria Math" panose="02040503050406030204" pitchFamily="18" charset="0"/>
                          </a:rPr>
                          <m:t>2</m:t>
                        </m:r>
                        <m:r>
                          <a:rPr lang="en-US" sz="1100" b="0" i="1">
                            <a:latin typeface="Cambria Math" panose="02040503050406030204" pitchFamily="18" charset="0"/>
                          </a:rPr>
                          <m:t>𝑛</m:t>
                        </m:r>
                        <m:r>
                          <a:rPr lang="en-US" sz="1100" b="0" i="1">
                            <a:latin typeface="Cambria Math" panose="02040503050406030204" pitchFamily="18" charset="0"/>
                          </a:rPr>
                          <m:t>−</m:t>
                        </m:r>
                        <m:r>
                          <a:rPr lang="en-US" sz="1100" b="0" i="1">
                            <a:latin typeface="Cambria Math" panose="02040503050406030204" pitchFamily="18" charset="0"/>
                          </a:rPr>
                          <m:t>𝑘</m:t>
                        </m:r>
                      </m:e>
                    </m:d>
                    <m:sSub>
                      <m:sSubPr>
                        <m:ctrlPr>
                          <a:rPr lang="en-US" sz="1100" b="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n-US" sz="1100" b="0" i="1">
                            <a:latin typeface="Cambria Math" panose="02040503050406030204" pitchFamily="18" charset="0"/>
                          </a:rPr>
                          <m:t>𝐻</m:t>
                        </m:r>
                      </m:e>
                      <m:sub>
                        <m:r>
                          <a:rPr lang="en-US" sz="1100" b="0" i="1">
                            <a:latin typeface="Cambria Math" panose="02040503050406030204" pitchFamily="18" charset="0"/>
                          </a:rPr>
                          <m:t>2</m:t>
                        </m:r>
                      </m:sub>
                    </m:sSub>
                    <m:r>
                      <a:rPr lang="en-US" sz="1100" b="0" i="1">
                        <a:latin typeface="Cambria Math" panose="02040503050406030204" pitchFamily="18" charset="0"/>
                      </a:rPr>
                      <m:t>𝑂</m:t>
                    </m:r>
                    <m:r>
                      <a:rPr lang="en-US" sz="1100" b="0" i="1">
                        <a:latin typeface="Cambria Math" panose="02040503050406030204" pitchFamily="18" charset="0"/>
                      </a:rPr>
                      <m:t> →</m:t>
                    </m:r>
                    <m:r>
                      <a:rPr lang="en-US" sz="1100" b="0" i="1">
                        <a:latin typeface="Cambria Math" panose="02040503050406030204" pitchFamily="18" charset="0"/>
                      </a:rPr>
                      <m:t>𝑛𝐶</m:t>
                    </m:r>
                    <m:sSub>
                      <m:sSubPr>
                        <m:ctrlPr>
                          <a:rPr lang="en-US" sz="1100" b="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n-US" sz="1100" b="0" i="1">
                            <a:latin typeface="Cambria Math" panose="02040503050406030204" pitchFamily="18" charset="0"/>
                          </a:rPr>
                          <m:t>𝑂</m:t>
                        </m:r>
                      </m:e>
                      <m:sub>
                        <m:r>
                          <a:rPr lang="en-US" sz="1100" b="0" i="1">
                            <a:latin typeface="Cambria Math" panose="02040503050406030204" pitchFamily="18" charset="0"/>
                          </a:rPr>
                          <m:t>2</m:t>
                        </m:r>
                      </m:sub>
                    </m:sSub>
                    <m:r>
                      <a:rPr lang="en-US" sz="1100" b="0" i="1">
                        <a:latin typeface="Cambria Math" panose="02040503050406030204" pitchFamily="18" charset="0"/>
                      </a:rPr>
                      <m:t>+</m:t>
                    </m:r>
                    <m:d>
                      <m:dPr>
                        <m:ctrlPr>
                          <a:rPr lang="en-US" sz="1100" b="0" i="1">
                            <a:latin typeface="Cambria Math" panose="02040503050406030204" pitchFamily="18" charset="0"/>
                          </a:rPr>
                        </m:ctrlPr>
                      </m:dPr>
                      <m:e>
                        <m:r>
                          <a:rPr lang="en-US" sz="1100" b="0" i="1">
                            <a:latin typeface="Cambria Math" panose="02040503050406030204" pitchFamily="18" charset="0"/>
                          </a:rPr>
                          <m:t>2</m:t>
                        </m:r>
                        <m:r>
                          <a:rPr lang="en-US" sz="1100" b="0" i="1">
                            <a:latin typeface="Cambria Math" panose="02040503050406030204" pitchFamily="18" charset="0"/>
                          </a:rPr>
                          <m:t>𝑛</m:t>
                        </m:r>
                        <m:r>
                          <a:rPr lang="en-US" sz="1100" b="0" i="1">
                            <a:latin typeface="Cambria Math" panose="02040503050406030204" pitchFamily="18" charset="0"/>
                          </a:rPr>
                          <m:t>+</m:t>
                        </m:r>
                        <m:f>
                          <m:fPr>
                            <m:ctrlPr>
                              <a:rPr lang="en-US" sz="1100" b="0" i="1">
                                <a:latin typeface="Cambria Math" panose="02040503050406030204" pitchFamily="18" charset="0"/>
                              </a:rPr>
                            </m:ctrlPr>
                          </m:fPr>
                          <m:num>
                            <m:r>
                              <a:rPr lang="en-US" sz="1100" b="0" i="1">
                                <a:latin typeface="Cambria Math" panose="02040503050406030204" pitchFamily="18" charset="0"/>
                              </a:rPr>
                              <m:t>𝑚</m:t>
                            </m:r>
                          </m:num>
                          <m:den>
                            <m:r>
                              <a:rPr lang="en-US" sz="1100" b="0" i="1">
                                <a:latin typeface="Cambria Math" panose="02040503050406030204" pitchFamily="18" charset="0"/>
                              </a:rPr>
                              <m:t>2</m:t>
                            </m:r>
                          </m:den>
                        </m:f>
                        <m:r>
                          <a:rPr lang="en-US" sz="1100" b="0" i="1">
                            <a:latin typeface="Cambria Math" panose="02040503050406030204" pitchFamily="18" charset="0"/>
                          </a:rPr>
                          <m:t>−</m:t>
                        </m:r>
                        <m:r>
                          <a:rPr lang="en-US" sz="1100" b="0" i="1">
                            <a:latin typeface="Cambria Math" panose="02040503050406030204" pitchFamily="18" charset="0"/>
                          </a:rPr>
                          <m:t>𝑘</m:t>
                        </m:r>
                      </m:e>
                    </m:d>
                    <m:sSub>
                      <m:sSubPr>
                        <m:ctrlPr>
                          <a:rPr lang="en-US" sz="1100" b="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n-US" sz="1100" b="0" i="1">
                            <a:latin typeface="Cambria Math" panose="02040503050406030204" pitchFamily="18" charset="0"/>
                          </a:rPr>
                          <m:t>𝐻</m:t>
                        </m:r>
                      </m:e>
                      <m:sub>
                        <m:r>
                          <a:rPr lang="en-US" sz="1100" b="0" i="1">
                            <a:latin typeface="Cambria Math" panose="02040503050406030204" pitchFamily="18" charset="0"/>
                          </a:rPr>
                          <m:t>2</m:t>
                        </m:r>
                      </m:sub>
                    </m:sSub>
                  </m:oMath>
                </m:oMathPara>
              </a14:m>
              <a:endParaRPr lang="en-US" sz="1100" b="0"/>
            </a:p>
            <a:p>
              <a:endParaRPr lang="en-IN" sz="1100"/>
            </a:p>
          </xdr:txBody>
        </xdr:sp>
      </mc:Choice>
      <mc:Fallback xmlns="">
        <xdr:sp macro="" textlink="">
          <xdr:nvSpPr>
            <xdr:cNvPr id="9" name="TextBox 8">
              <a:extLst>
                <a:ext uri="{FF2B5EF4-FFF2-40B4-BE49-F238E27FC236}">
                  <a16:creationId xmlns:a16="http://schemas.microsoft.com/office/drawing/2014/main" id="{9CC51BBE-7E08-4F82-9D5B-00B84A0511F6}"/>
                </a:ext>
              </a:extLst>
            </xdr:cNvPr>
            <xdr:cNvSpPr txBox="1"/>
          </xdr:nvSpPr>
          <xdr:spPr>
            <a:xfrm>
              <a:off x="91440" y="2804160"/>
              <a:ext cx="3451860" cy="459105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noAutofit/>
            </a:bodyPr>
            <a:lstStyle/>
            <a:p>
              <a:pPr/>
              <a:r>
                <a:rPr lang="en-US" sz="1100" b="0" i="0">
                  <a:latin typeface="Cambria Math" panose="02040503050406030204" pitchFamily="18" charset="0"/>
                </a:rPr>
                <a:t>𝐶_𝑛 𝐻_𝑚 𝑂_𝑘+(2𝑛−𝑘) 𝐻_2 𝑂 →𝑛𝐶𝑂_2+(2𝑛+𝑚/2−𝑘) 𝐻_2</a:t>
              </a:r>
              <a:endParaRPr lang="en-US" sz="1100" b="0"/>
            </a:p>
            <a:p>
              <a:endParaRPr lang="en-IN" sz="1100"/>
            </a:p>
          </xdr:txBody>
        </xdr:sp>
      </mc:Fallback>
    </mc:AlternateContent>
    <xdr:clientData/>
  </xdr:oneCellAnchor>
  <xdr:twoCellAnchor editAs="oneCell">
    <xdr:from>
      <xdr:col>9</xdr:col>
      <xdr:colOff>344805</xdr:colOff>
      <xdr:row>25</xdr:row>
      <xdr:rowOff>11431</xdr:rowOff>
    </xdr:from>
    <xdr:to>
      <xdr:col>17</xdr:col>
      <xdr:colOff>598971</xdr:colOff>
      <xdr:row>37</xdr:row>
      <xdr:rowOff>41911</xdr:rowOff>
    </xdr:to>
    <xdr:pic>
      <xdr:nvPicPr>
        <xdr:cNvPr id="6" name="Picture 5">
          <a:extLst>
            <a:ext uri="{FF2B5EF4-FFF2-40B4-BE49-F238E27FC236}">
              <a16:creationId xmlns:a16="http://schemas.microsoft.com/office/drawing/2014/main" id="{25C5E791-763A-41BE-387B-156A7EDB38A6}"/>
            </a:ext>
            <a:ext uri="{147F2762-F138-4A5C-976F-8EAC2B608ADB}">
              <a16:predDERef xmlns:a16="http://schemas.microsoft.com/office/drawing/2014/main" pred="{9CC51BBE-7E08-4F82-9D5B-00B84A0511F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8069580" y="5154931"/>
          <a:ext cx="5130966" cy="2202180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oneCellAnchor>
    <xdr:from>
      <xdr:col>6</xdr:col>
      <xdr:colOff>0</xdr:colOff>
      <xdr:row>16</xdr:row>
      <xdr:rowOff>0</xdr:rowOff>
    </xdr:from>
    <xdr:ext cx="3168367" cy="416204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2" name="TextBox 1">
              <a:extLst>
                <a:ext uri="{FF2B5EF4-FFF2-40B4-BE49-F238E27FC236}">
                  <a16:creationId xmlns:a16="http://schemas.microsoft.com/office/drawing/2014/main" id="{3609A562-F659-4881-ADD1-7F2EFE211F8D}"/>
                </a:ext>
              </a:extLst>
            </xdr:cNvPr>
            <xdr:cNvSpPr txBox="1"/>
          </xdr:nvSpPr>
          <xdr:spPr>
            <a:xfrm>
              <a:off x="9273540" y="2941320"/>
              <a:ext cx="3168367" cy="416204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en-US" sz="1100" b="0" i="1">
                        <a:latin typeface="Cambria Math" panose="02040503050406030204" pitchFamily="18" charset="0"/>
                      </a:rPr>
                      <m:t>𝐹𝐶</m:t>
                    </m:r>
                    <m:sSub>
                      <m:sSubPr>
                        <m:ctrlPr>
                          <a:rPr lang="en-US" sz="1100" b="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n-US" sz="1100" b="0" i="1">
                            <a:latin typeface="Cambria Math" panose="02040503050406030204" pitchFamily="18" charset="0"/>
                          </a:rPr>
                          <m:t>𝐼</m:t>
                        </m:r>
                      </m:e>
                      <m:sub>
                        <m:r>
                          <a:rPr lang="en-US" sz="1100" b="0" i="1">
                            <a:latin typeface="Cambria Math" panose="02040503050406030204" pitchFamily="18" charset="0"/>
                          </a:rPr>
                          <m:t>2022</m:t>
                        </m:r>
                      </m:sub>
                    </m:sSub>
                    <m:r>
                      <a:rPr lang="en-US" sz="1100" b="0" i="1">
                        <a:latin typeface="Cambria Math" panose="02040503050406030204" pitchFamily="18" charset="0"/>
                      </a:rPr>
                      <m:t>𝑖𝑛</m:t>
                    </m:r>
                    <m:r>
                      <a:rPr lang="en-US" sz="1100" b="0" i="1">
                        <a:latin typeface="Cambria Math" panose="02040503050406030204" pitchFamily="18" charset="0"/>
                      </a:rPr>
                      <m:t> $=25000×</m:t>
                    </m:r>
                    <m:r>
                      <a:rPr lang="en-US" sz="1100" b="0" i="1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𝑁</m:t>
                    </m:r>
                    <m:r>
                      <a:rPr lang="en-US" sz="1100" b="0" i="1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×</m:t>
                    </m:r>
                    <m:sSup>
                      <m:sSupPr>
                        <m:ctrlPr>
                          <a:rPr lang="en-US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</m:ctrlPr>
                      </m:sSupPr>
                      <m:e>
                        <m:d>
                          <m:dPr>
                            <m:ctrlPr>
                              <a:rPr lang="en-US" sz="1100" b="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</m:ctrlPr>
                          </m:dPr>
                          <m:e>
                            <m:r>
                              <a:rPr lang="en-US" sz="1100" b="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𝑃𝑟𝑜𝑑𝑢𝑐𝑡</m:t>
                            </m:r>
                            <m:r>
                              <a:rPr lang="en-US" sz="1100" b="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 </m:t>
                            </m:r>
                            <m:r>
                              <a:rPr lang="en-US" sz="1100" b="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𝑖𝑛</m:t>
                            </m:r>
                            <m:f>
                              <m:fPr>
                                <m:ctrlPr>
                                  <a:rPr lang="en-US" sz="1100" b="0" i="1">
                                    <a:latin typeface="Cambria Math" panose="02040503050406030204" pitchFamily="18" charset="0"/>
                                    <a:ea typeface="Cambria Math" panose="02040503050406030204" pitchFamily="18" charset="0"/>
                                  </a:rPr>
                                </m:ctrlPr>
                              </m:fPr>
                              <m:num>
                                <m:r>
                                  <a:rPr lang="en-US" sz="1100" b="0" i="1">
                                    <a:latin typeface="Cambria Math" panose="02040503050406030204" pitchFamily="18" charset="0"/>
                                    <a:ea typeface="Cambria Math" panose="02040503050406030204" pitchFamily="18" charset="0"/>
                                  </a:rPr>
                                  <m:t>𝑡𝑜𝑛𝑛𝑒</m:t>
                                </m:r>
                              </m:num>
                              <m:den>
                                <m:r>
                                  <a:rPr lang="en-US" sz="1100" b="0" i="1">
                                    <a:latin typeface="Cambria Math" panose="02040503050406030204" pitchFamily="18" charset="0"/>
                                    <a:ea typeface="Cambria Math" panose="02040503050406030204" pitchFamily="18" charset="0"/>
                                  </a:rPr>
                                  <m:t>𝑦𝑟</m:t>
                                </m:r>
                              </m:den>
                            </m:f>
                          </m:e>
                        </m:d>
                      </m:e>
                      <m:sup>
                        <m:r>
                          <a:rPr lang="en-US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0.65</m:t>
                        </m:r>
                      </m:sup>
                    </m:sSup>
                  </m:oMath>
                </m:oMathPara>
              </a14:m>
              <a:endParaRPr lang="en-US" sz="1100"/>
            </a:p>
          </xdr:txBody>
        </xdr:sp>
      </mc:Choice>
      <mc:Fallback xmlns="">
        <xdr:sp macro="" textlink="">
          <xdr:nvSpPr>
            <xdr:cNvPr id="2" name="TextBox 1">
              <a:extLst>
                <a:ext uri="{FF2B5EF4-FFF2-40B4-BE49-F238E27FC236}">
                  <a16:creationId xmlns:a16="http://schemas.microsoft.com/office/drawing/2014/main" id="{3609A562-F659-4881-ADD1-7F2EFE211F8D}"/>
                </a:ext>
              </a:extLst>
            </xdr:cNvPr>
            <xdr:cNvSpPr txBox="1"/>
          </xdr:nvSpPr>
          <xdr:spPr>
            <a:xfrm>
              <a:off x="9273540" y="2941320"/>
              <a:ext cx="3168367" cy="416204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:r>
                <a:rPr lang="en-US" sz="1100" b="0" i="0">
                  <a:latin typeface="Cambria Math" panose="02040503050406030204" pitchFamily="18" charset="0"/>
                </a:rPr>
                <a:t>𝐹𝐶𝐼_2022 𝑖𝑛 $=25000×</a:t>
              </a:r>
              <a:r>
                <a:rPr lang="en-US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𝑁×(𝑃𝑟𝑜𝑑𝑢𝑐𝑡 𝑖𝑛 𝑡𝑜𝑛𝑛𝑒/𝑦𝑟)^0.65</a:t>
              </a:r>
              <a:endParaRPr lang="en-US" sz="1100"/>
            </a:p>
          </xdr:txBody>
        </xdr:sp>
      </mc:Fallback>
    </mc:AlternateContent>
    <xdr:clientData/>
  </xdr:oneCellAnchor>
  <xdr:oneCellAnchor>
    <xdr:from>
      <xdr:col>5</xdr:col>
      <xdr:colOff>525780</xdr:colOff>
      <xdr:row>17</xdr:row>
      <xdr:rowOff>45720</xdr:rowOff>
    </xdr:from>
    <xdr:ext cx="2206310" cy="1069267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3" name="TextBox 2">
              <a:extLst>
                <a:ext uri="{FF2B5EF4-FFF2-40B4-BE49-F238E27FC236}">
                  <a16:creationId xmlns:a16="http://schemas.microsoft.com/office/drawing/2014/main" id="{5A356C6C-2157-4559-A71A-330ECF419010}"/>
                </a:ext>
              </a:extLst>
            </xdr:cNvPr>
            <xdr:cNvSpPr txBox="1"/>
          </xdr:nvSpPr>
          <xdr:spPr>
            <a:xfrm>
              <a:off x="8450580" y="3169920"/>
              <a:ext cx="2206310" cy="106926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endParaRPr lang="en-US" sz="1100" b="0">
                <a:ea typeface="Cambria Math" panose="02040503050406030204" pitchFamily="18" charset="0"/>
              </a:endParaRPr>
            </a:p>
            <a:p>
              <a:endParaRPr lang="en-US" sz="1100" b="0">
                <a:ea typeface="Cambria Math" panose="02040503050406030204" pitchFamily="18" charset="0"/>
              </a:endParaRPr>
            </a:p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en-US" sz="1100" b="0" i="1">
                        <a:latin typeface="Cambria Math" panose="02040503050406030204" pitchFamily="18" charset="0"/>
                      </a:rPr>
                      <m:t>𝐹𝐶</m:t>
                    </m:r>
                    <m:sSub>
                      <m:sSubPr>
                        <m:ctrlPr>
                          <a:rPr lang="en-US" sz="1100" b="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n-US" sz="1100" b="0" i="1">
                            <a:latin typeface="Cambria Math" panose="02040503050406030204" pitchFamily="18" charset="0"/>
                          </a:rPr>
                          <m:t>𝐼</m:t>
                        </m:r>
                      </m:e>
                      <m:sub>
                        <m:r>
                          <a:rPr lang="en-US" sz="1100" b="0" i="1">
                            <a:latin typeface="Cambria Math" panose="02040503050406030204" pitchFamily="18" charset="0"/>
                          </a:rPr>
                          <m:t>𝑙𝑎𝑡𝑒𝑠𝑡</m:t>
                        </m:r>
                      </m:sub>
                    </m:sSub>
                    <m:r>
                      <a:rPr lang="en-US" sz="1100" b="0" i="1">
                        <a:latin typeface="Cambria Math" panose="02040503050406030204" pitchFamily="18" charset="0"/>
                      </a:rPr>
                      <m:t>=</m:t>
                    </m:r>
                    <m:r>
                      <a:rPr lang="en-US" sz="1100" b="0" i="1">
                        <a:latin typeface="Cambria Math" panose="02040503050406030204" pitchFamily="18" charset="0"/>
                      </a:rPr>
                      <m:t>𝐹𝐶</m:t>
                    </m:r>
                    <m:sSub>
                      <m:sSubPr>
                        <m:ctrlPr>
                          <a:rPr lang="en-US" sz="1100" b="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n-US" sz="1100" b="0" i="1">
                            <a:latin typeface="Cambria Math" panose="02040503050406030204" pitchFamily="18" charset="0"/>
                          </a:rPr>
                          <m:t>𝐼</m:t>
                        </m:r>
                      </m:e>
                      <m:sub>
                        <m:r>
                          <a:rPr lang="en-US" sz="1100" b="0" i="1">
                            <a:latin typeface="Cambria Math" panose="02040503050406030204" pitchFamily="18" charset="0"/>
                          </a:rPr>
                          <m:t>2022</m:t>
                        </m:r>
                      </m:sub>
                    </m:sSub>
                    <m:d>
                      <m:dPr>
                        <m:ctrlPr>
                          <a:rPr lang="en-US" sz="1100" b="0" i="1">
                            <a:latin typeface="Cambria Math" panose="02040503050406030204" pitchFamily="18" charset="0"/>
                          </a:rPr>
                        </m:ctrlPr>
                      </m:dPr>
                      <m:e>
                        <m:f>
                          <m:fPr>
                            <m:ctrlPr>
                              <a:rPr lang="en-US" sz="1100" b="0" i="1">
                                <a:latin typeface="Cambria Math" panose="02040503050406030204" pitchFamily="18" charset="0"/>
                              </a:rPr>
                            </m:ctrlPr>
                          </m:fPr>
                          <m:num>
                            <m:r>
                              <a:rPr lang="en-US" sz="1100" b="0" i="1">
                                <a:latin typeface="Cambria Math" panose="02040503050406030204" pitchFamily="18" charset="0"/>
                              </a:rPr>
                              <m:t>𝐶𝐸𝑃𝐶</m:t>
                            </m:r>
                            <m:sSub>
                              <m:sSubPr>
                                <m:ctrlPr>
                                  <a:rPr lang="en-US" sz="1100" b="0" i="1">
                                    <a:latin typeface="Cambria Math" panose="02040503050406030204" pitchFamily="18" charset="0"/>
                                  </a:rPr>
                                </m:ctrlPr>
                              </m:sSubPr>
                              <m:e>
                                <m:r>
                                  <a:rPr lang="en-US" sz="1100" b="0" i="1">
                                    <a:latin typeface="Cambria Math" panose="02040503050406030204" pitchFamily="18" charset="0"/>
                                  </a:rPr>
                                  <m:t>𝐼</m:t>
                                </m:r>
                              </m:e>
                              <m:sub>
                                <m:r>
                                  <a:rPr lang="en-US" sz="1100" b="0" i="1">
                                    <a:latin typeface="Cambria Math" panose="02040503050406030204" pitchFamily="18" charset="0"/>
                                  </a:rPr>
                                  <m:t>𝑙𝑎𝑡𝑒𝑠𝑡</m:t>
                                </m:r>
                              </m:sub>
                            </m:sSub>
                          </m:num>
                          <m:den>
                            <m:r>
                              <a:rPr lang="en-US" sz="1100" b="0" i="1">
                                <a:latin typeface="Cambria Math" panose="02040503050406030204" pitchFamily="18" charset="0"/>
                              </a:rPr>
                              <m:t>𝐶𝐸𝑃𝐶</m:t>
                            </m:r>
                            <m:sSub>
                              <m:sSubPr>
                                <m:ctrlPr>
                                  <a:rPr lang="en-US" sz="1100" b="0" i="1">
                                    <a:latin typeface="Cambria Math" panose="02040503050406030204" pitchFamily="18" charset="0"/>
                                  </a:rPr>
                                </m:ctrlPr>
                              </m:sSubPr>
                              <m:e>
                                <m:r>
                                  <a:rPr lang="en-US" sz="1100" b="0" i="1">
                                    <a:latin typeface="Cambria Math" panose="02040503050406030204" pitchFamily="18" charset="0"/>
                                  </a:rPr>
                                  <m:t>𝐼</m:t>
                                </m:r>
                              </m:e>
                              <m:sub>
                                <m:r>
                                  <a:rPr lang="en-US" sz="1100" b="0" i="1">
                                    <a:latin typeface="Cambria Math" panose="02040503050406030204" pitchFamily="18" charset="0"/>
                                  </a:rPr>
                                  <m:t>2022</m:t>
                                </m:r>
                              </m:sub>
                            </m:sSub>
                          </m:den>
                        </m:f>
                      </m:e>
                    </m:d>
                  </m:oMath>
                </m:oMathPara>
              </a14:m>
              <a:endParaRPr lang="en-US" sz="1100" b="0"/>
            </a:p>
            <a:p>
              <a:endParaRPr lang="en-US" sz="1100" b="0"/>
            </a:p>
            <a:p>
              <a:endParaRPr lang="en-US" sz="1100"/>
            </a:p>
          </xdr:txBody>
        </xdr:sp>
      </mc:Choice>
      <mc:Fallback xmlns="">
        <xdr:sp macro="" textlink="">
          <xdr:nvSpPr>
            <xdr:cNvPr id="3" name="TextBox 2">
              <a:extLst>
                <a:ext uri="{FF2B5EF4-FFF2-40B4-BE49-F238E27FC236}">
                  <a16:creationId xmlns:a16="http://schemas.microsoft.com/office/drawing/2014/main" id="{5A356C6C-2157-4559-A71A-330ECF419010}"/>
                </a:ext>
              </a:extLst>
            </xdr:cNvPr>
            <xdr:cNvSpPr txBox="1"/>
          </xdr:nvSpPr>
          <xdr:spPr>
            <a:xfrm>
              <a:off x="8450580" y="3169920"/>
              <a:ext cx="2206310" cy="106926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endParaRPr lang="en-US" sz="1100" b="0">
                <a:ea typeface="Cambria Math" panose="02040503050406030204" pitchFamily="18" charset="0"/>
              </a:endParaRPr>
            </a:p>
            <a:p>
              <a:endParaRPr lang="en-US" sz="1100" b="0">
                <a:ea typeface="Cambria Math" panose="02040503050406030204" pitchFamily="18" charset="0"/>
              </a:endParaRPr>
            </a:p>
            <a:p>
              <a:pPr/>
              <a:r>
                <a:rPr lang="en-US" sz="1100" b="0" i="0">
                  <a:latin typeface="Cambria Math" panose="02040503050406030204" pitchFamily="18" charset="0"/>
                </a:rPr>
                <a:t>𝐹𝐶𝐼_𝑙𝑎𝑡𝑒𝑠𝑡=𝐹𝐶𝐼_2022 ((𝐶𝐸𝑃𝐶𝐼_𝑙𝑎𝑡𝑒𝑠𝑡)/(𝐶𝐸𝑃𝐶𝐼_2022 ))</a:t>
              </a:r>
              <a:endParaRPr lang="en-US" sz="1100" b="0"/>
            </a:p>
            <a:p>
              <a:endParaRPr lang="en-US" sz="1100" b="0"/>
            </a:p>
            <a:p>
              <a:endParaRPr lang="en-US" sz="1100"/>
            </a:p>
          </xdr:txBody>
        </xdr:sp>
      </mc:Fallback>
    </mc:AlternateContent>
    <xdr:clientData/>
  </xdr:oneCellAnchor>
  <xdr:twoCellAnchor editAs="oneCell">
    <xdr:from>
      <xdr:col>17</xdr:col>
      <xdr:colOff>0</xdr:colOff>
      <xdr:row>8</xdr:row>
      <xdr:rowOff>0</xdr:rowOff>
    </xdr:from>
    <xdr:to>
      <xdr:col>26</xdr:col>
      <xdr:colOff>382021</xdr:colOff>
      <xdr:row>10</xdr:row>
      <xdr:rowOff>15293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ACDFB43A-52EB-4331-8D49-0D4B18F91C4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7350740" y="1470660"/>
          <a:ext cx="7316221" cy="381053"/>
        </a:xfrm>
        <a:prstGeom prst="rect">
          <a:avLst/>
        </a:prstGeom>
      </xdr:spPr>
    </xdr:pic>
    <xdr:clientData/>
  </xdr:twoCellAnchor>
  <xdr:oneCellAnchor>
    <xdr:from>
      <xdr:col>9</xdr:col>
      <xdr:colOff>1389983</xdr:colOff>
      <xdr:row>15</xdr:row>
      <xdr:rowOff>126523</xdr:rowOff>
    </xdr:from>
    <xdr:ext cx="1924116" cy="175369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5" name="TextBox 4">
              <a:extLst>
                <a:ext uri="{FF2B5EF4-FFF2-40B4-BE49-F238E27FC236}">
                  <a16:creationId xmlns:a16="http://schemas.microsoft.com/office/drawing/2014/main" id="{C844C2A3-EEAE-FE8C-D195-6A5D35F76690}"/>
                </a:ext>
              </a:extLst>
            </xdr:cNvPr>
            <xdr:cNvSpPr txBox="1"/>
          </xdr:nvSpPr>
          <xdr:spPr>
            <a:xfrm>
              <a:off x="14084903" y="2884963"/>
              <a:ext cx="1924116" cy="175369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en-US" sz="1100" b="0" i="1">
                        <a:latin typeface="Cambria Math" panose="02040503050406030204" pitchFamily="18" charset="0"/>
                      </a:rPr>
                      <m:t>𝐹𝐶</m:t>
                    </m:r>
                    <m:sSub>
                      <m:sSubPr>
                        <m:ctrlPr>
                          <a:rPr lang="en-US" sz="1100" b="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n-US" sz="1100" b="0" i="1">
                            <a:latin typeface="Cambria Math" panose="02040503050406030204" pitchFamily="18" charset="0"/>
                          </a:rPr>
                          <m:t>𝐼</m:t>
                        </m:r>
                      </m:e>
                      <m:sub>
                        <m:r>
                          <a:rPr lang="en-US" sz="1100" b="0" i="1">
                            <a:latin typeface="Cambria Math" panose="02040503050406030204" pitchFamily="18" charset="0"/>
                          </a:rPr>
                          <m:t>2022</m:t>
                        </m:r>
                      </m:sub>
                    </m:sSub>
                    <m:r>
                      <a:rPr lang="en-US" sz="1100" b="0" i="1">
                        <a:latin typeface="Cambria Math" panose="02040503050406030204" pitchFamily="18" charset="0"/>
                      </a:rPr>
                      <m:t>  $=15.7</m:t>
                    </m:r>
                    <m:r>
                      <a:rPr lang="en-US" sz="1100" b="0" i="1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×</m:t>
                    </m:r>
                    <m:sSup>
                      <m:sSupPr>
                        <m:ctrlPr>
                          <a:rPr lang="en-US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</m:ctrlPr>
                      </m:sSupPr>
                      <m:e>
                        <m:r>
                          <a:rPr lang="en-US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10</m:t>
                        </m:r>
                      </m:e>
                      <m:sup>
                        <m:r>
                          <a:rPr lang="en-US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6</m:t>
                        </m:r>
                      </m:sup>
                    </m:sSup>
                    <m:r>
                      <a:rPr lang="en-US" sz="1100" b="0" i="1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×</m:t>
                    </m:r>
                    <m:sSup>
                      <m:sSupPr>
                        <m:ctrlPr>
                          <a:rPr lang="en-US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</m:ctrlPr>
                      </m:sSupPr>
                      <m:e>
                        <m:r>
                          <a:rPr lang="en-US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𝐹</m:t>
                        </m:r>
                      </m:e>
                      <m:sup>
                        <m:r>
                          <a:rPr lang="en-US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0.76</m:t>
                        </m:r>
                      </m:sup>
                    </m:sSup>
                  </m:oMath>
                </m:oMathPara>
              </a14:m>
              <a:endParaRPr lang="en-IN" sz="1100"/>
            </a:p>
          </xdr:txBody>
        </xdr:sp>
      </mc:Choice>
      <mc:Fallback xmlns="">
        <xdr:sp macro="" textlink="">
          <xdr:nvSpPr>
            <xdr:cNvPr id="5" name="TextBox 4">
              <a:extLst>
                <a:ext uri="{FF2B5EF4-FFF2-40B4-BE49-F238E27FC236}">
                  <a16:creationId xmlns:a16="http://schemas.microsoft.com/office/drawing/2014/main" id="{C844C2A3-EEAE-FE8C-D195-6A5D35F76690}"/>
                </a:ext>
              </a:extLst>
            </xdr:cNvPr>
            <xdr:cNvSpPr txBox="1"/>
          </xdr:nvSpPr>
          <xdr:spPr>
            <a:xfrm>
              <a:off x="14084903" y="2884963"/>
              <a:ext cx="1924116" cy="175369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r>
                <a:rPr lang="en-US" sz="1100" b="0" i="0">
                  <a:latin typeface="Cambria Math" panose="02040503050406030204" pitchFamily="18" charset="0"/>
                </a:rPr>
                <a:t>𝐹𝐶𝐼_2022   $=15.7</a:t>
              </a:r>
              <a:r>
                <a:rPr lang="en-US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×10^6×𝐹^0.76</a:t>
              </a:r>
              <a:endParaRPr lang="en-IN" sz="1100"/>
            </a:p>
          </xdr:txBody>
        </xdr:sp>
      </mc:Fallback>
    </mc:AlternateContent>
    <xdr:clientData/>
  </xdr:oneCellAnchor>
</xdr:wsDr>
</file>

<file path=xl/drawings/drawing5.xml><?xml version="1.0" encoding="utf-8"?>
<xdr:wsDr xmlns:xdr="http://schemas.openxmlformats.org/drawingml/2006/spreadsheetDrawing" xmlns:a="http://schemas.openxmlformats.org/drawingml/2006/main">
  <xdr:oneCellAnchor>
    <xdr:from>
      <xdr:col>5</xdr:col>
      <xdr:colOff>457200</xdr:colOff>
      <xdr:row>29</xdr:row>
      <xdr:rowOff>160020</xdr:rowOff>
    </xdr:from>
    <xdr:ext cx="2395720" cy="413831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3" name="TextBox 2">
              <a:extLst>
                <a:ext uri="{FF2B5EF4-FFF2-40B4-BE49-F238E27FC236}">
                  <a16:creationId xmlns:a16="http://schemas.microsoft.com/office/drawing/2014/main" id="{939A42E0-3A9E-0A70-CFAC-0BB5B21BCA22}"/>
                </a:ext>
              </a:extLst>
            </xdr:cNvPr>
            <xdr:cNvSpPr txBox="1"/>
          </xdr:nvSpPr>
          <xdr:spPr>
            <a:xfrm>
              <a:off x="7162800" y="5471160"/>
              <a:ext cx="2395720" cy="41383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en-US" sz="1100" b="0" i="1">
                        <a:latin typeface="Cambria Math" panose="02040503050406030204" pitchFamily="18" charset="0"/>
                      </a:rPr>
                      <m:t>𝐶𝐴𝑃𝐸</m:t>
                    </m:r>
                    <m:sSub>
                      <m:sSubPr>
                        <m:ctrlPr>
                          <a:rPr lang="en-US" sz="1100" b="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n-US" sz="1100" b="0" i="1">
                            <a:latin typeface="Cambria Math" panose="02040503050406030204" pitchFamily="18" charset="0"/>
                          </a:rPr>
                          <m:t>𝑋</m:t>
                        </m:r>
                      </m:e>
                      <m:sub>
                        <m:r>
                          <a:rPr lang="en-US" sz="1100" b="0" i="1">
                            <a:latin typeface="Cambria Math" panose="02040503050406030204" pitchFamily="18" charset="0"/>
                          </a:rPr>
                          <m:t>2</m:t>
                        </m:r>
                      </m:sub>
                    </m:sSub>
                    <m:r>
                      <a:rPr lang="en-US" sz="1100" b="0" i="1">
                        <a:latin typeface="Cambria Math" panose="02040503050406030204" pitchFamily="18" charset="0"/>
                      </a:rPr>
                      <m:t>=</m:t>
                    </m:r>
                    <m:r>
                      <a:rPr lang="en-US" sz="1100" b="0" i="1">
                        <a:latin typeface="Cambria Math" panose="02040503050406030204" pitchFamily="18" charset="0"/>
                      </a:rPr>
                      <m:t>𝐶𝐴𝑃𝐸</m:t>
                    </m:r>
                    <m:sSub>
                      <m:sSubPr>
                        <m:ctrlPr>
                          <a:rPr lang="en-US" sz="1100" b="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n-US" sz="1100" b="0" i="1">
                            <a:latin typeface="Cambria Math" panose="02040503050406030204" pitchFamily="18" charset="0"/>
                          </a:rPr>
                          <m:t>𝑋</m:t>
                        </m:r>
                      </m:e>
                      <m:sub>
                        <m:r>
                          <a:rPr lang="en-US" sz="1100" b="0" i="1">
                            <a:latin typeface="Cambria Math" panose="02040503050406030204" pitchFamily="18" charset="0"/>
                          </a:rPr>
                          <m:t>1</m:t>
                        </m:r>
                      </m:sub>
                    </m:sSub>
                    <m:sSup>
                      <m:sSupPr>
                        <m:ctrlPr>
                          <a:rPr lang="en-US" sz="1100" b="0" i="1">
                            <a:latin typeface="Cambria Math" panose="02040503050406030204" pitchFamily="18" charset="0"/>
                          </a:rPr>
                        </m:ctrlPr>
                      </m:sSupPr>
                      <m:e>
                        <m:d>
                          <m:dPr>
                            <m:ctrlPr>
                              <a:rPr lang="en-US" sz="1100" b="0" i="1">
                                <a:latin typeface="Cambria Math" panose="02040503050406030204" pitchFamily="18" charset="0"/>
                              </a:rPr>
                            </m:ctrlPr>
                          </m:dPr>
                          <m:e>
                            <m:f>
                              <m:fPr>
                                <m:ctrlPr>
                                  <a:rPr lang="en-US" sz="1100" b="0" i="1">
                                    <a:latin typeface="Cambria Math" panose="02040503050406030204" pitchFamily="18" charset="0"/>
                                  </a:rPr>
                                </m:ctrlPr>
                              </m:fPr>
                              <m:num>
                                <m:r>
                                  <a:rPr lang="en-US" sz="1100" b="0" i="1">
                                    <a:latin typeface="Cambria Math" panose="02040503050406030204" pitchFamily="18" charset="0"/>
                                  </a:rPr>
                                  <m:t>𝐶𝑎𝑝𝑎𝑐𝑖𝑡</m:t>
                                </m:r>
                                <m:sSub>
                                  <m:sSubPr>
                                    <m:ctrlPr>
                                      <a:rPr lang="en-US" sz="1100" b="0" i="1">
                                        <a:latin typeface="Cambria Math" panose="02040503050406030204" pitchFamily="18" charset="0"/>
                                      </a:rPr>
                                    </m:ctrlPr>
                                  </m:sSubPr>
                                  <m:e>
                                    <m:r>
                                      <a:rPr lang="en-US" sz="1100" b="0" i="1">
                                        <a:latin typeface="Cambria Math" panose="02040503050406030204" pitchFamily="18" charset="0"/>
                                      </a:rPr>
                                      <m:t>𝑦</m:t>
                                    </m:r>
                                  </m:e>
                                  <m:sub>
                                    <m:r>
                                      <a:rPr lang="en-US" sz="1100" b="0" i="1">
                                        <a:latin typeface="Cambria Math" panose="02040503050406030204" pitchFamily="18" charset="0"/>
                                      </a:rPr>
                                      <m:t>2</m:t>
                                    </m:r>
                                  </m:sub>
                                </m:sSub>
                              </m:num>
                              <m:den>
                                <m:r>
                                  <a:rPr lang="en-US" sz="1100" b="0" i="1">
                                    <a:latin typeface="Cambria Math" panose="02040503050406030204" pitchFamily="18" charset="0"/>
                                  </a:rPr>
                                  <m:t>𝐶𝑎𝑝𝑎𝑐𝑖𝑡</m:t>
                                </m:r>
                                <m:sSub>
                                  <m:sSubPr>
                                    <m:ctrlPr>
                                      <a:rPr lang="en-US" sz="1100" b="0" i="1">
                                        <a:latin typeface="Cambria Math" panose="02040503050406030204" pitchFamily="18" charset="0"/>
                                      </a:rPr>
                                    </m:ctrlPr>
                                  </m:sSubPr>
                                  <m:e>
                                    <m:r>
                                      <a:rPr lang="en-US" sz="1100" b="0" i="1">
                                        <a:latin typeface="Cambria Math" panose="02040503050406030204" pitchFamily="18" charset="0"/>
                                      </a:rPr>
                                      <m:t>𝑦</m:t>
                                    </m:r>
                                  </m:e>
                                  <m:sub>
                                    <m:r>
                                      <a:rPr lang="en-US" sz="1100" b="0" i="1">
                                        <a:latin typeface="Cambria Math" panose="02040503050406030204" pitchFamily="18" charset="0"/>
                                      </a:rPr>
                                      <m:t>1</m:t>
                                    </m:r>
                                  </m:sub>
                                </m:sSub>
                              </m:den>
                            </m:f>
                          </m:e>
                        </m:d>
                      </m:e>
                      <m:sup>
                        <m:r>
                          <a:rPr lang="en-US" sz="1100" b="0" i="1">
                            <a:latin typeface="Cambria Math" panose="02040503050406030204" pitchFamily="18" charset="0"/>
                          </a:rPr>
                          <m:t>0.6~0.7</m:t>
                        </m:r>
                      </m:sup>
                    </m:sSup>
                  </m:oMath>
                </m:oMathPara>
              </a14:m>
              <a:endParaRPr lang="en-US" sz="1100"/>
            </a:p>
          </xdr:txBody>
        </xdr:sp>
      </mc:Choice>
      <mc:Fallback xmlns="">
        <xdr:sp macro="" textlink="">
          <xdr:nvSpPr>
            <xdr:cNvPr id="3" name="TextBox 2">
              <a:extLst>
                <a:ext uri="{FF2B5EF4-FFF2-40B4-BE49-F238E27FC236}">
                  <a16:creationId xmlns:a16="http://schemas.microsoft.com/office/drawing/2014/main" id="{939A42E0-3A9E-0A70-CFAC-0BB5B21BCA22}"/>
                </a:ext>
              </a:extLst>
            </xdr:cNvPr>
            <xdr:cNvSpPr txBox="1"/>
          </xdr:nvSpPr>
          <xdr:spPr>
            <a:xfrm>
              <a:off x="7162800" y="5471160"/>
              <a:ext cx="2395720" cy="41383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r>
                <a:rPr lang="en-US" sz="1100" b="0" i="0">
                  <a:latin typeface="Cambria Math" panose="02040503050406030204" pitchFamily="18" charset="0"/>
                </a:rPr>
                <a:t>𝐶𝐴𝑃𝐸𝑋_2=𝐶𝐴𝑃𝐸𝑋_1 ((𝐶𝑎𝑝𝑎𝑐𝑖𝑡𝑦_2)/(𝐶𝑎𝑝𝑎𝑐𝑖𝑡𝑦_1 ))^(0.6~0.7)</a:t>
              </a:r>
              <a:endParaRPr lang="en-US" sz="1100"/>
            </a:p>
          </xdr:txBody>
        </xdr:sp>
      </mc:Fallback>
    </mc:AlternateContent>
    <xdr:clientData/>
  </xdr:oneCellAnchor>
  <xdr:oneCellAnchor>
    <xdr:from>
      <xdr:col>7</xdr:col>
      <xdr:colOff>525780</xdr:colOff>
      <xdr:row>34</xdr:row>
      <xdr:rowOff>144780</xdr:rowOff>
    </xdr:from>
    <xdr:ext cx="2885021" cy="303801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4" name="TextBox 3">
              <a:extLst>
                <a:ext uri="{FF2B5EF4-FFF2-40B4-BE49-F238E27FC236}">
                  <a16:creationId xmlns:a16="http://schemas.microsoft.com/office/drawing/2014/main" id="{512B51C0-99DF-146C-82D7-F3134F27DF5E}"/>
                </a:ext>
              </a:extLst>
            </xdr:cNvPr>
            <xdr:cNvSpPr txBox="1"/>
          </xdr:nvSpPr>
          <xdr:spPr>
            <a:xfrm>
              <a:off x="8702040" y="6370320"/>
              <a:ext cx="2885021" cy="30380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14:m>
                <m:oMath xmlns:m="http://schemas.openxmlformats.org/officeDocument/2006/math">
                  <m:r>
                    <a:rPr lang="en-US" sz="1100" b="0" i="1">
                      <a:latin typeface="Cambria Math" panose="02040503050406030204" pitchFamily="18" charset="0"/>
                    </a:rPr>
                    <m:t>𝐹𝐶</m:t>
                  </m:r>
                  <m:sSub>
                    <m:sSubPr>
                      <m:ctrlPr>
                        <a:rPr lang="en-US" sz="1100" b="0" i="1">
                          <a:latin typeface="Cambria Math" panose="02040503050406030204" pitchFamily="18" charset="0"/>
                        </a:rPr>
                      </m:ctrlPr>
                    </m:sSubPr>
                    <m:e>
                      <m:r>
                        <a:rPr lang="en-US" sz="1100" b="0" i="1">
                          <a:latin typeface="Cambria Math" panose="02040503050406030204" pitchFamily="18" charset="0"/>
                        </a:rPr>
                        <m:t>𝐼</m:t>
                      </m:r>
                    </m:e>
                    <m:sub>
                      <m:r>
                        <a:rPr lang="en-US" sz="1100" b="0" i="1">
                          <a:latin typeface="Cambria Math" panose="02040503050406030204" pitchFamily="18" charset="0"/>
                        </a:rPr>
                        <m:t>2022</m:t>
                      </m:r>
                    </m:sub>
                  </m:sSub>
                  <m:r>
                    <a:rPr lang="en-US" sz="1100" b="0" i="1">
                      <a:latin typeface="Cambria Math" panose="02040503050406030204" pitchFamily="18" charset="0"/>
                    </a:rPr>
                    <m:t>𝑖𝑛</m:t>
                  </m:r>
                  <m:r>
                    <a:rPr lang="en-US" sz="1100" b="0" i="1">
                      <a:latin typeface="Cambria Math" panose="02040503050406030204" pitchFamily="18" charset="0"/>
                    </a:rPr>
                    <m:t> $=25000×</m:t>
                  </m:r>
                  <m:r>
                    <a:rPr lang="en-US" sz="1100" b="0" i="1">
                      <a:latin typeface="Cambria Math" panose="02040503050406030204" pitchFamily="18" charset="0"/>
                      <a:ea typeface="Cambria Math" panose="02040503050406030204" pitchFamily="18" charset="0"/>
                    </a:rPr>
                    <m:t>𝑁</m:t>
                  </m:r>
                  <m:r>
                    <a:rPr lang="en-US" sz="1100" b="0" i="1">
                      <a:latin typeface="Cambria Math" panose="02040503050406030204" pitchFamily="18" charset="0"/>
                      <a:ea typeface="Cambria Math" panose="02040503050406030204" pitchFamily="18" charset="0"/>
                    </a:rPr>
                    <m:t>×</m:t>
                  </m:r>
                  <m:sSup>
                    <m:sSupPr>
                      <m:ctrlPr>
                        <a:rPr lang="en-US" sz="1100" b="0" i="1">
                          <a:latin typeface="Cambria Math" panose="02040503050406030204" pitchFamily="18" charset="0"/>
                          <a:ea typeface="Cambria Math" panose="02040503050406030204" pitchFamily="18" charset="0"/>
                        </a:rPr>
                      </m:ctrlPr>
                    </m:sSupPr>
                    <m:e>
                      <m:d>
                        <m:dPr>
                          <m:ctrlPr>
                            <a:rPr lang="en-US" sz="1100" b="0" i="1">
                              <a:latin typeface="Cambria Math" panose="02040503050406030204" pitchFamily="18" charset="0"/>
                              <a:ea typeface="Cambria Math" panose="02040503050406030204" pitchFamily="18" charset="0"/>
                            </a:rPr>
                          </m:ctrlPr>
                        </m:dPr>
                        <m:e>
                          <m:r>
                            <a:rPr lang="en-US" sz="1100" b="0" i="1">
                              <a:latin typeface="Cambria Math" panose="02040503050406030204" pitchFamily="18" charset="0"/>
                              <a:ea typeface="Cambria Math" panose="02040503050406030204" pitchFamily="18" charset="0"/>
                            </a:rPr>
                            <m:t>𝐹𝑒𝑒𝑑</m:t>
                          </m:r>
                          <m:r>
                            <a:rPr lang="en-US" sz="1100" b="0" i="1">
                              <a:latin typeface="Cambria Math" panose="02040503050406030204" pitchFamily="18" charset="0"/>
                              <a:ea typeface="Cambria Math" panose="02040503050406030204" pitchFamily="18" charset="0"/>
                            </a:rPr>
                            <m:t> </m:t>
                          </m:r>
                          <m:r>
                            <a:rPr lang="en-US" sz="1100" b="0" i="1">
                              <a:latin typeface="Cambria Math" panose="02040503050406030204" pitchFamily="18" charset="0"/>
                              <a:ea typeface="Cambria Math" panose="02040503050406030204" pitchFamily="18" charset="0"/>
                            </a:rPr>
                            <m:t>𝑖𝑛</m:t>
                          </m:r>
                          <m:f>
                            <m:fPr>
                              <m:ctrlPr>
                                <a:rPr lang="en-US" sz="1100" b="0" i="1">
                                  <a:latin typeface="Cambria Math" panose="02040503050406030204" pitchFamily="18" charset="0"/>
                                  <a:ea typeface="Cambria Math" panose="02040503050406030204" pitchFamily="18" charset="0"/>
                                </a:rPr>
                              </m:ctrlPr>
                            </m:fPr>
                            <m:num>
                              <m:r>
                                <a:rPr lang="en-US" sz="1100" b="0" i="1">
                                  <a:latin typeface="Cambria Math" panose="02040503050406030204" pitchFamily="18" charset="0"/>
                                  <a:ea typeface="Cambria Math" panose="02040503050406030204" pitchFamily="18" charset="0"/>
                                </a:rPr>
                                <m:t>𝑡𝑜𝑛𝑛𝑒</m:t>
                              </m:r>
                            </m:num>
                            <m:den>
                              <m:r>
                                <a:rPr lang="en-US" sz="1100" b="0" i="1">
                                  <a:latin typeface="Cambria Math" panose="02040503050406030204" pitchFamily="18" charset="0"/>
                                  <a:ea typeface="Cambria Math" panose="02040503050406030204" pitchFamily="18" charset="0"/>
                                </a:rPr>
                                <m:t>𝑦𝑟</m:t>
                              </m:r>
                            </m:den>
                          </m:f>
                        </m:e>
                      </m:d>
                    </m:e>
                    <m:sup>
                      <m:r>
                        <a:rPr lang="en-US" sz="1100" b="0" i="1">
                          <a:latin typeface="Cambria Math" panose="02040503050406030204" pitchFamily="18" charset="0"/>
                          <a:ea typeface="Cambria Math" panose="02040503050406030204" pitchFamily="18" charset="0"/>
                        </a:rPr>
                        <m:t>0.65</m:t>
                      </m:r>
                    </m:sup>
                  </m:sSup>
                </m:oMath>
              </a14:m>
              <a:r>
                <a:rPr lang="en-US" sz="1100"/>
                <a:t>f</a:t>
              </a:r>
            </a:p>
          </xdr:txBody>
        </xdr:sp>
      </mc:Choice>
      <mc:Fallback xmlns="">
        <xdr:sp macro="" textlink="">
          <xdr:nvSpPr>
            <xdr:cNvPr id="4" name="TextBox 3">
              <a:extLst>
                <a:ext uri="{FF2B5EF4-FFF2-40B4-BE49-F238E27FC236}">
                  <a16:creationId xmlns:a16="http://schemas.microsoft.com/office/drawing/2014/main" id="{512B51C0-99DF-146C-82D7-F3134F27DF5E}"/>
                </a:ext>
              </a:extLst>
            </xdr:cNvPr>
            <xdr:cNvSpPr txBox="1"/>
          </xdr:nvSpPr>
          <xdr:spPr>
            <a:xfrm>
              <a:off x="8702040" y="6370320"/>
              <a:ext cx="2885021" cy="30380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r>
                <a:rPr lang="en-US" sz="1100" b="0" i="0">
                  <a:latin typeface="Cambria Math" panose="02040503050406030204" pitchFamily="18" charset="0"/>
                </a:rPr>
                <a:t>𝐹𝐶𝐼_2022 𝑖𝑛 $=25000</a:t>
              </a:r>
              <a:r>
                <a:rPr lang="en-US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×𝑁×(𝐹𝑒𝑒𝑑 𝑖𝑛 𝑡𝑜𝑛𝑛𝑒/𝑦𝑟)^0.65</a:t>
              </a:r>
              <a:r>
                <a:rPr lang="en-US" sz="1100"/>
                <a:t>f</a:t>
              </a:r>
            </a:p>
          </xdr:txBody>
        </xdr:sp>
      </mc:Fallback>
    </mc:AlternateContent>
    <xdr:clientData/>
  </xdr:oneCellAnchor>
  <xdr:oneCellAnchor>
    <xdr:from>
      <xdr:col>6</xdr:col>
      <xdr:colOff>437483</xdr:colOff>
      <xdr:row>17</xdr:row>
      <xdr:rowOff>19843</xdr:rowOff>
    </xdr:from>
    <xdr:ext cx="1913088" cy="175369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5" name="TextBox 4">
              <a:extLst>
                <a:ext uri="{FF2B5EF4-FFF2-40B4-BE49-F238E27FC236}">
                  <a16:creationId xmlns:a16="http://schemas.microsoft.com/office/drawing/2014/main" id="{591930B5-58A6-CADD-6F4A-F0F5B310D7BD}"/>
                </a:ext>
              </a:extLst>
            </xdr:cNvPr>
            <xdr:cNvSpPr txBox="1"/>
          </xdr:nvSpPr>
          <xdr:spPr>
            <a:xfrm>
              <a:off x="9566243" y="3197383"/>
              <a:ext cx="1913088" cy="175369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en-US" sz="1100" b="0" i="1">
                        <a:latin typeface="Cambria Math" panose="02040503050406030204" pitchFamily="18" charset="0"/>
                      </a:rPr>
                      <m:t>𝐹𝐶</m:t>
                    </m:r>
                    <m:sSub>
                      <m:sSubPr>
                        <m:ctrlPr>
                          <a:rPr lang="en-US" sz="1100" b="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n-US" sz="1100" b="0" i="1">
                            <a:latin typeface="Cambria Math" panose="02040503050406030204" pitchFamily="18" charset="0"/>
                          </a:rPr>
                          <m:t>𝐼</m:t>
                        </m:r>
                      </m:e>
                      <m:sub>
                        <m:r>
                          <a:rPr lang="en-US" sz="1100" b="0" i="1">
                            <a:latin typeface="Cambria Math" panose="02040503050406030204" pitchFamily="18" charset="0"/>
                          </a:rPr>
                          <m:t>2022</m:t>
                        </m:r>
                      </m:sub>
                    </m:sSub>
                    <m:r>
                      <a:rPr lang="en-US" sz="1100" b="0" i="1">
                        <a:latin typeface="Cambria Math" panose="02040503050406030204" pitchFamily="18" charset="0"/>
                      </a:rPr>
                      <m:t> </m:t>
                    </m:r>
                    <m:r>
                      <a:rPr lang="en-US" sz="1100" b="0" i="1">
                        <a:latin typeface="Cambria Math" panose="02040503050406030204" pitchFamily="18" charset="0"/>
                      </a:rPr>
                      <m:t>𝑖𝑛</m:t>
                    </m:r>
                    <m:r>
                      <a:rPr lang="en-US" sz="1100" b="0" i="1">
                        <a:latin typeface="Cambria Math" panose="02040503050406030204" pitchFamily="18" charset="0"/>
                      </a:rPr>
                      <m:t> $=700×</m:t>
                    </m:r>
                    <m:r>
                      <a:rPr lang="en-US" sz="1100" b="0" i="1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𝑁</m:t>
                    </m:r>
                    <m:r>
                      <a:rPr lang="en-US" sz="1100" b="0" i="1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×</m:t>
                    </m:r>
                    <m:sSup>
                      <m:sSupPr>
                        <m:ctrlPr>
                          <a:rPr lang="en-US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</m:ctrlPr>
                      </m:sSupPr>
                      <m:e>
                        <m:r>
                          <a:rPr lang="en-US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𝐵</m:t>
                        </m:r>
                      </m:e>
                      <m:sup>
                        <m:r>
                          <a:rPr lang="en-US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0.84</m:t>
                        </m:r>
                      </m:sup>
                    </m:sSup>
                  </m:oMath>
                </m:oMathPara>
              </a14:m>
              <a:endParaRPr lang="en-IN" sz="1100"/>
            </a:p>
          </xdr:txBody>
        </xdr:sp>
      </mc:Choice>
      <mc:Fallback xmlns="">
        <xdr:sp macro="" textlink="">
          <xdr:nvSpPr>
            <xdr:cNvPr id="5" name="TextBox 4">
              <a:extLst>
                <a:ext uri="{FF2B5EF4-FFF2-40B4-BE49-F238E27FC236}">
                  <a16:creationId xmlns:a16="http://schemas.microsoft.com/office/drawing/2014/main" id="{591930B5-58A6-CADD-6F4A-F0F5B310D7BD}"/>
                </a:ext>
              </a:extLst>
            </xdr:cNvPr>
            <xdr:cNvSpPr txBox="1"/>
          </xdr:nvSpPr>
          <xdr:spPr>
            <a:xfrm>
              <a:off x="9566243" y="3197383"/>
              <a:ext cx="1913088" cy="175369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r>
                <a:rPr lang="en-US" sz="1100" b="0" i="0">
                  <a:latin typeface="Cambria Math" panose="02040503050406030204" pitchFamily="18" charset="0"/>
                </a:rPr>
                <a:t>𝐹𝐶𝐼_2022  𝑖𝑛 $=700</a:t>
              </a:r>
              <a:r>
                <a:rPr lang="en-US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×𝑁×𝐵^0.84</a:t>
              </a:r>
              <a:endParaRPr lang="en-IN" sz="1100"/>
            </a:p>
          </xdr:txBody>
        </xdr:sp>
      </mc:Fallback>
    </mc:AlternateContent>
    <xdr:clientData/>
  </xdr:oneCellAnchor>
  <xdr:oneCellAnchor>
    <xdr:from>
      <xdr:col>7</xdr:col>
      <xdr:colOff>662940</xdr:colOff>
      <xdr:row>36</xdr:row>
      <xdr:rowOff>106680</xdr:rowOff>
    </xdr:from>
    <xdr:ext cx="4688015" cy="1483098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6" name="TextBox 5">
              <a:extLst>
                <a:ext uri="{FF2B5EF4-FFF2-40B4-BE49-F238E27FC236}">
                  <a16:creationId xmlns:a16="http://schemas.microsoft.com/office/drawing/2014/main" id="{1D965CC0-FFDE-49A1-84D9-2F03A5129FD6}"/>
                </a:ext>
              </a:extLst>
            </xdr:cNvPr>
            <xdr:cNvSpPr txBox="1"/>
          </xdr:nvSpPr>
          <xdr:spPr>
            <a:xfrm>
              <a:off x="11689080" y="6758940"/>
              <a:ext cx="4688015" cy="1483098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en-US" sz="1100" b="0" i="1">
                        <a:latin typeface="Cambria Math" panose="02040503050406030204" pitchFamily="18" charset="0"/>
                      </a:rPr>
                      <m:t>𝐹𝐶</m:t>
                    </m:r>
                    <m:sSub>
                      <m:sSubPr>
                        <m:ctrlPr>
                          <a:rPr lang="en-US" sz="1100" b="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n-US" sz="1100" b="0" i="1">
                            <a:latin typeface="Cambria Math" panose="02040503050406030204" pitchFamily="18" charset="0"/>
                          </a:rPr>
                          <m:t>𝐼</m:t>
                        </m:r>
                      </m:e>
                      <m:sub>
                        <m:r>
                          <a:rPr lang="en-US" sz="1100" b="0" i="1">
                            <a:latin typeface="Cambria Math" panose="02040503050406030204" pitchFamily="18" charset="0"/>
                          </a:rPr>
                          <m:t>2020</m:t>
                        </m:r>
                      </m:sub>
                    </m:sSub>
                    <m:r>
                      <a:rPr lang="en-US" sz="1100" b="0" i="1">
                        <a:latin typeface="Cambria Math" panose="02040503050406030204" pitchFamily="18" charset="0"/>
                      </a:rPr>
                      <m:t>𝑖𝑛</m:t>
                    </m:r>
                    <m:r>
                      <a:rPr lang="en-US" sz="1100" b="0" i="1">
                        <a:latin typeface="Cambria Math" panose="02040503050406030204" pitchFamily="18" charset="0"/>
                      </a:rPr>
                      <m:t> </m:t>
                    </m:r>
                    <m:r>
                      <a:rPr lang="en-US" sz="1100" b="0" i="1">
                        <a:latin typeface="Cambria Math" panose="02040503050406030204" pitchFamily="18" charset="0"/>
                      </a:rPr>
                      <m:t>𝑀𝑀</m:t>
                    </m:r>
                    <m:r>
                      <a:rPr lang="en-US" sz="1100" b="0" i="1">
                        <a:latin typeface="Cambria Math" panose="02040503050406030204" pitchFamily="18" charset="0"/>
                      </a:rPr>
                      <m:t>$=0.16×</m:t>
                    </m:r>
                    <m:r>
                      <a:rPr lang="en-US" sz="1100" b="0" i="1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𝑁</m:t>
                    </m:r>
                    <m:r>
                      <a:rPr lang="en-US" sz="1100" b="0" i="1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×</m:t>
                    </m:r>
                    <m:sSup>
                      <m:sSupPr>
                        <m:ctrlPr>
                          <a:rPr lang="en-US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</m:ctrlPr>
                      </m:sSupPr>
                      <m:e>
                        <m:d>
                          <m:dPr>
                            <m:ctrlPr>
                              <a:rPr lang="en-US" sz="1100" b="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</m:ctrlPr>
                          </m:dPr>
                          <m:e>
                            <m:r>
                              <a:rPr lang="en-US" sz="1100" b="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𝐵𝑖𝑜𝑚𝑎𝑠𝑠</m:t>
                            </m:r>
                            <m:r>
                              <a:rPr lang="en-US" sz="1100" b="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 </m:t>
                            </m:r>
                            <m:r>
                              <a:rPr lang="en-US" sz="1100" b="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𝑓𝑒𝑒𝑑</m:t>
                            </m:r>
                            <m:r>
                              <a:rPr lang="en-US" sz="1100" b="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 </m:t>
                            </m:r>
                            <m:r>
                              <a:rPr lang="en-US" sz="1100" b="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𝑟𝑎𝑡𝑒</m:t>
                            </m:r>
                            <m:r>
                              <a:rPr lang="en-US" sz="1100" b="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 </m:t>
                            </m:r>
                            <m:r>
                              <a:rPr lang="en-US" sz="1100" b="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𝑖𝑛</m:t>
                            </m:r>
                            <m:r>
                              <a:rPr lang="en-US" sz="1100" b="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 </m:t>
                            </m:r>
                            <m:r>
                              <a:rPr lang="en-US" sz="1100" b="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𝑡h𝑜𝑢𝑠𝑎𝑛𝑑𝑠</m:t>
                            </m:r>
                            <m:f>
                              <m:fPr>
                                <m:ctrlPr>
                                  <a:rPr lang="en-US" sz="1100" b="0" i="1">
                                    <a:latin typeface="Cambria Math" panose="02040503050406030204" pitchFamily="18" charset="0"/>
                                    <a:ea typeface="Cambria Math" panose="02040503050406030204" pitchFamily="18" charset="0"/>
                                  </a:rPr>
                                </m:ctrlPr>
                              </m:fPr>
                              <m:num>
                                <m:r>
                                  <a:rPr lang="en-US" sz="1100" b="0" i="1">
                                    <a:latin typeface="Cambria Math" panose="02040503050406030204" pitchFamily="18" charset="0"/>
                                    <a:ea typeface="Cambria Math" panose="02040503050406030204" pitchFamily="18" charset="0"/>
                                  </a:rPr>
                                  <m:t>𝑡𝑜𝑛𝑛𝑒</m:t>
                                </m:r>
                              </m:num>
                              <m:den>
                                <m:r>
                                  <a:rPr lang="en-US" sz="1100" b="0" i="1">
                                    <a:latin typeface="Cambria Math" panose="02040503050406030204" pitchFamily="18" charset="0"/>
                                    <a:ea typeface="Cambria Math" panose="02040503050406030204" pitchFamily="18" charset="0"/>
                                  </a:rPr>
                                  <m:t>𝑦𝑟</m:t>
                                </m:r>
                              </m:den>
                            </m:f>
                            <m:r>
                              <a:rPr lang="en-US" sz="1100" b="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 </m:t>
                            </m:r>
                          </m:e>
                        </m:d>
                      </m:e>
                      <m:sup>
                        <m:r>
                          <a:rPr lang="en-US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0.84</m:t>
                        </m:r>
                      </m:sup>
                    </m:sSup>
                  </m:oMath>
                </m:oMathPara>
              </a14:m>
              <a:endParaRPr lang="en-US" sz="1100" b="0">
                <a:ea typeface="Cambria Math" panose="02040503050406030204" pitchFamily="18" charset="0"/>
              </a:endParaRPr>
            </a:p>
            <a:p>
              <a:r>
                <a:rPr lang="en-US" sz="1100" b="0">
                  <a:ea typeface="Cambria Math" panose="02040503050406030204" pitchFamily="18" charset="0"/>
                </a:rPr>
                <a:t>N = no</a:t>
              </a:r>
              <a:r>
                <a:rPr lang="en-US" sz="1100" b="0" baseline="0">
                  <a:ea typeface="Cambria Math" panose="02040503050406030204" pitchFamily="18" charset="0"/>
                </a:rPr>
                <a:t> of major units</a:t>
              </a:r>
              <a:endParaRPr lang="en-US" sz="1100" b="0">
                <a:ea typeface="Cambria Math" panose="02040503050406030204" pitchFamily="18" charset="0"/>
              </a:endParaRPr>
            </a:p>
            <a:p>
              <a:endParaRPr lang="en-US" sz="1100" b="0">
                <a:ea typeface="Cambria Math" panose="02040503050406030204" pitchFamily="18" charset="0"/>
              </a:endParaRPr>
            </a:p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en-US" sz="1100" b="0" i="1">
                        <a:latin typeface="Cambria Math" panose="02040503050406030204" pitchFamily="18" charset="0"/>
                      </a:rPr>
                      <m:t>𝐹𝐶</m:t>
                    </m:r>
                    <m:sSub>
                      <m:sSubPr>
                        <m:ctrlPr>
                          <a:rPr lang="en-US" sz="1100" b="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n-US" sz="1100" b="0" i="1">
                            <a:latin typeface="Cambria Math" panose="02040503050406030204" pitchFamily="18" charset="0"/>
                          </a:rPr>
                          <m:t>𝐼</m:t>
                        </m:r>
                      </m:e>
                      <m:sub>
                        <m:r>
                          <a:rPr lang="en-US" sz="1100" b="0" i="1">
                            <a:latin typeface="Cambria Math" panose="02040503050406030204" pitchFamily="18" charset="0"/>
                          </a:rPr>
                          <m:t>2025</m:t>
                        </m:r>
                      </m:sub>
                    </m:sSub>
                    <m:r>
                      <a:rPr lang="en-US" sz="1100" b="0" i="1">
                        <a:latin typeface="Cambria Math" panose="02040503050406030204" pitchFamily="18" charset="0"/>
                      </a:rPr>
                      <m:t>=</m:t>
                    </m:r>
                    <m:r>
                      <a:rPr lang="en-US" sz="1100" b="0" i="1">
                        <a:latin typeface="Cambria Math" panose="02040503050406030204" pitchFamily="18" charset="0"/>
                      </a:rPr>
                      <m:t>𝐹𝐶</m:t>
                    </m:r>
                    <m:sSub>
                      <m:sSubPr>
                        <m:ctrlPr>
                          <a:rPr lang="en-US" sz="1100" b="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n-US" sz="1100" b="0" i="1">
                            <a:latin typeface="Cambria Math" panose="02040503050406030204" pitchFamily="18" charset="0"/>
                          </a:rPr>
                          <m:t>𝐼</m:t>
                        </m:r>
                      </m:e>
                      <m:sub>
                        <m:r>
                          <a:rPr lang="en-US" sz="1100" b="0" i="1">
                            <a:latin typeface="Cambria Math" panose="02040503050406030204" pitchFamily="18" charset="0"/>
                          </a:rPr>
                          <m:t>2020</m:t>
                        </m:r>
                      </m:sub>
                    </m:sSub>
                    <m:d>
                      <m:dPr>
                        <m:ctrlPr>
                          <a:rPr lang="en-US" sz="1100" b="0" i="1">
                            <a:latin typeface="Cambria Math" panose="02040503050406030204" pitchFamily="18" charset="0"/>
                          </a:rPr>
                        </m:ctrlPr>
                      </m:dPr>
                      <m:e>
                        <m:f>
                          <m:fPr>
                            <m:ctrlPr>
                              <a:rPr lang="en-US" sz="1100" b="0" i="1">
                                <a:latin typeface="Cambria Math" panose="02040503050406030204" pitchFamily="18" charset="0"/>
                              </a:rPr>
                            </m:ctrlPr>
                          </m:fPr>
                          <m:num>
                            <m:r>
                              <a:rPr lang="en-US" sz="1100" b="0" i="1">
                                <a:latin typeface="Cambria Math" panose="02040503050406030204" pitchFamily="18" charset="0"/>
                              </a:rPr>
                              <m:t>𝐶𝑜𝑠𝑡</m:t>
                            </m:r>
                            <m:r>
                              <a:rPr lang="en-US" sz="1100" b="0" i="1">
                                <a:latin typeface="Cambria Math" panose="02040503050406030204" pitchFamily="18" charset="0"/>
                              </a:rPr>
                              <m:t> </m:t>
                            </m:r>
                            <m:r>
                              <a:rPr lang="en-US" sz="1100" b="0" i="1">
                                <a:latin typeface="Cambria Math" panose="02040503050406030204" pitchFamily="18" charset="0"/>
                              </a:rPr>
                              <m:t>𝐼𝑛𝑑𝑒</m:t>
                            </m:r>
                            <m:sSub>
                              <m:sSubPr>
                                <m:ctrlPr>
                                  <a:rPr lang="en-US" sz="1100" b="0" i="1">
                                    <a:latin typeface="Cambria Math" panose="02040503050406030204" pitchFamily="18" charset="0"/>
                                  </a:rPr>
                                </m:ctrlPr>
                              </m:sSubPr>
                              <m:e>
                                <m:r>
                                  <a:rPr lang="en-US" sz="1100" b="0" i="1">
                                    <a:latin typeface="Cambria Math" panose="02040503050406030204" pitchFamily="18" charset="0"/>
                                  </a:rPr>
                                  <m:t>𝑥</m:t>
                                </m:r>
                              </m:e>
                              <m:sub>
                                <m:r>
                                  <a:rPr lang="en-US" sz="1100" b="0" i="1">
                                    <a:latin typeface="Cambria Math" panose="02040503050406030204" pitchFamily="18" charset="0"/>
                                  </a:rPr>
                                  <m:t>2025</m:t>
                                </m:r>
                              </m:sub>
                            </m:sSub>
                          </m:num>
                          <m:den>
                            <m:r>
                              <a:rPr lang="en-US" sz="1100" b="0" i="1">
                                <a:latin typeface="Cambria Math" panose="02040503050406030204" pitchFamily="18" charset="0"/>
                              </a:rPr>
                              <m:t>𝐶𝑜𝑠𝑡</m:t>
                            </m:r>
                            <m:r>
                              <a:rPr lang="en-US" sz="1100" b="0" i="1">
                                <a:latin typeface="Cambria Math" panose="02040503050406030204" pitchFamily="18" charset="0"/>
                              </a:rPr>
                              <m:t> </m:t>
                            </m:r>
                            <m:r>
                              <a:rPr lang="en-US" sz="1100" b="0" i="1">
                                <a:latin typeface="Cambria Math" panose="02040503050406030204" pitchFamily="18" charset="0"/>
                              </a:rPr>
                              <m:t>𝐼𝑛𝑑𝑒</m:t>
                            </m:r>
                            <m:sSub>
                              <m:sSubPr>
                                <m:ctrlPr>
                                  <a:rPr lang="en-US" sz="1100" b="0" i="1">
                                    <a:latin typeface="Cambria Math" panose="02040503050406030204" pitchFamily="18" charset="0"/>
                                  </a:rPr>
                                </m:ctrlPr>
                              </m:sSubPr>
                              <m:e>
                                <m:r>
                                  <a:rPr lang="en-US" sz="1100" b="0" i="1">
                                    <a:latin typeface="Cambria Math" panose="02040503050406030204" pitchFamily="18" charset="0"/>
                                  </a:rPr>
                                  <m:t>𝑥</m:t>
                                </m:r>
                              </m:e>
                              <m:sub>
                                <m:r>
                                  <a:rPr lang="en-US" sz="1100" b="0" i="1">
                                    <a:latin typeface="Cambria Math" panose="02040503050406030204" pitchFamily="18" charset="0"/>
                                  </a:rPr>
                                  <m:t>2020</m:t>
                                </m:r>
                              </m:sub>
                            </m:sSub>
                          </m:den>
                        </m:f>
                      </m:e>
                    </m:d>
                  </m:oMath>
                </m:oMathPara>
              </a14:m>
              <a:endParaRPr lang="en-US" sz="1100" b="0"/>
            </a:p>
            <a:p>
              <a:endParaRPr lang="en-US" sz="1100" b="0"/>
            </a:p>
            <a:p>
              <a:endParaRPr lang="en-US" sz="1100"/>
            </a:p>
          </xdr:txBody>
        </xdr:sp>
      </mc:Choice>
      <mc:Fallback xmlns="">
        <xdr:sp macro="" textlink="">
          <xdr:nvSpPr>
            <xdr:cNvPr id="6" name="TextBox 5">
              <a:extLst>
                <a:ext uri="{FF2B5EF4-FFF2-40B4-BE49-F238E27FC236}">
                  <a16:creationId xmlns:a16="http://schemas.microsoft.com/office/drawing/2014/main" id="{1D965CC0-FFDE-49A1-84D9-2F03A5129FD6}"/>
                </a:ext>
              </a:extLst>
            </xdr:cNvPr>
            <xdr:cNvSpPr txBox="1"/>
          </xdr:nvSpPr>
          <xdr:spPr>
            <a:xfrm>
              <a:off x="11689080" y="6758940"/>
              <a:ext cx="4688015" cy="1483098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:r>
                <a:rPr lang="en-US" sz="1100" b="0" i="0">
                  <a:latin typeface="Cambria Math" panose="02040503050406030204" pitchFamily="18" charset="0"/>
                </a:rPr>
                <a:t>𝐹𝐶𝐼_2020 𝑖𝑛 𝑀𝑀$=0.16×</a:t>
              </a:r>
              <a:r>
                <a:rPr lang="en-US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𝑁×(𝐵𝑖𝑜𝑚𝑎𝑠𝑠 𝑓𝑒𝑒𝑑 𝑟𝑎𝑡𝑒 𝑖𝑛 𝑡ℎ𝑜𝑢𝑠𝑎𝑛𝑑𝑠 𝑡𝑜𝑛𝑛𝑒/𝑦𝑟  )^0.84</a:t>
              </a:r>
              <a:endParaRPr lang="en-US" sz="1100" b="0">
                <a:ea typeface="Cambria Math" panose="02040503050406030204" pitchFamily="18" charset="0"/>
              </a:endParaRPr>
            </a:p>
            <a:p>
              <a:r>
                <a:rPr lang="en-US" sz="1100" b="0">
                  <a:ea typeface="Cambria Math" panose="02040503050406030204" pitchFamily="18" charset="0"/>
                </a:rPr>
                <a:t>N = no</a:t>
              </a:r>
              <a:r>
                <a:rPr lang="en-US" sz="1100" b="0" baseline="0">
                  <a:ea typeface="Cambria Math" panose="02040503050406030204" pitchFamily="18" charset="0"/>
                </a:rPr>
                <a:t> of major units</a:t>
              </a:r>
              <a:endParaRPr lang="en-US" sz="1100" b="0">
                <a:ea typeface="Cambria Math" panose="02040503050406030204" pitchFamily="18" charset="0"/>
              </a:endParaRPr>
            </a:p>
            <a:p>
              <a:endParaRPr lang="en-US" sz="1100" b="0">
                <a:ea typeface="Cambria Math" panose="02040503050406030204" pitchFamily="18" charset="0"/>
              </a:endParaRPr>
            </a:p>
            <a:p>
              <a:pPr/>
              <a:r>
                <a:rPr lang="en-US" sz="1100" b="0" i="0">
                  <a:latin typeface="Cambria Math" panose="02040503050406030204" pitchFamily="18" charset="0"/>
                </a:rPr>
                <a:t>𝐹𝐶𝐼_2025=𝐹𝐶𝐼_2020 ((𝐶𝑜𝑠𝑡 𝐼𝑛𝑑𝑒𝑥_2025)/(𝐶𝑜𝑠𝑡 𝐼𝑛𝑑𝑒𝑥_2020 ))</a:t>
              </a:r>
              <a:endParaRPr lang="en-US" sz="1100" b="0"/>
            </a:p>
            <a:p>
              <a:endParaRPr lang="en-US" sz="1100" b="0"/>
            </a:p>
            <a:p>
              <a:endParaRPr lang="en-US" sz="1100"/>
            </a:p>
          </xdr:txBody>
        </xdr:sp>
      </mc:Fallback>
    </mc:AlternateContent>
    <xdr:clientData/>
  </xdr:oneCellAnchor>
</xdr:wsDr>
</file>

<file path=xl/drawings/drawing6.xml><?xml version="1.0" encoding="utf-8"?>
<xdr:wsDr xmlns:xdr="http://schemas.openxmlformats.org/drawingml/2006/spreadsheetDrawing" xmlns:a="http://schemas.openxmlformats.org/drawingml/2006/main">
  <xdr:oneCellAnchor>
    <xdr:from>
      <xdr:col>8</xdr:col>
      <xdr:colOff>259080</xdr:colOff>
      <xdr:row>24</xdr:row>
      <xdr:rowOff>121920</xdr:rowOff>
    </xdr:from>
    <xdr:ext cx="2465483" cy="1069267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2" name="TextBox 1">
              <a:extLst>
                <a:ext uri="{FF2B5EF4-FFF2-40B4-BE49-F238E27FC236}">
                  <a16:creationId xmlns:a16="http://schemas.microsoft.com/office/drawing/2014/main" id="{663F6656-00DE-4EE5-B5A6-083EDC0253F2}"/>
                </a:ext>
              </a:extLst>
            </xdr:cNvPr>
            <xdr:cNvSpPr txBox="1"/>
          </xdr:nvSpPr>
          <xdr:spPr>
            <a:xfrm>
              <a:off x="9311640" y="4533900"/>
              <a:ext cx="2465483" cy="106926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endParaRPr lang="en-US" sz="1100" b="0">
                <a:ea typeface="Cambria Math" panose="02040503050406030204" pitchFamily="18" charset="0"/>
              </a:endParaRPr>
            </a:p>
            <a:p>
              <a:endParaRPr lang="en-US" sz="1100" b="0">
                <a:ea typeface="Cambria Math" panose="02040503050406030204" pitchFamily="18" charset="0"/>
              </a:endParaRPr>
            </a:p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en-US" sz="1100" b="0" i="1">
                        <a:latin typeface="Cambria Math" panose="02040503050406030204" pitchFamily="18" charset="0"/>
                      </a:rPr>
                      <m:t>𝐹𝐶</m:t>
                    </m:r>
                    <m:sSub>
                      <m:sSubPr>
                        <m:ctrlPr>
                          <a:rPr lang="en-US" sz="1100" b="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n-US" sz="1100" b="0" i="1">
                            <a:latin typeface="Cambria Math" panose="02040503050406030204" pitchFamily="18" charset="0"/>
                          </a:rPr>
                          <m:t>𝐼</m:t>
                        </m:r>
                      </m:e>
                      <m:sub>
                        <m:r>
                          <a:rPr lang="en-US" sz="1100" b="0" i="1">
                            <a:latin typeface="Cambria Math" panose="02040503050406030204" pitchFamily="18" charset="0"/>
                          </a:rPr>
                          <m:t>2025</m:t>
                        </m:r>
                      </m:sub>
                    </m:sSub>
                    <m:r>
                      <a:rPr lang="en-US" sz="1100" b="0" i="1">
                        <a:latin typeface="Cambria Math" panose="02040503050406030204" pitchFamily="18" charset="0"/>
                      </a:rPr>
                      <m:t>=</m:t>
                    </m:r>
                    <m:r>
                      <a:rPr lang="en-US" sz="1100" b="0" i="1">
                        <a:latin typeface="Cambria Math" panose="02040503050406030204" pitchFamily="18" charset="0"/>
                      </a:rPr>
                      <m:t>𝐹𝐶</m:t>
                    </m:r>
                    <m:sSub>
                      <m:sSubPr>
                        <m:ctrlPr>
                          <a:rPr lang="en-US" sz="1100" b="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n-US" sz="1100" b="0" i="1">
                            <a:latin typeface="Cambria Math" panose="02040503050406030204" pitchFamily="18" charset="0"/>
                          </a:rPr>
                          <m:t>𝐼</m:t>
                        </m:r>
                      </m:e>
                      <m:sub>
                        <m:r>
                          <a:rPr lang="en-US" sz="1100" b="0" i="1">
                            <a:latin typeface="Cambria Math" panose="02040503050406030204" pitchFamily="18" charset="0"/>
                          </a:rPr>
                          <m:t>2020</m:t>
                        </m:r>
                      </m:sub>
                    </m:sSub>
                    <m:d>
                      <m:dPr>
                        <m:ctrlPr>
                          <a:rPr lang="en-US" sz="1100" b="0" i="1">
                            <a:latin typeface="Cambria Math" panose="02040503050406030204" pitchFamily="18" charset="0"/>
                          </a:rPr>
                        </m:ctrlPr>
                      </m:dPr>
                      <m:e>
                        <m:f>
                          <m:fPr>
                            <m:ctrlPr>
                              <a:rPr lang="en-US" sz="1100" b="0" i="1">
                                <a:latin typeface="Cambria Math" panose="02040503050406030204" pitchFamily="18" charset="0"/>
                              </a:rPr>
                            </m:ctrlPr>
                          </m:fPr>
                          <m:num>
                            <m:r>
                              <a:rPr lang="en-US" sz="1100" b="0" i="1">
                                <a:latin typeface="Cambria Math" panose="02040503050406030204" pitchFamily="18" charset="0"/>
                              </a:rPr>
                              <m:t>𝐶𝑜𝑠𝑡</m:t>
                            </m:r>
                            <m:r>
                              <a:rPr lang="en-US" sz="1100" b="0" i="1">
                                <a:latin typeface="Cambria Math" panose="02040503050406030204" pitchFamily="18" charset="0"/>
                              </a:rPr>
                              <m:t> </m:t>
                            </m:r>
                            <m:r>
                              <a:rPr lang="en-US" sz="1100" b="0" i="1">
                                <a:latin typeface="Cambria Math" panose="02040503050406030204" pitchFamily="18" charset="0"/>
                              </a:rPr>
                              <m:t>𝐼𝑛𝑑𝑒</m:t>
                            </m:r>
                            <m:sSub>
                              <m:sSubPr>
                                <m:ctrlPr>
                                  <a:rPr lang="en-US" sz="1100" b="0" i="1">
                                    <a:latin typeface="Cambria Math" panose="02040503050406030204" pitchFamily="18" charset="0"/>
                                  </a:rPr>
                                </m:ctrlPr>
                              </m:sSubPr>
                              <m:e>
                                <m:r>
                                  <a:rPr lang="en-US" sz="1100" b="0" i="1">
                                    <a:latin typeface="Cambria Math" panose="02040503050406030204" pitchFamily="18" charset="0"/>
                                  </a:rPr>
                                  <m:t>𝑥</m:t>
                                </m:r>
                              </m:e>
                              <m:sub>
                                <m:r>
                                  <a:rPr lang="en-US" sz="1100" b="0" i="1">
                                    <a:latin typeface="Cambria Math" panose="02040503050406030204" pitchFamily="18" charset="0"/>
                                  </a:rPr>
                                  <m:t>2025</m:t>
                                </m:r>
                              </m:sub>
                            </m:sSub>
                          </m:num>
                          <m:den>
                            <m:r>
                              <a:rPr lang="en-US" sz="1100" b="0" i="1">
                                <a:latin typeface="Cambria Math" panose="02040503050406030204" pitchFamily="18" charset="0"/>
                              </a:rPr>
                              <m:t>𝐶𝑜𝑠𝑡</m:t>
                            </m:r>
                            <m:r>
                              <a:rPr lang="en-US" sz="1100" b="0" i="1">
                                <a:latin typeface="Cambria Math" panose="02040503050406030204" pitchFamily="18" charset="0"/>
                              </a:rPr>
                              <m:t> </m:t>
                            </m:r>
                            <m:r>
                              <a:rPr lang="en-US" sz="1100" b="0" i="1">
                                <a:latin typeface="Cambria Math" panose="02040503050406030204" pitchFamily="18" charset="0"/>
                              </a:rPr>
                              <m:t>𝐼𝑛𝑑𝑒</m:t>
                            </m:r>
                            <m:sSub>
                              <m:sSubPr>
                                <m:ctrlPr>
                                  <a:rPr lang="en-US" sz="1100" b="0" i="1">
                                    <a:latin typeface="Cambria Math" panose="02040503050406030204" pitchFamily="18" charset="0"/>
                                  </a:rPr>
                                </m:ctrlPr>
                              </m:sSubPr>
                              <m:e>
                                <m:r>
                                  <a:rPr lang="en-US" sz="1100" b="0" i="1">
                                    <a:latin typeface="Cambria Math" panose="02040503050406030204" pitchFamily="18" charset="0"/>
                                  </a:rPr>
                                  <m:t>𝑥</m:t>
                                </m:r>
                              </m:e>
                              <m:sub>
                                <m:r>
                                  <a:rPr lang="en-US" sz="1100" b="0" i="1">
                                    <a:latin typeface="Cambria Math" panose="02040503050406030204" pitchFamily="18" charset="0"/>
                                  </a:rPr>
                                  <m:t>2020</m:t>
                                </m:r>
                              </m:sub>
                            </m:sSub>
                          </m:den>
                        </m:f>
                      </m:e>
                    </m:d>
                  </m:oMath>
                </m:oMathPara>
              </a14:m>
              <a:endParaRPr lang="en-US" sz="1100" b="0"/>
            </a:p>
            <a:p>
              <a:endParaRPr lang="en-US" sz="1100" b="0"/>
            </a:p>
            <a:p>
              <a:endParaRPr lang="en-US" sz="1100"/>
            </a:p>
          </xdr:txBody>
        </xdr:sp>
      </mc:Choice>
      <mc:Fallback xmlns="">
        <xdr:sp macro="" textlink="">
          <xdr:nvSpPr>
            <xdr:cNvPr id="2" name="TextBox 1">
              <a:extLst>
                <a:ext uri="{FF2B5EF4-FFF2-40B4-BE49-F238E27FC236}">
                  <a16:creationId xmlns:a16="http://schemas.microsoft.com/office/drawing/2014/main" id="{663F6656-00DE-4EE5-B5A6-083EDC0253F2}"/>
                </a:ext>
              </a:extLst>
            </xdr:cNvPr>
            <xdr:cNvSpPr txBox="1"/>
          </xdr:nvSpPr>
          <xdr:spPr>
            <a:xfrm>
              <a:off x="9311640" y="4533900"/>
              <a:ext cx="2465483" cy="106926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endParaRPr lang="en-US" sz="1100" b="0">
                <a:ea typeface="Cambria Math" panose="02040503050406030204" pitchFamily="18" charset="0"/>
              </a:endParaRPr>
            </a:p>
            <a:p>
              <a:endParaRPr lang="en-US" sz="1100" b="0">
                <a:ea typeface="Cambria Math" panose="02040503050406030204" pitchFamily="18" charset="0"/>
              </a:endParaRPr>
            </a:p>
            <a:p>
              <a:pPr/>
              <a:r>
                <a:rPr lang="en-US" sz="1100" b="0" i="0">
                  <a:latin typeface="Cambria Math" panose="02040503050406030204" pitchFamily="18" charset="0"/>
                </a:rPr>
                <a:t>𝐹𝐶𝐼_2025=𝐹𝐶𝐼_2020 ((𝐶𝑜𝑠𝑡 𝐼𝑛𝑑𝑒𝑥_2025)/(𝐶𝑜𝑠𝑡 𝐼𝑛𝑑𝑒𝑥_2020 ))</a:t>
              </a:r>
              <a:endParaRPr lang="en-US" sz="1100" b="0"/>
            </a:p>
            <a:p>
              <a:endParaRPr lang="en-US" sz="1100" b="0"/>
            </a:p>
            <a:p>
              <a:endParaRPr lang="en-US" sz="1100"/>
            </a:p>
          </xdr:txBody>
        </xdr:sp>
      </mc:Fallback>
    </mc:AlternateContent>
    <xdr:clientData/>
  </xdr:one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oneCell">
    <xdr:from>
      <xdr:col>9</xdr:col>
      <xdr:colOff>755837</xdr:colOff>
      <xdr:row>15</xdr:row>
      <xdr:rowOff>54908</xdr:rowOff>
    </xdr:from>
    <xdr:to>
      <xdr:col>13</xdr:col>
      <xdr:colOff>1279418</xdr:colOff>
      <xdr:row>22</xdr:row>
      <xdr:rowOff>491829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282540A6-AB0A-60D3-0859-7FA329160CC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0652872" y="2807073"/>
          <a:ext cx="6036875" cy="2319509"/>
        </a:xfrm>
        <a:prstGeom prst="rect">
          <a:avLst/>
        </a:prstGeom>
      </xdr:spPr>
    </xdr:pic>
    <xdr:clientData/>
  </xdr:twoCellAnchor>
  <xdr:oneCellAnchor>
    <xdr:from>
      <xdr:col>10</xdr:col>
      <xdr:colOff>0</xdr:colOff>
      <xdr:row>37</xdr:row>
      <xdr:rowOff>0</xdr:rowOff>
    </xdr:from>
    <xdr:ext cx="2395720" cy="413831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3" name="TextBox 2">
              <a:extLst>
                <a:ext uri="{FF2B5EF4-FFF2-40B4-BE49-F238E27FC236}">
                  <a16:creationId xmlns:a16="http://schemas.microsoft.com/office/drawing/2014/main" id="{8C9BE73A-57E6-4E19-A971-5671F06FD00D}"/>
                </a:ext>
              </a:extLst>
            </xdr:cNvPr>
            <xdr:cNvSpPr txBox="1"/>
          </xdr:nvSpPr>
          <xdr:spPr>
            <a:xfrm>
              <a:off x="9229725" y="7048500"/>
              <a:ext cx="2395720" cy="41383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en-US" sz="1100" b="0" i="1">
                        <a:latin typeface="Cambria Math" panose="02040503050406030204" pitchFamily="18" charset="0"/>
                      </a:rPr>
                      <m:t>𝐶𝐴𝑃𝐸</m:t>
                    </m:r>
                    <m:sSub>
                      <m:sSubPr>
                        <m:ctrlPr>
                          <a:rPr lang="en-US" sz="1100" b="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n-US" sz="1100" b="0" i="1">
                            <a:latin typeface="Cambria Math" panose="02040503050406030204" pitchFamily="18" charset="0"/>
                          </a:rPr>
                          <m:t>𝑋</m:t>
                        </m:r>
                      </m:e>
                      <m:sub>
                        <m:r>
                          <a:rPr lang="en-US" sz="1100" b="0" i="1">
                            <a:latin typeface="Cambria Math" panose="02040503050406030204" pitchFamily="18" charset="0"/>
                          </a:rPr>
                          <m:t>2</m:t>
                        </m:r>
                      </m:sub>
                    </m:sSub>
                    <m:r>
                      <a:rPr lang="en-US" sz="1100" b="0" i="1">
                        <a:latin typeface="Cambria Math" panose="02040503050406030204" pitchFamily="18" charset="0"/>
                      </a:rPr>
                      <m:t>=</m:t>
                    </m:r>
                    <m:r>
                      <a:rPr lang="en-US" sz="1100" b="0" i="1">
                        <a:latin typeface="Cambria Math" panose="02040503050406030204" pitchFamily="18" charset="0"/>
                      </a:rPr>
                      <m:t>𝐶𝐴𝑃𝐸</m:t>
                    </m:r>
                    <m:sSub>
                      <m:sSubPr>
                        <m:ctrlPr>
                          <a:rPr lang="en-US" sz="1100" b="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n-US" sz="1100" b="0" i="1">
                            <a:latin typeface="Cambria Math" panose="02040503050406030204" pitchFamily="18" charset="0"/>
                          </a:rPr>
                          <m:t>𝑋</m:t>
                        </m:r>
                      </m:e>
                      <m:sub>
                        <m:r>
                          <a:rPr lang="en-US" sz="1100" b="0" i="1">
                            <a:latin typeface="Cambria Math" panose="02040503050406030204" pitchFamily="18" charset="0"/>
                          </a:rPr>
                          <m:t>1</m:t>
                        </m:r>
                      </m:sub>
                    </m:sSub>
                    <m:sSup>
                      <m:sSupPr>
                        <m:ctrlPr>
                          <a:rPr lang="en-US" sz="1100" b="0" i="1">
                            <a:latin typeface="Cambria Math" panose="02040503050406030204" pitchFamily="18" charset="0"/>
                          </a:rPr>
                        </m:ctrlPr>
                      </m:sSupPr>
                      <m:e>
                        <m:d>
                          <m:dPr>
                            <m:ctrlPr>
                              <a:rPr lang="en-US" sz="1100" b="0" i="1">
                                <a:latin typeface="Cambria Math" panose="02040503050406030204" pitchFamily="18" charset="0"/>
                              </a:rPr>
                            </m:ctrlPr>
                          </m:dPr>
                          <m:e>
                            <m:f>
                              <m:fPr>
                                <m:ctrlPr>
                                  <a:rPr lang="en-US" sz="1100" b="0" i="1">
                                    <a:latin typeface="Cambria Math" panose="02040503050406030204" pitchFamily="18" charset="0"/>
                                  </a:rPr>
                                </m:ctrlPr>
                              </m:fPr>
                              <m:num>
                                <m:r>
                                  <a:rPr lang="en-US" sz="1100" b="0" i="1">
                                    <a:latin typeface="Cambria Math" panose="02040503050406030204" pitchFamily="18" charset="0"/>
                                  </a:rPr>
                                  <m:t>𝐶𝑎𝑝𝑎𝑐𝑖𝑡</m:t>
                                </m:r>
                                <m:sSub>
                                  <m:sSubPr>
                                    <m:ctrlPr>
                                      <a:rPr lang="en-US" sz="1100" b="0" i="1">
                                        <a:latin typeface="Cambria Math" panose="02040503050406030204" pitchFamily="18" charset="0"/>
                                      </a:rPr>
                                    </m:ctrlPr>
                                  </m:sSubPr>
                                  <m:e>
                                    <m:r>
                                      <a:rPr lang="en-US" sz="1100" b="0" i="1">
                                        <a:latin typeface="Cambria Math" panose="02040503050406030204" pitchFamily="18" charset="0"/>
                                      </a:rPr>
                                      <m:t>𝑦</m:t>
                                    </m:r>
                                  </m:e>
                                  <m:sub>
                                    <m:r>
                                      <a:rPr lang="en-US" sz="1100" b="0" i="1">
                                        <a:latin typeface="Cambria Math" panose="02040503050406030204" pitchFamily="18" charset="0"/>
                                      </a:rPr>
                                      <m:t>2</m:t>
                                    </m:r>
                                  </m:sub>
                                </m:sSub>
                              </m:num>
                              <m:den>
                                <m:r>
                                  <a:rPr lang="en-US" sz="1100" b="0" i="1">
                                    <a:latin typeface="Cambria Math" panose="02040503050406030204" pitchFamily="18" charset="0"/>
                                  </a:rPr>
                                  <m:t>𝐶𝑎𝑝𝑎𝑐𝑖𝑡</m:t>
                                </m:r>
                                <m:sSub>
                                  <m:sSubPr>
                                    <m:ctrlPr>
                                      <a:rPr lang="en-US" sz="1100" b="0" i="1">
                                        <a:latin typeface="Cambria Math" panose="02040503050406030204" pitchFamily="18" charset="0"/>
                                      </a:rPr>
                                    </m:ctrlPr>
                                  </m:sSubPr>
                                  <m:e>
                                    <m:r>
                                      <a:rPr lang="en-US" sz="1100" b="0" i="1">
                                        <a:latin typeface="Cambria Math" panose="02040503050406030204" pitchFamily="18" charset="0"/>
                                      </a:rPr>
                                      <m:t>𝑦</m:t>
                                    </m:r>
                                  </m:e>
                                  <m:sub>
                                    <m:r>
                                      <a:rPr lang="en-US" sz="1100" b="0" i="1">
                                        <a:latin typeface="Cambria Math" panose="02040503050406030204" pitchFamily="18" charset="0"/>
                                      </a:rPr>
                                      <m:t>1</m:t>
                                    </m:r>
                                  </m:sub>
                                </m:sSub>
                              </m:den>
                            </m:f>
                          </m:e>
                        </m:d>
                      </m:e>
                      <m:sup>
                        <m:r>
                          <a:rPr lang="en-US" sz="1100" b="0" i="1">
                            <a:latin typeface="Cambria Math" panose="02040503050406030204" pitchFamily="18" charset="0"/>
                          </a:rPr>
                          <m:t>0.6~0.7</m:t>
                        </m:r>
                      </m:sup>
                    </m:sSup>
                  </m:oMath>
                </m:oMathPara>
              </a14:m>
              <a:endParaRPr lang="en-US" sz="1100"/>
            </a:p>
          </xdr:txBody>
        </xdr:sp>
      </mc:Choice>
      <mc:Fallback xmlns="">
        <xdr:sp macro="" textlink="">
          <xdr:nvSpPr>
            <xdr:cNvPr id="3" name="TextBox 2">
              <a:extLst>
                <a:ext uri="{FF2B5EF4-FFF2-40B4-BE49-F238E27FC236}">
                  <a16:creationId xmlns:a16="http://schemas.microsoft.com/office/drawing/2014/main" id="{8C9BE73A-57E6-4E19-A971-5671F06FD00D}"/>
                </a:ext>
              </a:extLst>
            </xdr:cNvPr>
            <xdr:cNvSpPr txBox="1"/>
          </xdr:nvSpPr>
          <xdr:spPr>
            <a:xfrm>
              <a:off x="9229725" y="7048500"/>
              <a:ext cx="2395720" cy="41383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:r>
                <a:rPr lang="en-US" sz="1100" b="0" i="0">
                  <a:latin typeface="Cambria Math" panose="02040503050406030204" pitchFamily="18" charset="0"/>
                </a:rPr>
                <a:t>𝐶𝐴𝑃𝐸𝑋_2=𝐶𝐴𝑃𝐸𝑋_1 ((𝐶𝑎𝑝𝑎𝑐𝑖𝑡𝑦_2)/(𝐶𝑎𝑝𝑎𝑐𝑖𝑡𝑦_1 ))^(0.6~0.7)</a:t>
              </a:r>
              <a:endParaRPr lang="en-US" sz="1100"/>
            </a:p>
          </xdr:txBody>
        </xdr:sp>
      </mc:Fallback>
    </mc:AlternateContent>
    <xdr:clientData/>
  </xdr:oneCellAnchor>
  <xdr:oneCellAnchor>
    <xdr:from>
      <xdr:col>9</xdr:col>
      <xdr:colOff>0</xdr:colOff>
      <xdr:row>24</xdr:row>
      <xdr:rowOff>0</xdr:rowOff>
    </xdr:from>
    <xdr:ext cx="4688015" cy="1483098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4" name="TextBox 3">
              <a:extLst>
                <a:ext uri="{FF2B5EF4-FFF2-40B4-BE49-F238E27FC236}">
                  <a16:creationId xmlns:a16="http://schemas.microsoft.com/office/drawing/2014/main" id="{ADE23C9E-3850-4DAA-9233-C86D79AF8025}"/>
                </a:ext>
              </a:extLst>
            </xdr:cNvPr>
            <xdr:cNvSpPr txBox="1"/>
          </xdr:nvSpPr>
          <xdr:spPr>
            <a:xfrm>
              <a:off x="9897035" y="5396753"/>
              <a:ext cx="4688015" cy="1483098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en-US" sz="1100" b="0" i="1">
                        <a:latin typeface="Cambria Math" panose="02040503050406030204" pitchFamily="18" charset="0"/>
                      </a:rPr>
                      <m:t>𝐹𝐶</m:t>
                    </m:r>
                    <m:sSub>
                      <m:sSubPr>
                        <m:ctrlPr>
                          <a:rPr lang="en-US" sz="1100" b="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n-US" sz="1100" b="0" i="1">
                            <a:latin typeface="Cambria Math" panose="02040503050406030204" pitchFamily="18" charset="0"/>
                          </a:rPr>
                          <m:t>𝐼</m:t>
                        </m:r>
                      </m:e>
                      <m:sub>
                        <m:r>
                          <a:rPr lang="en-US" sz="1100" b="0" i="1">
                            <a:latin typeface="Cambria Math" panose="02040503050406030204" pitchFamily="18" charset="0"/>
                          </a:rPr>
                          <m:t>2020</m:t>
                        </m:r>
                      </m:sub>
                    </m:sSub>
                    <m:r>
                      <a:rPr lang="en-US" sz="1100" b="0" i="1">
                        <a:latin typeface="Cambria Math" panose="02040503050406030204" pitchFamily="18" charset="0"/>
                      </a:rPr>
                      <m:t>𝑖𝑛</m:t>
                    </m:r>
                    <m:r>
                      <a:rPr lang="en-US" sz="1100" b="0" i="1">
                        <a:latin typeface="Cambria Math" panose="02040503050406030204" pitchFamily="18" charset="0"/>
                      </a:rPr>
                      <m:t> </m:t>
                    </m:r>
                    <m:r>
                      <a:rPr lang="en-US" sz="1100" b="0" i="1">
                        <a:latin typeface="Cambria Math" panose="02040503050406030204" pitchFamily="18" charset="0"/>
                      </a:rPr>
                      <m:t>𝑀𝑀</m:t>
                    </m:r>
                    <m:r>
                      <a:rPr lang="en-US" sz="1100" b="0" i="1">
                        <a:latin typeface="Cambria Math" panose="02040503050406030204" pitchFamily="18" charset="0"/>
                      </a:rPr>
                      <m:t>$=0.16×</m:t>
                    </m:r>
                    <m:r>
                      <a:rPr lang="en-US" sz="1100" b="0" i="1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𝑁</m:t>
                    </m:r>
                    <m:r>
                      <a:rPr lang="en-US" sz="1100" b="0" i="1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×</m:t>
                    </m:r>
                    <m:sSup>
                      <m:sSupPr>
                        <m:ctrlPr>
                          <a:rPr lang="en-US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</m:ctrlPr>
                      </m:sSupPr>
                      <m:e>
                        <m:d>
                          <m:dPr>
                            <m:ctrlPr>
                              <a:rPr lang="en-US" sz="1100" b="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</m:ctrlPr>
                          </m:dPr>
                          <m:e>
                            <m:r>
                              <a:rPr lang="en-US" sz="1100" b="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𝐵𝑖𝑜𝑚𝑎𝑠𝑠</m:t>
                            </m:r>
                            <m:r>
                              <a:rPr lang="en-US" sz="1100" b="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 </m:t>
                            </m:r>
                            <m:r>
                              <a:rPr lang="en-US" sz="1100" b="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𝑓𝑒𝑒𝑑</m:t>
                            </m:r>
                            <m:r>
                              <a:rPr lang="en-US" sz="1100" b="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 </m:t>
                            </m:r>
                            <m:r>
                              <a:rPr lang="en-US" sz="1100" b="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𝑟𝑎𝑡𝑒</m:t>
                            </m:r>
                            <m:r>
                              <a:rPr lang="en-US" sz="1100" b="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 </m:t>
                            </m:r>
                            <m:r>
                              <a:rPr lang="en-US" sz="1100" b="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𝑖𝑛</m:t>
                            </m:r>
                            <m:r>
                              <a:rPr lang="en-US" sz="1100" b="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 </m:t>
                            </m:r>
                            <m:r>
                              <a:rPr lang="en-US" sz="1100" b="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𝑡h𝑜𝑢𝑠𝑎𝑛𝑑𝑠</m:t>
                            </m:r>
                            <m:f>
                              <m:fPr>
                                <m:ctrlPr>
                                  <a:rPr lang="en-US" sz="1100" b="0" i="1">
                                    <a:latin typeface="Cambria Math" panose="02040503050406030204" pitchFamily="18" charset="0"/>
                                    <a:ea typeface="Cambria Math" panose="02040503050406030204" pitchFamily="18" charset="0"/>
                                  </a:rPr>
                                </m:ctrlPr>
                              </m:fPr>
                              <m:num>
                                <m:r>
                                  <a:rPr lang="en-US" sz="1100" b="0" i="1">
                                    <a:latin typeface="Cambria Math" panose="02040503050406030204" pitchFamily="18" charset="0"/>
                                    <a:ea typeface="Cambria Math" panose="02040503050406030204" pitchFamily="18" charset="0"/>
                                  </a:rPr>
                                  <m:t>𝑡𝑜𝑛𝑛𝑒</m:t>
                                </m:r>
                              </m:num>
                              <m:den>
                                <m:r>
                                  <a:rPr lang="en-US" sz="1100" b="0" i="1">
                                    <a:latin typeface="Cambria Math" panose="02040503050406030204" pitchFamily="18" charset="0"/>
                                    <a:ea typeface="Cambria Math" panose="02040503050406030204" pitchFamily="18" charset="0"/>
                                  </a:rPr>
                                  <m:t>𝑦𝑟</m:t>
                                </m:r>
                              </m:den>
                            </m:f>
                            <m:r>
                              <a:rPr lang="en-US" sz="1100" b="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 </m:t>
                            </m:r>
                          </m:e>
                        </m:d>
                      </m:e>
                      <m:sup>
                        <m:r>
                          <a:rPr lang="en-US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0.84</m:t>
                        </m:r>
                      </m:sup>
                    </m:sSup>
                  </m:oMath>
                </m:oMathPara>
              </a14:m>
              <a:endParaRPr lang="en-US" sz="1100" b="0">
                <a:ea typeface="Cambria Math" panose="02040503050406030204" pitchFamily="18" charset="0"/>
              </a:endParaRPr>
            </a:p>
            <a:p>
              <a:r>
                <a:rPr lang="en-US" sz="1100" b="0">
                  <a:ea typeface="Cambria Math" panose="02040503050406030204" pitchFamily="18" charset="0"/>
                </a:rPr>
                <a:t>N = no</a:t>
              </a:r>
              <a:r>
                <a:rPr lang="en-US" sz="1100" b="0" baseline="0">
                  <a:ea typeface="Cambria Math" panose="02040503050406030204" pitchFamily="18" charset="0"/>
                </a:rPr>
                <a:t> of major units</a:t>
              </a:r>
              <a:endParaRPr lang="en-US" sz="1100" b="0">
                <a:ea typeface="Cambria Math" panose="02040503050406030204" pitchFamily="18" charset="0"/>
              </a:endParaRPr>
            </a:p>
            <a:p>
              <a:endParaRPr lang="en-US" sz="1100" b="0">
                <a:ea typeface="Cambria Math" panose="02040503050406030204" pitchFamily="18" charset="0"/>
              </a:endParaRPr>
            </a:p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en-US" sz="1100" b="0" i="1">
                        <a:latin typeface="Cambria Math" panose="02040503050406030204" pitchFamily="18" charset="0"/>
                      </a:rPr>
                      <m:t>𝐹𝐶</m:t>
                    </m:r>
                    <m:sSub>
                      <m:sSubPr>
                        <m:ctrlPr>
                          <a:rPr lang="en-US" sz="1100" b="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n-US" sz="1100" b="0" i="1">
                            <a:latin typeface="Cambria Math" panose="02040503050406030204" pitchFamily="18" charset="0"/>
                          </a:rPr>
                          <m:t>𝐼</m:t>
                        </m:r>
                      </m:e>
                      <m:sub>
                        <m:r>
                          <a:rPr lang="en-US" sz="1100" b="0" i="1">
                            <a:latin typeface="Cambria Math" panose="02040503050406030204" pitchFamily="18" charset="0"/>
                          </a:rPr>
                          <m:t>2025</m:t>
                        </m:r>
                      </m:sub>
                    </m:sSub>
                    <m:r>
                      <a:rPr lang="en-US" sz="1100" b="0" i="1">
                        <a:latin typeface="Cambria Math" panose="02040503050406030204" pitchFamily="18" charset="0"/>
                      </a:rPr>
                      <m:t>=</m:t>
                    </m:r>
                    <m:r>
                      <a:rPr lang="en-US" sz="1100" b="0" i="1">
                        <a:latin typeface="Cambria Math" panose="02040503050406030204" pitchFamily="18" charset="0"/>
                      </a:rPr>
                      <m:t>𝐹𝐶</m:t>
                    </m:r>
                    <m:sSub>
                      <m:sSubPr>
                        <m:ctrlPr>
                          <a:rPr lang="en-US" sz="1100" b="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n-US" sz="1100" b="0" i="1">
                            <a:latin typeface="Cambria Math" panose="02040503050406030204" pitchFamily="18" charset="0"/>
                          </a:rPr>
                          <m:t>𝐼</m:t>
                        </m:r>
                      </m:e>
                      <m:sub>
                        <m:r>
                          <a:rPr lang="en-US" sz="1100" b="0" i="1">
                            <a:latin typeface="Cambria Math" panose="02040503050406030204" pitchFamily="18" charset="0"/>
                          </a:rPr>
                          <m:t>2020</m:t>
                        </m:r>
                      </m:sub>
                    </m:sSub>
                    <m:d>
                      <m:dPr>
                        <m:ctrlPr>
                          <a:rPr lang="en-US" sz="1100" b="0" i="1">
                            <a:latin typeface="Cambria Math" panose="02040503050406030204" pitchFamily="18" charset="0"/>
                          </a:rPr>
                        </m:ctrlPr>
                      </m:dPr>
                      <m:e>
                        <m:f>
                          <m:fPr>
                            <m:ctrlPr>
                              <a:rPr lang="en-US" sz="1100" b="0" i="1">
                                <a:latin typeface="Cambria Math" panose="02040503050406030204" pitchFamily="18" charset="0"/>
                              </a:rPr>
                            </m:ctrlPr>
                          </m:fPr>
                          <m:num>
                            <m:r>
                              <a:rPr lang="en-US" sz="1100" b="0" i="1">
                                <a:latin typeface="Cambria Math" panose="02040503050406030204" pitchFamily="18" charset="0"/>
                              </a:rPr>
                              <m:t>𝐶𝑜𝑠𝑡</m:t>
                            </m:r>
                            <m:r>
                              <a:rPr lang="en-US" sz="1100" b="0" i="1">
                                <a:latin typeface="Cambria Math" panose="02040503050406030204" pitchFamily="18" charset="0"/>
                              </a:rPr>
                              <m:t> </m:t>
                            </m:r>
                            <m:r>
                              <a:rPr lang="en-US" sz="1100" b="0" i="1">
                                <a:latin typeface="Cambria Math" panose="02040503050406030204" pitchFamily="18" charset="0"/>
                              </a:rPr>
                              <m:t>𝐼𝑛𝑑𝑒</m:t>
                            </m:r>
                            <m:sSub>
                              <m:sSubPr>
                                <m:ctrlPr>
                                  <a:rPr lang="en-US" sz="1100" b="0" i="1">
                                    <a:latin typeface="Cambria Math" panose="02040503050406030204" pitchFamily="18" charset="0"/>
                                  </a:rPr>
                                </m:ctrlPr>
                              </m:sSubPr>
                              <m:e>
                                <m:r>
                                  <a:rPr lang="en-US" sz="1100" b="0" i="1">
                                    <a:latin typeface="Cambria Math" panose="02040503050406030204" pitchFamily="18" charset="0"/>
                                  </a:rPr>
                                  <m:t>𝑥</m:t>
                                </m:r>
                              </m:e>
                              <m:sub>
                                <m:r>
                                  <a:rPr lang="en-US" sz="1100" b="0" i="1">
                                    <a:latin typeface="Cambria Math" panose="02040503050406030204" pitchFamily="18" charset="0"/>
                                  </a:rPr>
                                  <m:t>2025</m:t>
                                </m:r>
                              </m:sub>
                            </m:sSub>
                          </m:num>
                          <m:den>
                            <m:r>
                              <a:rPr lang="en-US" sz="1100" b="0" i="1">
                                <a:latin typeface="Cambria Math" panose="02040503050406030204" pitchFamily="18" charset="0"/>
                              </a:rPr>
                              <m:t>𝐶𝑜𝑠𝑡</m:t>
                            </m:r>
                            <m:r>
                              <a:rPr lang="en-US" sz="1100" b="0" i="1">
                                <a:latin typeface="Cambria Math" panose="02040503050406030204" pitchFamily="18" charset="0"/>
                              </a:rPr>
                              <m:t> </m:t>
                            </m:r>
                            <m:r>
                              <a:rPr lang="en-US" sz="1100" b="0" i="1">
                                <a:latin typeface="Cambria Math" panose="02040503050406030204" pitchFamily="18" charset="0"/>
                              </a:rPr>
                              <m:t>𝐼𝑛𝑑𝑒</m:t>
                            </m:r>
                            <m:sSub>
                              <m:sSubPr>
                                <m:ctrlPr>
                                  <a:rPr lang="en-US" sz="1100" b="0" i="1">
                                    <a:latin typeface="Cambria Math" panose="02040503050406030204" pitchFamily="18" charset="0"/>
                                  </a:rPr>
                                </m:ctrlPr>
                              </m:sSubPr>
                              <m:e>
                                <m:r>
                                  <a:rPr lang="en-US" sz="1100" b="0" i="1">
                                    <a:latin typeface="Cambria Math" panose="02040503050406030204" pitchFamily="18" charset="0"/>
                                  </a:rPr>
                                  <m:t>𝑥</m:t>
                                </m:r>
                              </m:e>
                              <m:sub>
                                <m:r>
                                  <a:rPr lang="en-US" sz="1100" b="0" i="1">
                                    <a:latin typeface="Cambria Math" panose="02040503050406030204" pitchFamily="18" charset="0"/>
                                  </a:rPr>
                                  <m:t>2020</m:t>
                                </m:r>
                              </m:sub>
                            </m:sSub>
                          </m:den>
                        </m:f>
                      </m:e>
                    </m:d>
                  </m:oMath>
                </m:oMathPara>
              </a14:m>
              <a:endParaRPr lang="en-US" sz="1100" b="0"/>
            </a:p>
            <a:p>
              <a:endParaRPr lang="en-US" sz="1100" b="0"/>
            </a:p>
            <a:p>
              <a:endParaRPr lang="en-US" sz="1100"/>
            </a:p>
          </xdr:txBody>
        </xdr:sp>
      </mc:Choice>
      <mc:Fallback xmlns="">
        <xdr:sp macro="" textlink="">
          <xdr:nvSpPr>
            <xdr:cNvPr id="4" name="TextBox 3">
              <a:extLst>
                <a:ext uri="{FF2B5EF4-FFF2-40B4-BE49-F238E27FC236}">
                  <a16:creationId xmlns:a16="http://schemas.microsoft.com/office/drawing/2014/main" id="{ADE23C9E-3850-4DAA-9233-C86D79AF8025}"/>
                </a:ext>
              </a:extLst>
            </xdr:cNvPr>
            <xdr:cNvSpPr txBox="1"/>
          </xdr:nvSpPr>
          <xdr:spPr>
            <a:xfrm>
              <a:off x="9897035" y="5396753"/>
              <a:ext cx="4688015" cy="1483098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:r>
                <a:rPr lang="en-US" sz="1100" b="0" i="0">
                  <a:latin typeface="Cambria Math" panose="02040503050406030204" pitchFamily="18" charset="0"/>
                </a:rPr>
                <a:t>𝐹𝐶𝐼_2020 𝑖𝑛 𝑀𝑀$=0.16×</a:t>
              </a:r>
              <a:r>
                <a:rPr lang="en-US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𝑁×(𝐵𝑖𝑜𝑚𝑎𝑠𝑠 𝑓𝑒𝑒𝑑 𝑟𝑎𝑡𝑒 𝑖𝑛 𝑡ℎ𝑜𝑢𝑠𝑎𝑛𝑑𝑠 𝑡𝑜𝑛𝑛𝑒/𝑦𝑟  )^0.84</a:t>
              </a:r>
              <a:endParaRPr lang="en-US" sz="1100" b="0">
                <a:ea typeface="Cambria Math" panose="02040503050406030204" pitchFamily="18" charset="0"/>
              </a:endParaRPr>
            </a:p>
            <a:p>
              <a:r>
                <a:rPr lang="en-US" sz="1100" b="0">
                  <a:ea typeface="Cambria Math" panose="02040503050406030204" pitchFamily="18" charset="0"/>
                </a:rPr>
                <a:t>N = no</a:t>
              </a:r>
              <a:r>
                <a:rPr lang="en-US" sz="1100" b="0" baseline="0">
                  <a:ea typeface="Cambria Math" panose="02040503050406030204" pitchFamily="18" charset="0"/>
                </a:rPr>
                <a:t> of major units</a:t>
              </a:r>
              <a:endParaRPr lang="en-US" sz="1100" b="0">
                <a:ea typeface="Cambria Math" panose="02040503050406030204" pitchFamily="18" charset="0"/>
              </a:endParaRPr>
            </a:p>
            <a:p>
              <a:endParaRPr lang="en-US" sz="1100" b="0">
                <a:ea typeface="Cambria Math" panose="02040503050406030204" pitchFamily="18" charset="0"/>
              </a:endParaRPr>
            </a:p>
            <a:p>
              <a:pPr/>
              <a:r>
                <a:rPr lang="en-US" sz="1100" b="0" i="0">
                  <a:latin typeface="Cambria Math" panose="02040503050406030204" pitchFamily="18" charset="0"/>
                </a:rPr>
                <a:t>𝐹𝐶𝐼_2025=𝐹𝐶𝐼_2020 ((𝐶𝑜𝑠𝑡 𝐼𝑛𝑑𝑒𝑥_2025)/(𝐶𝑜𝑠𝑡 𝐼𝑛𝑑𝑒𝑥_2020 ))</a:t>
              </a:r>
              <a:endParaRPr lang="en-US" sz="1100" b="0"/>
            </a:p>
            <a:p>
              <a:endParaRPr lang="en-US" sz="1100" b="0"/>
            </a:p>
            <a:p>
              <a:endParaRPr lang="en-US" sz="1100"/>
            </a:p>
          </xdr:txBody>
        </xdr:sp>
      </mc:Fallback>
    </mc:AlternateContent>
    <xdr:clientData/>
  </xdr:oneCellAnchor>
</xdr:wsDr>
</file>

<file path=xl/drawings/drawing8.xml><?xml version="1.0" encoding="utf-8"?>
<xdr:wsDr xmlns:xdr="http://schemas.openxmlformats.org/drawingml/2006/spreadsheetDrawing" xmlns:a="http://schemas.openxmlformats.org/drawingml/2006/main">
  <xdr:oneCellAnchor>
    <xdr:from>
      <xdr:col>17</xdr:col>
      <xdr:colOff>584835</xdr:colOff>
      <xdr:row>0</xdr:row>
      <xdr:rowOff>84772</xdr:rowOff>
    </xdr:from>
    <xdr:ext cx="2430665" cy="413831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2" name="TextBox 1">
              <a:extLst>
                <a:ext uri="{FF2B5EF4-FFF2-40B4-BE49-F238E27FC236}">
                  <a16:creationId xmlns:a16="http://schemas.microsoft.com/office/drawing/2014/main" id="{B3826DAF-4CAF-6A92-9468-38C4AF40DA1B}"/>
                </a:ext>
              </a:extLst>
            </xdr:cNvPr>
            <xdr:cNvSpPr txBox="1"/>
          </xdr:nvSpPr>
          <xdr:spPr>
            <a:xfrm>
              <a:off x="21357273" y="84772"/>
              <a:ext cx="2430665" cy="41383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en-US" sz="1100" b="0" i="1">
                        <a:latin typeface="Cambria Math" panose="02040503050406030204" pitchFamily="18" charset="0"/>
                      </a:rPr>
                      <m:t>𝐹𝐶</m:t>
                    </m:r>
                    <m:sSub>
                      <m:sSubPr>
                        <m:ctrlPr>
                          <a:rPr lang="en-US" sz="1100" b="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n-US" sz="1100" b="0" i="1">
                            <a:latin typeface="Cambria Math" panose="02040503050406030204" pitchFamily="18" charset="0"/>
                          </a:rPr>
                          <m:t>𝐼</m:t>
                        </m:r>
                      </m:e>
                      <m:sub>
                        <m:r>
                          <a:rPr lang="en-US" sz="1100" b="0" i="1">
                            <a:latin typeface="Cambria Math" panose="02040503050406030204" pitchFamily="18" charset="0"/>
                          </a:rPr>
                          <m:t>𝐵</m:t>
                        </m:r>
                      </m:sub>
                    </m:sSub>
                    <m:r>
                      <a:rPr lang="en-US" sz="1100" b="0" i="1">
                        <a:latin typeface="Cambria Math" panose="02040503050406030204" pitchFamily="18" charset="0"/>
                      </a:rPr>
                      <m:t>=</m:t>
                    </m:r>
                    <m:r>
                      <a:rPr lang="en-US" sz="1100" b="0" i="1">
                        <a:latin typeface="Cambria Math" panose="02040503050406030204" pitchFamily="18" charset="0"/>
                      </a:rPr>
                      <m:t>𝐹𝐶</m:t>
                    </m:r>
                    <m:sSub>
                      <m:sSubPr>
                        <m:ctrlPr>
                          <a:rPr lang="en-US" sz="1100" b="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n-US" sz="1100" b="0" i="1">
                            <a:latin typeface="Cambria Math" panose="02040503050406030204" pitchFamily="18" charset="0"/>
                          </a:rPr>
                          <m:t>𝐼</m:t>
                        </m:r>
                      </m:e>
                      <m:sub>
                        <m:r>
                          <a:rPr lang="en-US" sz="1100" b="0" i="1">
                            <a:latin typeface="Cambria Math" panose="02040503050406030204" pitchFamily="18" charset="0"/>
                          </a:rPr>
                          <m:t>𝐴</m:t>
                        </m:r>
                      </m:sub>
                    </m:sSub>
                    <m:sSup>
                      <m:sSupPr>
                        <m:ctrlPr>
                          <a:rPr lang="en-US" sz="1100" b="0" i="1">
                            <a:latin typeface="Cambria Math" panose="02040503050406030204" pitchFamily="18" charset="0"/>
                          </a:rPr>
                        </m:ctrlPr>
                      </m:sSupPr>
                      <m:e>
                        <m:d>
                          <m:dPr>
                            <m:ctrlPr>
                              <a:rPr lang="en-US" sz="1100" b="0" i="1">
                                <a:latin typeface="Cambria Math" panose="02040503050406030204" pitchFamily="18" charset="0"/>
                              </a:rPr>
                            </m:ctrlPr>
                          </m:dPr>
                          <m:e>
                            <m:f>
                              <m:fPr>
                                <m:ctrlPr>
                                  <a:rPr lang="en-US" sz="1100" b="0" i="1">
                                    <a:latin typeface="Cambria Math" panose="02040503050406030204" pitchFamily="18" charset="0"/>
                                  </a:rPr>
                                </m:ctrlPr>
                              </m:fPr>
                              <m:num>
                                <m:r>
                                  <a:rPr lang="en-US" sz="1100" b="0" i="1">
                                    <a:latin typeface="Cambria Math" panose="02040503050406030204" pitchFamily="18" charset="0"/>
                                  </a:rPr>
                                  <m:t>𝐶𝑎𝑝𝑎𝑐𝑖𝑡</m:t>
                                </m:r>
                                <m:sSub>
                                  <m:sSubPr>
                                    <m:ctrlPr>
                                      <a:rPr lang="en-US" sz="1100" b="0" i="1">
                                        <a:latin typeface="Cambria Math" panose="02040503050406030204" pitchFamily="18" charset="0"/>
                                      </a:rPr>
                                    </m:ctrlPr>
                                  </m:sSubPr>
                                  <m:e>
                                    <m:r>
                                      <a:rPr lang="en-US" sz="1100" b="0" i="1">
                                        <a:latin typeface="Cambria Math" panose="02040503050406030204" pitchFamily="18" charset="0"/>
                                      </a:rPr>
                                      <m:t>𝑦</m:t>
                                    </m:r>
                                  </m:e>
                                  <m:sub>
                                    <m:r>
                                      <a:rPr lang="en-US" sz="1100" b="0" i="1">
                                        <a:latin typeface="Cambria Math" panose="02040503050406030204" pitchFamily="18" charset="0"/>
                                      </a:rPr>
                                      <m:t>𝐵</m:t>
                                    </m:r>
                                  </m:sub>
                                </m:sSub>
                              </m:num>
                              <m:den>
                                <m:r>
                                  <a:rPr lang="en-US" sz="1100" b="0" i="1">
                                    <a:latin typeface="Cambria Math" panose="02040503050406030204" pitchFamily="18" charset="0"/>
                                  </a:rPr>
                                  <m:t>𝐶𝑎𝑝𝑎𝑐𝑖𝑡</m:t>
                                </m:r>
                                <m:sSub>
                                  <m:sSubPr>
                                    <m:ctrlPr>
                                      <a:rPr lang="en-US" sz="1100" b="0" i="1">
                                        <a:latin typeface="Cambria Math" panose="02040503050406030204" pitchFamily="18" charset="0"/>
                                      </a:rPr>
                                    </m:ctrlPr>
                                  </m:sSubPr>
                                  <m:e>
                                    <m:r>
                                      <a:rPr lang="en-US" sz="1100" b="0" i="1">
                                        <a:latin typeface="Cambria Math" panose="02040503050406030204" pitchFamily="18" charset="0"/>
                                      </a:rPr>
                                      <m:t>𝑦</m:t>
                                    </m:r>
                                  </m:e>
                                  <m:sub>
                                    <m:r>
                                      <a:rPr lang="en-US" sz="1100" b="0" i="1">
                                        <a:latin typeface="Cambria Math" panose="02040503050406030204" pitchFamily="18" charset="0"/>
                                      </a:rPr>
                                      <m:t>𝐴</m:t>
                                    </m:r>
                                  </m:sub>
                                </m:sSub>
                              </m:den>
                            </m:f>
                          </m:e>
                        </m:d>
                      </m:e>
                      <m:sup>
                        <m:r>
                          <a:rPr lang="en-US" sz="1100" b="0" i="1">
                            <a:latin typeface="Cambria Math" panose="02040503050406030204" pitchFamily="18" charset="0"/>
                          </a:rPr>
                          <m:t>0.6</m:t>
                        </m:r>
                      </m:sup>
                    </m:sSup>
                    <m:r>
                      <a:rPr lang="en-US" sz="1100" b="0" i="1">
                        <a:latin typeface="Cambria Math" panose="02040503050406030204" pitchFamily="18" charset="0"/>
                      </a:rPr>
                      <m:t>                     </m:t>
                    </m:r>
                  </m:oMath>
                </m:oMathPara>
              </a14:m>
              <a:endParaRPr lang="en-IN" sz="1100"/>
            </a:p>
          </xdr:txBody>
        </xdr:sp>
      </mc:Choice>
      <mc:Fallback xmlns="">
        <xdr:sp macro="" textlink="">
          <xdr:nvSpPr>
            <xdr:cNvPr id="2" name="TextBox 1">
              <a:extLst>
                <a:ext uri="{FF2B5EF4-FFF2-40B4-BE49-F238E27FC236}">
                  <a16:creationId xmlns:a16="http://schemas.microsoft.com/office/drawing/2014/main" id="{B3826DAF-4CAF-6A92-9468-38C4AF40DA1B}"/>
                </a:ext>
              </a:extLst>
            </xdr:cNvPr>
            <xdr:cNvSpPr txBox="1"/>
          </xdr:nvSpPr>
          <xdr:spPr>
            <a:xfrm>
              <a:off x="21357273" y="84772"/>
              <a:ext cx="2430665" cy="41383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:r>
                <a:rPr lang="en-US" sz="1100" b="0" i="0">
                  <a:latin typeface="Cambria Math" panose="02040503050406030204" pitchFamily="18" charset="0"/>
                </a:rPr>
                <a:t>𝐹𝐶𝐼_𝐵=𝐹𝐶𝐼_𝐴 ((𝐶𝑎𝑝𝑎𝑐𝑖𝑡𝑦_𝐵)/(𝐶𝑎𝑝𝑎𝑐𝑖𝑡𝑦_𝐴 ))^0.6                      </a:t>
              </a:r>
              <a:endParaRPr lang="en-IN" sz="1100"/>
            </a:p>
          </xdr:txBody>
        </xdr:sp>
      </mc:Fallback>
    </mc:AlternateContent>
    <xdr:clientData/>
  </xdr:oneCellAnchor>
  <xdr:oneCellAnchor>
    <xdr:from>
      <xdr:col>18</xdr:col>
      <xdr:colOff>8573</xdr:colOff>
      <xdr:row>7</xdr:row>
      <xdr:rowOff>124778</xdr:rowOff>
    </xdr:from>
    <xdr:ext cx="3218189" cy="260199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3" name="TextBox 2">
              <a:extLst>
                <a:ext uri="{FF2B5EF4-FFF2-40B4-BE49-F238E27FC236}">
                  <a16:creationId xmlns:a16="http://schemas.microsoft.com/office/drawing/2014/main" id="{19AFF93C-884B-52C5-9763-C5326C937C16}"/>
                </a:ext>
              </a:extLst>
            </xdr:cNvPr>
            <xdr:cNvSpPr txBox="1"/>
          </xdr:nvSpPr>
          <xdr:spPr>
            <a:xfrm>
              <a:off x="21392198" y="1418591"/>
              <a:ext cx="3218189" cy="260199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14:m>
                <m:oMath xmlns:m="http://schemas.openxmlformats.org/officeDocument/2006/math">
                  <m:r>
                    <a:rPr lang="en-US" sz="1100" b="0" i="1">
                      <a:latin typeface="Cambria Math" panose="02040503050406030204" pitchFamily="18" charset="0"/>
                    </a:rPr>
                    <m:t>𝐹𝐶</m:t>
                  </m:r>
                  <m:sSub>
                    <m:sSubPr>
                      <m:ctrlPr>
                        <a:rPr lang="en-US" sz="1100" b="0" i="1">
                          <a:latin typeface="Cambria Math" panose="02040503050406030204" pitchFamily="18" charset="0"/>
                        </a:rPr>
                      </m:ctrlPr>
                    </m:sSubPr>
                    <m:e>
                      <m:r>
                        <a:rPr lang="en-US" sz="1100" b="0" i="1">
                          <a:latin typeface="Cambria Math" panose="02040503050406030204" pitchFamily="18" charset="0"/>
                        </a:rPr>
                        <m:t>𝐼</m:t>
                      </m:r>
                    </m:e>
                    <m:sub>
                      <m:r>
                        <a:rPr lang="en-US" sz="1100" b="0" i="1">
                          <a:latin typeface="Cambria Math" panose="02040503050406030204" pitchFamily="18" charset="0"/>
                        </a:rPr>
                        <m:t>𝑥</m:t>
                      </m:r>
                    </m:sub>
                  </m:sSub>
                  <m:r>
                    <a:rPr lang="en-US" sz="1100" b="0" i="1">
                      <a:latin typeface="Cambria Math" panose="02040503050406030204" pitchFamily="18" charset="0"/>
                    </a:rPr>
                    <m:t>=</m:t>
                  </m:r>
                  <m:f>
                    <m:fPr>
                      <m:ctrlPr>
                        <a:rPr lang="en-US" sz="1100" b="0" i="1">
                          <a:latin typeface="Cambria Math" panose="02040503050406030204" pitchFamily="18" charset="0"/>
                        </a:rPr>
                      </m:ctrlPr>
                    </m:fPr>
                    <m:num>
                      <m:r>
                        <a:rPr lang="en-US" sz="1100" b="0" i="1">
                          <a:latin typeface="Cambria Math" panose="02040503050406030204" pitchFamily="18" charset="0"/>
                        </a:rPr>
                        <m:t>𝐹𝐶</m:t>
                      </m:r>
                      <m:sSub>
                        <m:sSubPr>
                          <m:ctrlPr>
                            <a:rPr lang="en-US" sz="1100" b="0" i="1">
                              <a:latin typeface="Cambria Math" panose="02040503050406030204" pitchFamily="18" charset="0"/>
                            </a:rPr>
                          </m:ctrlPr>
                        </m:sSubPr>
                        <m:e>
                          <m:r>
                            <a:rPr lang="en-US" sz="1100" b="0" i="1">
                              <a:latin typeface="Cambria Math" panose="02040503050406030204" pitchFamily="18" charset="0"/>
                            </a:rPr>
                            <m:t>𝐼</m:t>
                          </m:r>
                        </m:e>
                        <m:sub>
                          <m:r>
                            <a:rPr lang="en-US" sz="1100" b="0" i="1">
                              <a:latin typeface="Cambria Math" panose="02040503050406030204" pitchFamily="18" charset="0"/>
                            </a:rPr>
                            <m:t>𝑏𝑎𝑠𝑒</m:t>
                          </m:r>
                        </m:sub>
                      </m:sSub>
                    </m:num>
                    <m:den>
                      <m:sSup>
                        <m:sSupPr>
                          <m:ctrlPr>
                            <a:rPr lang="en-US" sz="1100" b="0" i="1">
                              <a:latin typeface="Cambria Math" panose="02040503050406030204" pitchFamily="18" charset="0"/>
                            </a:rPr>
                          </m:ctrlPr>
                        </m:sSupPr>
                        <m:e>
                          <m:d>
                            <m:dPr>
                              <m:ctrlPr>
                                <a:rPr lang="en-US" sz="1100" b="0" i="1">
                                  <a:latin typeface="Cambria Math" panose="02040503050406030204" pitchFamily="18" charset="0"/>
                                </a:rPr>
                              </m:ctrlPr>
                            </m:dPr>
                            <m:e>
                              <m:r>
                                <a:rPr lang="en-US" sz="1100" b="0" i="1">
                                  <a:latin typeface="Cambria Math" panose="02040503050406030204" pitchFamily="18" charset="0"/>
                                </a:rPr>
                                <m:t>𝐵𝑎𝑠𝑒</m:t>
                              </m:r>
                              <m:r>
                                <a:rPr lang="en-US" sz="1100" b="0" i="1">
                                  <a:latin typeface="Cambria Math" panose="02040503050406030204" pitchFamily="18" charset="0"/>
                                </a:rPr>
                                <m:t> </m:t>
                              </m:r>
                              <m:r>
                                <a:rPr lang="en-US" sz="1100" b="0" i="1">
                                  <a:latin typeface="Cambria Math" panose="02040503050406030204" pitchFamily="18" charset="0"/>
                                </a:rPr>
                                <m:t>𝑐𝑎𝑝𝑎𝑐𝑖𝑡𝑦</m:t>
                              </m:r>
                            </m:e>
                          </m:d>
                        </m:e>
                        <m:sup>
                          <m:r>
                            <a:rPr lang="en-US" sz="1100" b="0" i="1">
                              <a:latin typeface="Cambria Math" panose="02040503050406030204" pitchFamily="18" charset="0"/>
                            </a:rPr>
                            <m:t>0.6</m:t>
                          </m:r>
                        </m:sup>
                      </m:sSup>
                    </m:den>
                  </m:f>
                  <m:sSup>
                    <m:sSupPr>
                      <m:ctrlPr>
                        <a:rPr lang="en-US" sz="1100" b="0" i="1">
                          <a:latin typeface="Cambria Math" panose="02040503050406030204" pitchFamily="18" charset="0"/>
                        </a:rPr>
                      </m:ctrlPr>
                    </m:sSupPr>
                    <m:e>
                      <m:r>
                        <a:rPr lang="en-US" sz="1100" b="0" i="1">
                          <a:latin typeface="Cambria Math" panose="02040503050406030204" pitchFamily="18" charset="0"/>
                        </a:rPr>
                        <m:t>𝑥</m:t>
                      </m:r>
                    </m:e>
                    <m:sup>
                      <m:r>
                        <a:rPr lang="en-US" sz="1100" b="0" i="1">
                          <a:latin typeface="Cambria Math" panose="02040503050406030204" pitchFamily="18" charset="0"/>
                        </a:rPr>
                        <m:t>0.6</m:t>
                      </m:r>
                    </m:sup>
                  </m:sSup>
                </m:oMath>
              </a14:m>
              <a:r>
                <a:rPr lang="en-IN" sz="1100"/>
                <a:t>, where</a:t>
              </a:r>
              <a:r>
                <a:rPr lang="en-IN" sz="1100" baseline="0"/>
                <a:t> x is scaled capacity</a:t>
              </a:r>
              <a:r>
                <a:rPr lang="en-IN" sz="1100"/>
                <a:t> </a:t>
              </a:r>
            </a:p>
          </xdr:txBody>
        </xdr:sp>
      </mc:Choice>
      <mc:Fallback xmlns="">
        <xdr:sp macro="" textlink="">
          <xdr:nvSpPr>
            <xdr:cNvPr id="3" name="TextBox 2">
              <a:extLst>
                <a:ext uri="{FF2B5EF4-FFF2-40B4-BE49-F238E27FC236}">
                  <a16:creationId xmlns:a16="http://schemas.microsoft.com/office/drawing/2014/main" id="{19AFF93C-884B-52C5-9763-C5326C937C16}"/>
                </a:ext>
              </a:extLst>
            </xdr:cNvPr>
            <xdr:cNvSpPr txBox="1"/>
          </xdr:nvSpPr>
          <xdr:spPr>
            <a:xfrm>
              <a:off x="21392198" y="1418591"/>
              <a:ext cx="3218189" cy="260199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r>
                <a:rPr lang="en-US" sz="1100" b="0" i="0">
                  <a:latin typeface="Cambria Math" panose="02040503050406030204" pitchFamily="18" charset="0"/>
                </a:rPr>
                <a:t>𝐹𝐶𝐼_𝑥=(𝐹𝐶𝐼_𝑏𝑎𝑠𝑒)/(𝐵𝑎𝑠𝑒 𝑐𝑎𝑝𝑎𝑐𝑖𝑡𝑦)^0.6  𝑥^0.6</a:t>
              </a:r>
              <a:r>
                <a:rPr lang="en-IN" sz="1100"/>
                <a:t>, where</a:t>
              </a:r>
              <a:r>
                <a:rPr lang="en-IN" sz="1100" baseline="0"/>
                <a:t> x is scaled capacity</a:t>
              </a:r>
              <a:r>
                <a:rPr lang="en-IN" sz="1100"/>
                <a:t> </a:t>
              </a:r>
            </a:p>
          </xdr:txBody>
        </xdr:sp>
      </mc:Fallback>
    </mc:AlternateContent>
    <xdr:clientData/>
  </xdr:one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53340</xdr:colOff>
      <xdr:row>1</xdr:row>
      <xdr:rowOff>175260</xdr:rowOff>
    </xdr:from>
    <xdr:to>
      <xdr:col>6</xdr:col>
      <xdr:colOff>548640</xdr:colOff>
      <xdr:row>7</xdr:row>
      <xdr:rowOff>22860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C948C162-BB7E-DD11-6575-4E7AEC0559A6}"/>
            </a:ext>
          </a:extLst>
        </xdr:cNvPr>
        <xdr:cNvSpPr txBox="1"/>
      </xdr:nvSpPr>
      <xdr:spPr>
        <a:xfrm>
          <a:off x="6286500" y="381000"/>
          <a:ext cx="1104900" cy="147066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IN" sz="1200">
              <a:latin typeface="Bookman Old Style" panose="02050604050505020204" pitchFamily="18" charset="0"/>
            </a:rPr>
            <a:t>RAW </a:t>
          </a:r>
        </a:p>
        <a:p>
          <a:r>
            <a:rPr lang="en-IN" sz="1200">
              <a:latin typeface="Bookman Old Style" panose="02050604050505020204" pitchFamily="18" charset="0"/>
            </a:rPr>
            <a:t>MATERIALS</a:t>
          </a:r>
        </a:p>
        <a:p>
          <a:r>
            <a:rPr lang="en-IN" sz="1200">
              <a:latin typeface="Bookman Old Style" panose="02050604050505020204" pitchFamily="18" charset="0"/>
            </a:rPr>
            <a:t>PRICE</a:t>
          </a:r>
        </a:p>
        <a:p>
          <a:r>
            <a:rPr lang="en-IN" sz="1200" baseline="0">
              <a:latin typeface="Bookman Old Style" panose="02050604050505020204" pitchFamily="18" charset="0"/>
            </a:rPr>
            <a:t>INPUT</a:t>
          </a:r>
          <a:endParaRPr lang="en-IN" sz="1200">
            <a:latin typeface="Bookman Old Style" panose="02050604050505020204" pitchFamily="18" charset="0"/>
          </a:endParaRPr>
        </a:p>
      </xdr:txBody>
    </xdr:sp>
    <xdr:clientData/>
  </xdr:twoCellAnchor>
  <xdr:twoCellAnchor>
    <xdr:from>
      <xdr:col>4</xdr:col>
      <xdr:colOff>601980</xdr:colOff>
      <xdr:row>12</xdr:row>
      <xdr:rowOff>7620</xdr:rowOff>
    </xdr:from>
    <xdr:to>
      <xdr:col>16</xdr:col>
      <xdr:colOff>502920</xdr:colOff>
      <xdr:row>39</xdr:row>
      <xdr:rowOff>167640</xdr:rowOff>
    </xdr:to>
    <xdr:sp macro="" textlink="">
      <xdr:nvSpPr>
        <xdr:cNvPr id="3" name="TextBox 2">
          <a:extLst>
            <a:ext uri="{FF2B5EF4-FFF2-40B4-BE49-F238E27FC236}">
              <a16:creationId xmlns:a16="http://schemas.microsoft.com/office/drawing/2014/main" id="{2BC9FE28-6E1B-3399-CFDD-79D971B684BE}"/>
            </a:ext>
          </a:extLst>
        </xdr:cNvPr>
        <xdr:cNvSpPr txBox="1"/>
      </xdr:nvSpPr>
      <xdr:spPr>
        <a:xfrm>
          <a:off x="6225540" y="2842260"/>
          <a:ext cx="7985760" cy="513588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IN" sz="1100">
              <a:latin typeface="+mj-lt"/>
            </a:rPr>
            <a:t>&gt; WELCOME TO THE</a:t>
          </a:r>
          <a:r>
            <a:rPr lang="en-IN" sz="1100" baseline="0">
              <a:latin typeface="+mj-lt"/>
            </a:rPr>
            <a:t> HYDROGEN DECISION MAKING ALGORITHM TOOL !</a:t>
          </a:r>
        </a:p>
        <a:p>
          <a:endParaRPr lang="en-IN" sz="1100" baseline="0">
            <a:latin typeface="+mj-lt"/>
          </a:endParaRPr>
        </a:p>
        <a:p>
          <a:r>
            <a:rPr lang="en-IN" sz="1100" baseline="0">
              <a:latin typeface="+mj-lt"/>
            </a:rPr>
            <a:t>&gt;  In Cell B2, select a hydrogen production pathway</a:t>
          </a:r>
        </a:p>
        <a:p>
          <a:endParaRPr lang="en-IN" sz="1100" baseline="0">
            <a:latin typeface="+mj-lt"/>
          </a:endParaRPr>
        </a:p>
        <a:p>
          <a:r>
            <a:rPr lang="en-IN" sz="1100" baseline="0">
              <a:latin typeface="+mj-lt"/>
            </a:rPr>
            <a:t>&gt; In Cell B3, Enter a hydrogen production capacity in tonnes/year. (OPTIONAL: A default capacity of 36500 tonnes/yr is chosen otherwise)</a:t>
          </a:r>
        </a:p>
        <a:p>
          <a:endParaRPr lang="en-IN" sz="1100" baseline="0">
            <a:latin typeface="+mj-lt"/>
          </a:endParaRPr>
        </a:p>
        <a:p>
          <a:r>
            <a:rPr lang="en-IN" sz="1100" baseline="0">
              <a:latin typeface="+mj-lt"/>
            </a:rPr>
            <a:t>&gt; Select End use for hydrogen in B4: For Sale or Downstream Process</a:t>
          </a:r>
        </a:p>
        <a:p>
          <a:endParaRPr lang="en-IN" sz="1100" baseline="0">
            <a:latin typeface="+mj-lt"/>
          </a:endParaRPr>
        </a:p>
        <a:p>
          <a:r>
            <a:rPr lang="en-IN" sz="1100" baseline="0">
              <a:latin typeface="+mj-lt"/>
            </a:rPr>
            <a:t>&gt; If B4 = Downstream Process, select downstream option in B5: Ammonia or Methanol</a:t>
          </a:r>
        </a:p>
        <a:p>
          <a:endParaRPr lang="en-IN" sz="1100" baseline="0">
            <a:latin typeface="+mj-lt"/>
          </a:endParaRPr>
        </a:p>
        <a:p>
          <a:r>
            <a:rPr lang="en-IN" sz="1100" baseline="0">
              <a:latin typeface="+mj-lt"/>
            </a:rPr>
            <a:t>Process Specification is Complete!</a:t>
          </a:r>
        </a:p>
        <a:p>
          <a:endParaRPr lang="en-IN" sz="1100" baseline="0">
            <a:latin typeface="+mj-lt"/>
          </a:endParaRPr>
        </a:p>
        <a:p>
          <a:r>
            <a:rPr lang="en-IN" sz="1100" baseline="0">
              <a:latin typeface="+mj-lt"/>
            </a:rPr>
            <a:t>&gt; Enter Raw Material Prices in the Raw Materials Price Input Section, cells J5:J7. (OPTIONAL STEP: Default Prices are provided)</a:t>
          </a:r>
        </a:p>
        <a:p>
          <a:endParaRPr lang="en-IN" sz="1100" baseline="0">
            <a:latin typeface="+mj-lt"/>
          </a:endParaRPr>
        </a:p>
        <a:p>
          <a:r>
            <a:rPr lang="en-IN" sz="1100" baseline="0">
              <a:latin typeface="+mj-lt"/>
            </a:rPr>
            <a:t>&gt; Select Products for Sale from the Dropdown List by clicking on cells A8:A11. (WARNING: Do not select repeated products)</a:t>
          </a:r>
        </a:p>
        <a:p>
          <a:endParaRPr lang="en-IN" sz="1100" baseline="0">
            <a:latin typeface="+mj-lt"/>
          </a:endParaRPr>
        </a:p>
        <a:p>
          <a:r>
            <a:rPr lang="en-IN" sz="1100" baseline="0">
              <a:latin typeface="+mj-lt"/>
            </a:rPr>
            <a:t>&gt; Enter Product Sale prices ($/tonne) in cells B8:B11 correspondingly. (OPTIONAL STEP: Default Prices are provided)</a:t>
          </a:r>
        </a:p>
        <a:p>
          <a:endParaRPr lang="en-IN" sz="1100" baseline="0">
            <a:latin typeface="+mj-lt"/>
          </a:endParaRPr>
        </a:p>
        <a:p>
          <a:r>
            <a:rPr lang="en-IN" sz="1100" baseline="0">
              <a:latin typeface="+mj-lt"/>
            </a:rPr>
            <a:t>&gt;Select grid electricity source in cell B12, enter grid electricity price ($/KWh) in C12 (OPTIONAL STEP: C12 is optional, default price is provided)</a:t>
          </a:r>
        </a:p>
        <a:p>
          <a:endParaRPr lang="en-IN" sz="1100" baseline="0">
            <a:latin typeface="+mj-lt"/>
          </a:endParaRPr>
        </a:p>
        <a:p>
          <a:r>
            <a:rPr lang="en-IN" sz="1100" baseline="0">
              <a:latin typeface="+mj-lt"/>
            </a:rPr>
            <a:t>&gt; Enter price of Heating and Cooling in cells C13 and C14 respectively. (OPTIONAL STEP: Default Prices are provided)</a:t>
          </a:r>
        </a:p>
        <a:p>
          <a:endParaRPr lang="en-IN" sz="1100" baseline="0">
            <a:latin typeface="+mj-lt"/>
          </a:endParaRPr>
        </a:p>
        <a:p>
          <a:r>
            <a:rPr lang="en-IN" sz="1100" baseline="0">
              <a:latin typeface="+mj-lt"/>
            </a:rPr>
            <a:t>Algorithm Inputs are Complete!</a:t>
          </a:r>
        </a:p>
        <a:p>
          <a:endParaRPr lang="en-IN" sz="1100" baseline="0">
            <a:latin typeface="+mj-lt"/>
          </a:endParaRPr>
        </a:p>
        <a:p>
          <a:r>
            <a:rPr lang="en-IN" sz="1100" baseline="0">
              <a:latin typeface="+mj-lt"/>
            </a:rPr>
            <a:t>Results Sheets:</a:t>
          </a:r>
          <a:br>
            <a:rPr lang="en-IN" sz="1100" baseline="0">
              <a:latin typeface="+mj-lt"/>
            </a:rPr>
          </a:br>
          <a:r>
            <a:rPr lang="en-IN" sz="1100" baseline="0">
              <a:latin typeface="+mj-lt"/>
            </a:rPr>
            <a:t>Algorirthm Results: Mass and Energy</a:t>
          </a:r>
        </a:p>
        <a:p>
          <a:r>
            <a:rPr lang="en-IN" sz="1100" baseline="0">
              <a:latin typeface="+mj-lt"/>
            </a:rPr>
            <a:t>Economic Results</a:t>
          </a:r>
        </a:p>
        <a:p>
          <a:r>
            <a:rPr lang="en-IN" sz="1100" baseline="0">
              <a:latin typeface="+mj-lt"/>
            </a:rPr>
            <a:t>Emission Results</a:t>
          </a:r>
        </a:p>
        <a:p>
          <a:endParaRPr lang="en-IN" sz="1100">
            <a:latin typeface="+mj-lt"/>
          </a:endParaRPr>
        </a:p>
      </xdr:txBody>
    </xdr:sp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114300</xdr:colOff>
      <xdr:row>8</xdr:row>
      <xdr:rowOff>83820</xdr:rowOff>
    </xdr:from>
    <xdr:to>
      <xdr:col>13</xdr:col>
      <xdr:colOff>53340</xdr:colOff>
      <xdr:row>19</xdr:row>
      <xdr:rowOff>68580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E2D6611D-D81E-C2AA-A8F1-A87120ED6347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7</xdr:col>
      <xdr:colOff>106680</xdr:colOff>
      <xdr:row>19</xdr:row>
      <xdr:rowOff>152400</xdr:rowOff>
    </xdr:from>
    <xdr:to>
      <xdr:col>13</xdr:col>
      <xdr:colOff>45720</xdr:colOff>
      <xdr:row>34</xdr:row>
      <xdr:rowOff>22860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63CF41D1-6752-ED70-CDA9-05ED5B2F9FA1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7</xdr:col>
      <xdr:colOff>114300</xdr:colOff>
      <xdr:row>52</xdr:row>
      <xdr:rowOff>114300</xdr:rowOff>
    </xdr:from>
    <xdr:to>
      <xdr:col>13</xdr:col>
      <xdr:colOff>68580</xdr:colOff>
      <xdr:row>67</xdr:row>
      <xdr:rowOff>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EF028B72-D911-F91F-C10D-C16CC7B3984A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7</xdr:col>
      <xdr:colOff>106680</xdr:colOff>
      <xdr:row>34</xdr:row>
      <xdr:rowOff>129540</xdr:rowOff>
    </xdr:from>
    <xdr:to>
      <xdr:col>13</xdr:col>
      <xdr:colOff>68580</xdr:colOff>
      <xdr:row>52</xdr:row>
      <xdr:rowOff>38100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DF75ADEE-4F19-60B2-31DC-C01AC905CA54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60960</xdr:colOff>
          <xdr:row>62</xdr:row>
          <xdr:rowOff>167640</xdr:rowOff>
        </xdr:from>
        <xdr:to>
          <xdr:col>2</xdr:col>
          <xdr:colOff>144780</xdr:colOff>
          <xdr:row>65</xdr:row>
          <xdr:rowOff>137160</xdr:rowOff>
        </xdr:to>
        <xdr:sp macro="" textlink="">
          <xdr:nvSpPr>
            <xdr:cNvPr id="9217" name="Button 1" hidden="1">
              <a:extLst>
                <a:ext uri="{63B3BB69-23CF-44E3-9099-C40C66FF867C}">
                  <a14:compatExt spid="_x0000_s9217"/>
                </a:ext>
                <a:ext uri="{FF2B5EF4-FFF2-40B4-BE49-F238E27FC236}">
                  <a16:creationId xmlns:a16="http://schemas.microsoft.com/office/drawing/2014/main" id="{00000000-0008-0000-1000-000001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IN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Run Capacity vs Economics analysis below</a:t>
              </a:r>
            </a:p>
          </xdr:txBody>
        </xdr:sp>
        <xdr:clientData fPrintsWithSheet="0"/>
      </xdr:twoCellAnchor>
    </mc:Choice>
    <mc:Fallback/>
  </mc:AlternateContent>
  <xdr:twoCellAnchor>
    <xdr:from>
      <xdr:col>7</xdr:col>
      <xdr:colOff>106680</xdr:colOff>
      <xdr:row>67</xdr:row>
      <xdr:rowOff>114300</xdr:rowOff>
    </xdr:from>
    <xdr:to>
      <xdr:col>13</xdr:col>
      <xdr:colOff>68580</xdr:colOff>
      <xdr:row>86</xdr:row>
      <xdr:rowOff>53340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70E3D98E-916E-D7E5-8CC4-E6B4E8CA5F02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2</xdr:col>
      <xdr:colOff>320040</xdr:colOff>
      <xdr:row>10</xdr:row>
      <xdr:rowOff>99060</xdr:rowOff>
    </xdr:from>
    <xdr:to>
      <xdr:col>6</xdr:col>
      <xdr:colOff>548640</xdr:colOff>
      <xdr:row>22</xdr:row>
      <xdr:rowOff>160020</xdr:rowOff>
    </xdr:to>
    <xdr:sp macro="" textlink="">
      <xdr:nvSpPr>
        <xdr:cNvPr id="7" name="TextBox 6">
          <a:extLst>
            <a:ext uri="{FF2B5EF4-FFF2-40B4-BE49-F238E27FC236}">
              <a16:creationId xmlns:a16="http://schemas.microsoft.com/office/drawing/2014/main" id="{16CE8BE1-29F1-B803-27A4-74891AF947F9}"/>
            </a:ext>
          </a:extLst>
        </xdr:cNvPr>
        <xdr:cNvSpPr txBox="1"/>
      </xdr:nvSpPr>
      <xdr:spPr>
        <a:xfrm>
          <a:off x="2849880" y="1965960"/>
          <a:ext cx="5364480" cy="282702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IN" sz="1100" b="1">
              <a:latin typeface="+mj-lt"/>
            </a:rPr>
            <a:t>RESULTS INCLUDE : REVENUE BLOCK, ECONOMIC METRICS,</a:t>
          </a:r>
          <a:r>
            <a:rPr lang="en-IN" sz="1100" b="1" baseline="0">
              <a:latin typeface="+mj-lt"/>
            </a:rPr>
            <a:t> NPV FLOW. ( FROM TOP to DOWN)</a:t>
          </a:r>
        </a:p>
        <a:p>
          <a:endParaRPr lang="en-IN" sz="1100" b="1" baseline="0">
            <a:latin typeface="+mj-lt"/>
          </a:endParaRPr>
        </a:p>
        <a:p>
          <a:r>
            <a:rPr lang="en-IN" sz="1100" b="1" baseline="0">
              <a:latin typeface="+mj-lt"/>
            </a:rPr>
            <a:t>EXTENDED ANALYSIS:  ANNUAL PRODUCTION COSTS, NPV SENSITIVITY, ROI SENSITIVITY, CAPACITY VS ECONOMICS. (CHARTS SORTED TOP TO DOWN)</a:t>
          </a:r>
          <a:endParaRPr lang="en-IN" sz="1100" b="1">
            <a:latin typeface="+mj-lt"/>
          </a:endParaRPr>
        </a:p>
      </xdr:txBody>
    </xdr:sp>
    <xdr:clientData/>
  </xdr:twoCellAnchor>
  <xdr:twoCellAnchor>
    <xdr:from>
      <xdr:col>15</xdr:col>
      <xdr:colOff>424404</xdr:colOff>
      <xdr:row>1</xdr:row>
      <xdr:rowOff>135038</xdr:rowOff>
    </xdr:from>
    <xdr:to>
      <xdr:col>18</xdr:col>
      <xdr:colOff>511214</xdr:colOff>
      <xdr:row>5</xdr:row>
      <xdr:rowOff>38583</xdr:rowOff>
    </xdr:to>
    <xdr:sp macro="" textlink="">
      <xdr:nvSpPr>
        <xdr:cNvPr id="8" name="Arrow: Right 7">
          <a:extLst>
            <a:ext uri="{FF2B5EF4-FFF2-40B4-BE49-F238E27FC236}">
              <a16:creationId xmlns:a16="http://schemas.microsoft.com/office/drawing/2014/main" id="{91F94F71-13EB-E423-16BF-3BF18D0C2E91}"/>
            </a:ext>
          </a:extLst>
        </xdr:cNvPr>
        <xdr:cNvSpPr/>
      </xdr:nvSpPr>
      <xdr:spPr>
        <a:xfrm>
          <a:off x="15731923" y="337595"/>
          <a:ext cx="1909823" cy="655899"/>
        </a:xfrm>
        <a:prstGeom prst="rightArrow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IN" sz="1100">
              <a:latin typeface="+mj-lt"/>
            </a:rPr>
            <a:t>ROI SENSITVITY TABLE</a:t>
          </a:r>
        </a:p>
      </xdr:txBody>
    </xdr:sp>
    <xdr:clientData/>
  </xdr:twoCellAnchor>
  <xdr:twoCellAnchor>
    <xdr:from>
      <xdr:col>13</xdr:col>
      <xdr:colOff>240323</xdr:colOff>
      <xdr:row>52</xdr:row>
      <xdr:rowOff>105507</xdr:rowOff>
    </xdr:from>
    <xdr:to>
      <xdr:col>21</xdr:col>
      <xdr:colOff>639899</xdr:colOff>
      <xdr:row>70</xdr:row>
      <xdr:rowOff>13216</xdr:rowOff>
    </xdr:to>
    <xdr:graphicFrame macro="">
      <xdr:nvGraphicFramePr>
        <xdr:cNvPr id="9" name="Chart 8">
          <a:extLst>
            <a:ext uri="{FF2B5EF4-FFF2-40B4-BE49-F238E27FC236}">
              <a16:creationId xmlns:a16="http://schemas.microsoft.com/office/drawing/2014/main" id="{717C40FE-2261-7BFE-48C8-7503DE9D19BF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311979</xdr:colOff>
      <xdr:row>2</xdr:row>
      <xdr:rowOff>121479</xdr:rowOff>
    </xdr:from>
    <xdr:to>
      <xdr:col>11</xdr:col>
      <xdr:colOff>9387</xdr:colOff>
      <xdr:row>15</xdr:row>
      <xdr:rowOff>86913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A282F87C-F9A6-CAB4-509F-9B0C662B0A9B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3</xdr:col>
      <xdr:colOff>297512</xdr:colOff>
      <xdr:row>15</xdr:row>
      <xdr:rowOff>186248</xdr:rowOff>
    </xdr:from>
    <xdr:to>
      <xdr:col>10</xdr:col>
      <xdr:colOff>602311</xdr:colOff>
      <xdr:row>30</xdr:row>
      <xdr:rowOff>186248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E4BA6646-594E-0DE7-7EAA-B8F12C39913D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2.xml><?xml version="1.0" encoding="utf-8"?>
<c:userShapes xmlns:c="http://schemas.openxmlformats.org/drawingml/2006/chart">
  <cdr:relSizeAnchor xmlns:cdr="http://schemas.openxmlformats.org/drawingml/2006/chartDrawing">
    <cdr:from>
      <cdr:x>0.69833</cdr:x>
      <cdr:y>0.15139</cdr:y>
    </cdr:from>
    <cdr:to>
      <cdr:x>1</cdr:x>
      <cdr:y>0.40417</cdr:y>
    </cdr:to>
    <cdr:sp macro="" textlink="">
      <cdr:nvSpPr>
        <cdr:cNvPr id="2" name="TextBox 1">
          <a:extLst xmlns:a="http://schemas.openxmlformats.org/drawingml/2006/main">
            <a:ext uri="{FF2B5EF4-FFF2-40B4-BE49-F238E27FC236}">
              <a16:creationId xmlns:a16="http://schemas.microsoft.com/office/drawing/2014/main" id="{67FF4FBF-A943-7F81-C659-ABF52D253A75}"/>
            </a:ext>
          </a:extLst>
        </cdr:cNvPr>
        <cdr:cNvSpPr txBox="1"/>
      </cdr:nvSpPr>
      <cdr:spPr>
        <a:xfrm xmlns:a="http://schemas.openxmlformats.org/drawingml/2006/main">
          <a:off x="3192780" y="415290"/>
          <a:ext cx="1379220" cy="69342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r>
            <a:rPr lang="en-IN" sz="900" kern="1200"/>
            <a:t>CG</a:t>
          </a:r>
          <a:r>
            <a:rPr lang="en-IN" sz="900" kern="1200" baseline="0"/>
            <a:t> - Conventional Grid</a:t>
          </a:r>
        </a:p>
        <a:p xmlns:a="http://schemas.openxmlformats.org/drawingml/2006/main">
          <a:r>
            <a:rPr lang="en-IN" sz="900" kern="1200" baseline="0"/>
            <a:t>RG - Renewable Grid</a:t>
          </a:r>
          <a:endParaRPr lang="en-IN" sz="900" kern="1200"/>
        </a:p>
      </cdr:txBody>
    </cdr:sp>
  </cdr:relSizeAnchor>
</c:userShapes>
</file>

<file path=xl/drawings/drawing13.xml><?xml version="1.0" encoding="utf-8"?>
<c:userShapes xmlns:c="http://schemas.openxmlformats.org/drawingml/2006/chart">
  <cdr:relSizeAnchor xmlns:cdr="http://schemas.openxmlformats.org/drawingml/2006/chartDrawing">
    <cdr:from>
      <cdr:x>0.69833</cdr:x>
      <cdr:y>0.15741</cdr:y>
    </cdr:from>
    <cdr:to>
      <cdr:x>1</cdr:x>
      <cdr:y>0.41019</cdr:y>
    </cdr:to>
    <cdr:sp macro="" textlink="">
      <cdr:nvSpPr>
        <cdr:cNvPr id="2" name="TextBox 1">
          <a:extLst xmlns:a="http://schemas.openxmlformats.org/drawingml/2006/main">
            <a:ext uri="{FF2B5EF4-FFF2-40B4-BE49-F238E27FC236}">
              <a16:creationId xmlns:a16="http://schemas.microsoft.com/office/drawing/2014/main" id="{DFE26DF9-98A0-33F7-2F4F-DDCEE565540D}"/>
            </a:ext>
          </a:extLst>
        </cdr:cNvPr>
        <cdr:cNvSpPr txBox="1"/>
      </cdr:nvSpPr>
      <cdr:spPr>
        <a:xfrm xmlns:a="http://schemas.openxmlformats.org/drawingml/2006/main">
          <a:off x="3192780" y="431800"/>
          <a:ext cx="1379220" cy="69342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squar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r>
            <a:rPr lang="en-IN" sz="900" kern="1200"/>
            <a:t>CG</a:t>
          </a:r>
          <a:r>
            <a:rPr lang="en-IN" sz="900" kern="1200" baseline="0"/>
            <a:t> - Conventional Grid</a:t>
          </a:r>
        </a:p>
        <a:p xmlns:a="http://schemas.openxmlformats.org/drawingml/2006/main">
          <a:r>
            <a:rPr lang="en-IN" sz="900" kern="1200" baseline="0"/>
            <a:t>RG - Renewable Grid</a:t>
          </a:r>
          <a:endParaRPr lang="en-IN" sz="900" kern="1200"/>
        </a:p>
      </cdr:txBody>
    </cdr:sp>
  </cdr:relSizeAnchor>
</c:userShape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8" xr:uid="{FAA6ABB7-691E-4425-A1FC-7BACC7235217}" name="Table48" displayName="Table48" ref="A31:B35" totalsRowShown="0">
  <autoFilter ref="A31:B35" xr:uid="{FAA6ABB7-691E-4425-A1FC-7BACC7235217}"/>
  <tableColumns count="2">
    <tableColumn id="1" xr3:uid="{63A0A131-9B6C-41B9-A5AB-B5A606C6F9F2}" name="Proximate Analysis"/>
    <tableColumn id="2" xr3:uid="{E6A1C87A-AFD8-4F30-A1EE-6F3E73CE100C}" name="Weight %"/>
  </tableColumns>
  <tableStyleInfo name="TableStyleMedium1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9" xr:uid="{BCA69DE4-7102-4826-8F72-62EB73111DC9}" name="Table49" displayName="Table49" ref="A36:B42" totalsRowShown="0">
  <autoFilter ref="A36:B42" xr:uid="{BCA69DE4-7102-4826-8F72-62EB73111DC9}"/>
  <tableColumns count="2">
    <tableColumn id="1" xr3:uid="{81FB05C3-3EE6-4685-A8FC-5A523247C4F8}" name="Ultimate Analysis"/>
    <tableColumn id="2" xr3:uid="{8539371B-52C2-4EFE-970F-02FDA9E5C4CD}" name="Weight %"/>
  </tableColumns>
  <tableStyleInfo name="TableStyleMedium1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A1625639-DB1F-4463-8D5D-EE9A558BF2CA}" name="Table2" displayName="Table2" ref="A2:E12" totalsRowCount="1" headerRowDxfId="352">
  <autoFilter ref="A2:E11" xr:uid="{A1625639-DB1F-4463-8D5D-EE9A558BF2CA}"/>
  <tableColumns count="5">
    <tableColumn id="1" xr3:uid="{C295B008-D4EC-4466-B408-1FDB167B9FBC}" name="Equipment" dataDxfId="351" totalsRowDxfId="350"/>
    <tableColumn id="2" xr3:uid="{9FF6ABC4-DAFE-4119-964E-69FB1CC3508A}" name="Heating  (Btu/hr)"/>
    <tableColumn id="3" xr3:uid="{F418CE54-9F3A-4C31-824D-7815A98FCA16}" name="Cooling (Btu/hr)"/>
    <tableColumn id="4" xr3:uid="{BACA1A86-F346-44F4-86DB-663A1BBFB8FB}" name="Electrical (hp)" totalsRowFunction="custom">
      <totalsRowFormula>SUM(Table2[Electrical (hp)])</totalsRowFormula>
    </tableColumn>
    <tableColumn id="5" xr3:uid="{2FF4D1EB-8F70-49BF-9C2B-9C37EB614800}" name="Assigned utility (H/C)"/>
  </tableColumns>
  <tableStyleInfo name="TableStyleLight1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FB43B9D9-51AE-41B2-8A08-C8F39D2D924F}" name="Table7" displayName="Table7" ref="A14:E23" totalsRowShown="0" tableBorderDxfId="349">
  <autoFilter ref="A14:E23" xr:uid="{FB43B9D9-51AE-41B2-8A08-C8F39D2D924F}"/>
  <tableColumns count="5">
    <tableColumn id="1" xr3:uid="{970BB456-3A94-4EAA-AC69-9AC0A70DB99A}" name="N"/>
    <tableColumn id="2" xr3:uid="{CDDBE381-B129-43C4-B99B-CB248B167B90}" name="Product rate (kg/hr)" dataDxfId="348">
      <calculatedColumnFormula>L2</calculatedColumnFormula>
    </tableColumn>
    <tableColumn id="3" xr3:uid="{362D996A-FA0B-4327-8A6E-28132CF759AE}" name="FCI 2022 in MM$" dataDxfId="347">
      <calculatedColumnFormula>25000*Table7[[#This Row],[N]]*(Table7[[#This Row],[Product rate (kg/hr)]]*8760*0.001)^0.65/10^6</calculatedColumnFormula>
    </tableColumn>
    <tableColumn id="4" xr3:uid="{7D058BA5-3898-494D-AED0-E82CE36614FE}" name="FCI Latest in MM $" dataDxfId="346">
      <calculatedColumnFormula>Table7[[#This Row],[FCI 2022 in MM$]]*(G25/F25)</calculatedColumnFormula>
    </tableColumn>
    <tableColumn id="5" xr3:uid="{B4EEE74A-7191-4556-B555-E73B7079455D}" name="Column1"/>
  </tableColumns>
  <tableStyleInfo name="TableStyleLight15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82570606-8AF5-4607-B9C6-39823366B1EB}" name="Table4" displayName="Table4" ref="A2:F16" totalsRowShown="0">
  <autoFilter ref="A2:F16" xr:uid="{82570606-8AF5-4607-B9C6-39823366B1EB}"/>
  <tableColumns count="6">
    <tableColumn id="1" xr3:uid="{35700C97-AE3B-4CDB-B58B-70708FDD4BA2}" name="Equipment"/>
    <tableColumn id="2" xr3:uid="{463A1383-E4FC-4B8E-9666-CF14B4A753E6}" name="Heating (cal/sec)"/>
    <tableColumn id="3" xr3:uid="{05E04D18-D2CA-4B10-A0E3-7545BE3A26E1}" name="Cooling (cal/sec)"/>
    <tableColumn id="4" xr3:uid="{8DDAC62B-464A-483D-9E31-93F2E44A917C}" name="Electrical"/>
    <tableColumn id="5" xr3:uid="{53F28A6C-9473-4932-A5AA-971BB38382A4}" name="Assigned utility (H/C)"/>
    <tableColumn id="6" xr3:uid="{16D8221F-DA05-4748-9CA8-E9E7EDAE90F0}" name="Column1"/>
  </tableColumns>
  <tableStyleInfo name="TableStyleLight2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612EED98-0CDB-47C4-AB66-C0724A265366}" name="Table1" displayName="Table1" ref="A19:E24" totalsRowShown="0" tableBorderDxfId="345">
  <autoFilter ref="A19:E24" xr:uid="{612EED98-0CDB-47C4-AB66-C0724A265366}"/>
  <tableColumns count="5">
    <tableColumn id="1" xr3:uid="{0DAFD701-5E86-4409-9EE9-94C7995CE254}" name="N"/>
    <tableColumn id="2" xr3:uid="{0ADCDAC7-6AF6-4F17-A5AC-06F3AD32F466}" name="Biomass Feed rate (kg/hr)"/>
    <tableColumn id="3" xr3:uid="{4E338EEC-3A5D-463F-944E-322D861C1DBA}" name="FCI 2020 ($ MM)" dataDxfId="344">
      <calculatedColumnFormula>700*Table1[[#This Row],[N]]*(Table1[[#This Row],[Biomass Feed rate (kg/hr)]]*8.76)^0.84 *10^-6</calculatedColumnFormula>
    </tableColumn>
    <tableColumn id="4" xr3:uid="{1C7CF359-E10D-45EB-94D2-B8535305410C}" name="FCI Latest ($ MM)" dataDxfId="343">
      <calculatedColumnFormula>Table1[[#This Row],[FCI 2020 ($ MM)]]*(G28/F28)</calculatedColumnFormula>
    </tableColumn>
    <tableColumn id="5" xr3:uid="{A5FF70F8-1477-4098-AF3A-F6011AB6983C}" name="Column1"/>
  </tableColumns>
  <tableStyleInfo name="TableStyleLight2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3C37B896-743F-4D29-8835-420CD570F555}" name="Table3" displayName="Table3" ref="A2:E16" totalsRowShown="0">
  <autoFilter ref="A2:E16" xr:uid="{3C37B896-743F-4D29-8835-420CD570F555}"/>
  <tableColumns count="5">
    <tableColumn id="1" xr3:uid="{41CBCC70-EFFE-4796-B68D-B20DED861A95}" name="Equipment"/>
    <tableColumn id="2" xr3:uid="{8948A22C-425C-4B8C-AA4A-782970AD998D}" name="Heating (KJ/h)"/>
    <tableColumn id="3" xr3:uid="{AAD977E4-C279-4900-8236-3ABF9821C74D}" name="Cooling (KJ/h)"/>
    <tableColumn id="4" xr3:uid="{996DD8B4-B5F8-415D-9C4A-8880C923E6C0}" name="Electrical (KW)"/>
    <tableColumn id="5" xr3:uid="{1C3E1A5B-9514-4DC5-BC84-1BDBD5A4DA8B}" name="Assigned utility (H/C)"/>
  </tableColumns>
  <tableStyleInfo name="TableStyleLight7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6C03AB84-A4ED-452D-8B8D-FB42581593BA}" name="Table5" displayName="Table5" ref="A2:F18" totalsRowShown="0" headerRowDxfId="342" headerRowBorderDxfId="341" tableBorderDxfId="340">
  <autoFilter ref="A2:F18" xr:uid="{6C03AB84-A4ED-452D-8B8D-FB42581593BA}"/>
  <tableColumns count="6">
    <tableColumn id="1" xr3:uid="{0E2F25B8-2FD1-43F1-9EEB-92B755E1F380}" name="Equipment"/>
    <tableColumn id="2" xr3:uid="{41CEEF2C-197D-40C7-B3B6-5DE84DE02B5A}" name="Heating (KJ/h)"/>
    <tableColumn id="3" xr3:uid="{49BE6DEF-9DFA-4C20-A698-3385DCE5A0BB}" name="Cooling (KJ/h)"/>
    <tableColumn id="4" xr3:uid="{BF4A87CE-9642-4D58-A192-60487BCEECD9}" name="Electrical (KW)"/>
    <tableColumn id="5" xr3:uid="{59CE2C37-8F7A-4E0C-B2D5-9C7B24EE6037}" name="Assigned utility (H/C)"/>
    <tableColumn id="6" xr3:uid="{AD81C1DB-D385-446E-A728-D73CE4D33F93}" name="Column1"/>
  </tableColumns>
  <tableStyleInfo name="TableStyleLight7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023B892C-2781-4843-8E4E-7AC4C58B80E7}" name="Table6" displayName="Table6" ref="A2:F18" totalsRowShown="0" headerRowDxfId="339" headerRowBorderDxfId="338">
  <autoFilter ref="A2:F18" xr:uid="{023B892C-2781-4843-8E4E-7AC4C58B80E7}"/>
  <tableColumns count="6">
    <tableColumn id="1" xr3:uid="{5E36C24E-67B1-484C-A83C-2A1307F64430}" name="Equipment"/>
    <tableColumn id="2" xr3:uid="{30F14808-EE4E-4FC1-9FCC-ECDBCF093ED0}" name="Heating (Kcal/h)"/>
    <tableColumn id="3" xr3:uid="{686C2056-435D-43FA-A9DB-318FADBBC633}" name="Cooling (Kcal/h)"/>
    <tableColumn id="4" xr3:uid="{00DE2956-94A9-44CB-AF55-8981B76AA3A8}" name="Electrical (KW) "/>
    <tableColumn id="5" xr3:uid="{0DFF0898-3B7E-440E-B7DB-6F3972AEBF4E}" name="Assigned utility (H/C)"/>
    <tableColumn id="6" xr3:uid="{9BEFB9C1-1EB8-4671-B5A0-2EE855B9A7CD}" name="Column1"/>
  </tableColumns>
  <tableStyleInfo name="TableStyleLight16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07A04D62-B559-49DE-9A49-5176F8C6068F}" name="Table9" displayName="Table9" ref="S12:T17" totalsRowShown="0" headerRowDxfId="337" dataDxfId="336" tableBorderDxfId="335">
  <autoFilter ref="S12:T17" xr:uid="{07A04D62-B559-49DE-9A49-5176F8C6068F}"/>
  <tableColumns count="2">
    <tableColumn id="1" xr3:uid="{63176550-C771-4837-8990-D088F7FB38E3}" name="Base FCI values " dataDxfId="334"/>
    <tableColumn id="2" xr3:uid="{54AE7541-E596-4A5B-8B21-B81D18BB3380}" name="in MMUSD" dataDxfId="333"/>
  </tableColumns>
  <tableStyleInfo name="TableStyleLight15" showFirstColumn="0" showLastColumn="0" showRowStripes="1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F5125084-3B9C-489D-83E8-6FE96E86CC76}" name="Table10" displayName="Table10" ref="S19:T29" totalsRowShown="0" headerRowDxfId="332" headerRowBorderDxfId="331" tableBorderDxfId="330">
  <autoFilter ref="S19:T29" xr:uid="{F5125084-3B9C-489D-83E8-6FE96E86CC76}"/>
  <tableColumns count="2">
    <tableColumn id="1" xr3:uid="{29443466-E2B2-421C-B2B8-C4D89298BB8C}" name="Base OPEX values" dataDxfId="329"/>
    <tableColumn id="2" xr3:uid="{6F507303-2D9E-4E7F-9F1F-EAD71F8FE2FE}" name="MM USD" dataDxfId="328"/>
  </tableColumns>
  <tableStyleInfo name="TableStyleMedium22" showFirstColumn="0" showLastColumn="0" showRowStripes="1" showColumnStripes="0"/>
</table>
</file>

<file path=xl/tables/table1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A1C2FFE4-87A9-4F5A-81CB-FEBCFCD91639}" name="Table8" displayName="Table8" ref="V15:W23" totalsRowShown="0" headerRowDxfId="327" dataDxfId="326" tableBorderDxfId="325">
  <autoFilter ref="V15:W23" xr:uid="{A1C2FFE4-87A9-4F5A-81CB-FEBCFCD91639}"/>
  <tableColumns count="2">
    <tableColumn id="1" xr3:uid="{876E69A6-A312-4663-A575-29DF7BE575DE}" name="Products for sale" dataDxfId="324"/>
    <tableColumn id="2" xr3:uid="{B667B1ED-93F8-4DCD-BA24-194DAF82521B}" name="$/MT" dataDxfId="323"/>
  </tableColumns>
  <tableStyleInfo name="TableStyleLight1" showFirstColumn="0" showLastColumn="0" showRowStripes="1" showColumnStripes="0"/>
</table>
</file>

<file path=xl/tables/table1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FB3A8468-A1F2-427C-825E-3546B4313AEE}" name="PriceTable" displayName="PriceTable" ref="Y6:AE21" totalsRowShown="0" headerRowDxfId="322" dataDxfId="321">
  <autoFilter ref="Y6:AE21" xr:uid="{FB3A8468-A1F2-427C-825E-3546B4313AEE}"/>
  <tableColumns count="7">
    <tableColumn id="1" xr3:uid="{7902F4C2-97D2-4353-8B75-A89E2BA9BFF2}" name="Process" dataDxfId="320"/>
    <tableColumn id="2" xr3:uid="{CDB9712F-3F92-4A34-B2B0-C0E1DB2F38D6}" name="End Use" dataDxfId="319"/>
    <tableColumn id="3" xr3:uid="{0EA178D1-8D02-41B2-83D7-C5839C40AC38}" name="Product" dataDxfId="318"/>
    <tableColumn id="4" xr3:uid="{C39A7919-FD6B-4D31-91C1-70F646409590}" name="Default Price ($/MT)" dataDxfId="317"/>
    <tableColumn id="5" xr3:uid="{5D5C62C1-01E0-429C-96D7-1EE062DFCF3C}" name="MatchFlag" dataDxfId="316">
      <calculatedColumnFormula>IF(
  AND(
    Y7 = 'Algorithm Inputs'!$B$2,
    Z7 = 'Algorithm Inputs'!$B$4,
    OR(
      'Algorithm Inputs'!$B$4 = "For Sale",
      'Algorithm Inputs'!$B$5 = AA7,
      AND('Algorithm Inputs'!$B$2 = "Water Electrolysis", 'Algorithm Inputs'!$B$5 = "Ammonia", AA7 = "O₂"),
      AND('Algorithm Inputs'!$B$2 &lt;&gt; "Water Electrolysis", 'Algorithm Inputs'!$B$5 = "Ammonia", AA7 = "CO₂"),
      AND('Algorithm Inputs'!$B$2 = "Steam Methane Reforming", 'Algorithm Inputs'!$B$5 = "Methanol", AA7 = "Hydrogen")
    )
  ),
  ROW(),
  ""
)</calculatedColumnFormula>
    </tableColumn>
    <tableColumn id="6" xr3:uid="{B9737136-B828-4074-AECB-83B2C1B83B3D}" name="Column1" dataDxfId="315">
      <calculatedColumnFormula>IF(AC7&lt;&gt;"", AA7, "")</calculatedColumnFormula>
    </tableColumn>
    <tableColumn id="7" xr3:uid="{2AB502FE-78CB-416C-A5BC-6372586BFB6E}" name="Column2" dataDxfId="314">
      <calculatedColumnFormula array="1">IFERROR(INDEX(AD$7:AD$21, SMALL(IF(AD$7:AD$21&lt;&gt;"", ROW(AD$7:AD$21)-ROW(AD$7)+1), ROW(1:1))), "")</calculatedColumnFormula>
    </tableColumn>
  </tableColumns>
  <tableStyleInfo name="TableStyleLight1" showFirstColumn="0" showLastColumn="0" showRowStripes="1" showColumnStripes="0"/>
</table>
</file>

<file path=xl/tables/table1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5" xr:uid="{5814D6F8-EFC4-4682-A1CF-E167F2268862}" name="SMREnergy" displayName="SMREnergy" ref="A21:I25" totalsRowShown="0" headerRowDxfId="313" headerRowBorderDxfId="312" tableBorderDxfId="311">
  <autoFilter ref="A21:I25" xr:uid="{5814D6F8-EFC4-4682-A1CF-E167F2268862}"/>
  <tableColumns count="9">
    <tableColumn id="1" xr3:uid="{002CF304-7AB7-4C4F-AEB7-FBC2A79D0CB4}" name="SMR" dataDxfId="310"/>
    <tableColumn id="2" xr3:uid="{5B421628-593E-4367-9BF0-99B53995633D}" name="ENERGY CONSUMPTION"/>
    <tableColumn id="3" xr3:uid="{04E77C79-41E9-47DF-8B01-31FC3003A667}" name="MWh (total hrs = 8760)" dataDxfId="309"/>
    <tableColumn id="4" xr3:uid="{C815FF09-20AB-4C5F-8479-F7F1A3C2C9E5}" name="TOTAL MWh consumption" dataDxfId="308"/>
    <tableColumn id="5" xr3:uid="{33385FEE-D50C-4A34-B10C-B200F3C3D2EC}" name="MWh/ MT H2" dataDxfId="307"/>
    <tableColumn id="6" xr3:uid="{9744B8E4-1087-4EC6-A801-BD981C77FFE7}" name="Column1" dataDxfId="306"/>
    <tableColumn id="7" xr3:uid="{30E351C5-B4B7-4A1E-887E-E6F8D48E9678}" name="Column2" dataDxfId="305"/>
    <tableColumn id="8" xr3:uid="{CF07ABF6-1B86-49BB-BF5E-6940DC2E72BF}" name="Column3" dataDxfId="304"/>
    <tableColumn id="9" xr3:uid="{B0E0FE24-16F1-4C51-B4A6-46EA5C6D1921}" name="Column4" dataDxfId="303"/>
  </tableColumns>
  <tableStyleInfo name="TableStyleMedium2" showFirstColumn="0" showLastColumn="0" showRowStripes="1" showColumnStripes="0"/>
</table>
</file>

<file path=xl/tables/table1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6" xr:uid="{D0A8C8E6-88B9-444A-9AE7-374175DF8D24}" name="Table16" displayName="Table16" ref="A26:I29" totalsRowShown="0" headerRowDxfId="302" headerRowBorderDxfId="301" tableBorderDxfId="300">
  <autoFilter ref="A26:I29" xr:uid="{D0A8C8E6-88B9-444A-9AE7-374175DF8D24}"/>
  <tableColumns count="9">
    <tableColumn id="1" xr3:uid="{3FBF4E5F-65B0-4125-94B7-04B011CBF1F5}" name="BMG" dataDxfId="299"/>
    <tableColumn id="2" xr3:uid="{8B8435A9-673E-4083-9E91-D6D67AF2FBCF}" name="ENERGY CONSUMPTION"/>
    <tableColumn id="3" xr3:uid="{9DABDCF2-B971-4455-8326-EBD47895AB49}" name="MWh (total hrs = 8760)" dataDxfId="298"/>
    <tableColumn id="4" xr3:uid="{84F918FC-99C3-40E3-AADC-9F3C395F5623}" name="TOTAL MWh consumption" dataDxfId="297"/>
    <tableColumn id="5" xr3:uid="{17B5C489-C2EE-4DBD-8D24-1D2BEA8963E3}" name="MWh/ MT H2" dataDxfId="296">
      <calculatedColumnFormula>C27/Base_Capacity</calculatedColumnFormula>
    </tableColumn>
    <tableColumn id="6" xr3:uid="{0F847491-C2A3-484A-B6C4-E692D5D3B6CC}" name="Column1" dataDxfId="295"/>
    <tableColumn id="7" xr3:uid="{356F005F-9C0C-4FFA-A075-9D7E166974A1}" name="Column2" dataDxfId="294"/>
    <tableColumn id="8" xr3:uid="{7C73F5CA-6E5F-4FD2-A689-61481F721DBD}" name="Column3" dataDxfId="293"/>
    <tableColumn id="9" xr3:uid="{B1219AB3-6E5A-4FD0-A8BB-E82E1FC7A282}" name="Column4" dataDxfId="292"/>
  </tableColumns>
  <tableStyleInfo name="TableStyleMedium2" showFirstColumn="0" showLastColumn="0" showRowStripes="1" showColumnStripes="0"/>
</table>
</file>

<file path=xl/tables/table1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7" xr:uid="{EF17421C-5764-4A95-A90A-70403F5F9B69}" name="WEEnergy" displayName="WEEnergy" ref="A31:I34" totalsRowShown="0" headerRowDxfId="291" headerRowBorderDxfId="290" tableBorderDxfId="289">
  <autoFilter ref="A31:I34" xr:uid="{EF17421C-5764-4A95-A90A-70403F5F9B69}"/>
  <tableColumns count="9">
    <tableColumn id="1" xr3:uid="{BDCE6E3E-15A2-4BA3-B2E0-93051DDE8858}" name="WE" dataDxfId="288"/>
    <tableColumn id="2" xr3:uid="{81340943-4C11-4700-AC1C-C4AA3802FBD6}" name="ENERGY CONSUMPTION"/>
    <tableColumn id="3" xr3:uid="{41F9B45F-2C26-4027-870C-FB7B8B749FB9}" name="MWh (total hrs = 8760)" dataDxfId="287"/>
    <tableColumn id="4" xr3:uid="{847098F6-FA9C-4D6F-BF03-ADA4AA163B26}" name="TOTAL MWh consumption" dataDxfId="286"/>
    <tableColumn id="5" xr3:uid="{50FF65D9-0862-4262-8B2E-320001C1A1A6}" name="MWh/ MT H2" dataDxfId="285"/>
    <tableColumn id="6" xr3:uid="{E06CC261-5A4C-42CB-AE1B-3D5329DB4D30}" name="Column1" dataDxfId="284"/>
    <tableColumn id="7" xr3:uid="{C993DDBF-1751-420C-B95C-184E800E8777}" name="Column2" dataDxfId="283"/>
    <tableColumn id="8" xr3:uid="{DA707AB5-5727-4E3A-9058-0FB373838033}" name="Column3" dataDxfId="282"/>
    <tableColumn id="9" xr3:uid="{6FBC2266-55A7-477E-AD77-753CA9B41E7F}" name="Column4" dataDxfId="281"/>
  </tableColumns>
  <tableStyleInfo name="TableStyleMedium2" showFirstColumn="0" showLastColumn="0" showRowStripes="1" showColumnStripes="0"/>
</table>
</file>

<file path=xl/tables/table1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8" xr:uid="{8B1520D4-3DD5-487B-A390-2F4C981D570E}" name="HBEnergy" displayName="HBEnergy" ref="A36:I39" totalsRowShown="0" headerRowDxfId="280" headerRowBorderDxfId="279" tableBorderDxfId="278">
  <autoFilter ref="A36:I39" xr:uid="{8B1520D4-3DD5-487B-A390-2F4C981D570E}"/>
  <tableColumns count="9">
    <tableColumn id="1" xr3:uid="{20F1F34B-6006-4F23-A893-3573D91AD67A}" name="HB" dataDxfId="277"/>
    <tableColumn id="2" xr3:uid="{5FF0EA8B-B3D4-46CF-AF76-82A20A0B5A4B}" name="ENERGY CONSUMPTION"/>
    <tableColumn id="3" xr3:uid="{FB551AE8-1766-4563-B57E-962134E94E69}" name="MWh (total hrs = 8760)" dataDxfId="276"/>
    <tableColumn id="4" xr3:uid="{3769EE09-3742-4908-85F6-AF719C75EE4F}" name="TOTAL MWh consumption" dataDxfId="275"/>
    <tableColumn id="5" xr3:uid="{5C5C8C91-AC11-404F-9D2C-621F80EC67DE}" name="MWh/ MT H2" dataDxfId="274">
      <calculatedColumnFormula>C37/Base_Capacity</calculatedColumnFormula>
    </tableColumn>
    <tableColumn id="6" xr3:uid="{9F07961B-237C-49B3-8BD2-DA2ABD50FD0E}" name="Column1" dataDxfId="273"/>
    <tableColumn id="7" xr3:uid="{D1A91C42-408A-4DC0-8ECB-67F0A6E21989}" name="Column2" dataDxfId="272"/>
    <tableColumn id="8" xr3:uid="{903F5174-5F35-47BE-BFB5-CEC949E7F89D}" name="Column3" dataDxfId="271"/>
    <tableColumn id="9" xr3:uid="{9F7328AF-890D-48A8-8DB0-EE6B634D3636}" name="Column4" dataDxfId="270"/>
  </tableColumns>
  <tableStyleInfo name="TableStyleMedium2" showFirstColumn="0" showLastColumn="0" showRowStripes="1" showColumnStripes="0"/>
</table>
</file>

<file path=xl/tables/table1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9" xr:uid="{3250122E-F61E-4A04-8B1F-7B97D4A539EB}" name="MeOHEnergy" displayName="MeOHEnergy" ref="A41:I44" totalsRowShown="0" headerRowDxfId="269" headerRowBorderDxfId="268" tableBorderDxfId="267">
  <autoFilter ref="A41:I44" xr:uid="{3250122E-F61E-4A04-8B1F-7B97D4A539EB}"/>
  <tableColumns count="9">
    <tableColumn id="1" xr3:uid="{E10C769E-DD48-4838-821C-EDE8DB09434D}" name="MeOH" dataDxfId="266"/>
    <tableColumn id="2" xr3:uid="{81791E0F-A516-402A-A25D-79EBEA0FF382}" name="ENERGY CONSUMPTION"/>
    <tableColumn id="3" xr3:uid="{012DF8B6-5DB1-4368-A4A5-20DF806161DD}" name="MWh (total hrs = 8760)"/>
    <tableColumn id="4" xr3:uid="{31FE2E18-47B7-41D8-A8C9-D33C763DEAC8}" name="TOTAL MWh consumption" dataDxfId="265"/>
    <tableColumn id="5" xr3:uid="{7EDD7A7E-582E-437E-BBF5-583EB08683C6}" name="MWh/ MT H2" dataDxfId="264">
      <calculatedColumnFormula>C42/Base_Capacity</calculatedColumnFormula>
    </tableColumn>
    <tableColumn id="6" xr3:uid="{2A7F37EA-1B9E-4792-BE09-246F47DC9DDF}" name="Column1" dataDxfId="263"/>
    <tableColumn id="7" xr3:uid="{9D3407F0-F5F5-4467-8D74-8E909355B903}" name="Column2" dataDxfId="262"/>
    <tableColumn id="8" xr3:uid="{4585C6EF-F1AA-43F7-B671-1368AB851C19}" name="Column3" dataDxfId="261"/>
    <tableColumn id="9" xr3:uid="{0305CD44-FEE1-4C61-AB54-9146C1999A37}" name="Column4" dataDxfId="260"/>
  </tableColumns>
  <tableStyleInfo name="TableStyleMedium2" showFirstColumn="0" showLastColumn="0" showRowStripes="1" showColumnStripes="0"/>
</table>
</file>

<file path=xl/tables/table1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0" xr:uid="{7ADF2E3F-4DFC-485B-BFAD-260512941E74}" name="SMREcon" displayName="SMREcon" ref="A47:I48" totalsRowShown="0" headerRowDxfId="259" headerRowBorderDxfId="258" tableBorderDxfId="257" totalsRowBorderDxfId="256">
  <autoFilter ref="A47:I48" xr:uid="{7ADF2E3F-4DFC-485B-BFAD-260512941E74}"/>
  <tableColumns count="9">
    <tableColumn id="1" xr3:uid="{BC06CFA1-E3A2-4B9A-A94F-0D81BDEA4AD5}" name="SMR" dataDxfId="255"/>
    <tableColumn id="2" xr3:uid="{A2A79551-7E76-4221-AEA0-29B8A0F87FC5}" name="BASE CAPEX MM USD" dataDxfId="254">
      <calculatedColumnFormula>T13</calculatedColumnFormula>
    </tableColumn>
    <tableColumn id="3" xr3:uid="{E42FDCAB-CA70-4673-9EC8-D094FA78552D}" name="BASE CAPACITY MTPA H2" dataDxfId="253">
      <calculatedColumnFormula>T5</calculatedColumnFormula>
    </tableColumn>
    <tableColumn id="4" xr3:uid="{CE3E0535-0943-499B-84BA-C11F39483093}" name="BASE OPEX CG MM USD" dataDxfId="252">
      <calculatedColumnFormula>SMR_Base_OPEX_CG</calculatedColumnFormula>
    </tableColumn>
    <tableColumn id="5" xr3:uid="{87C0EB67-BA23-4354-A7FD-0F6B516DBC24}" name="OPEX CG MM $/MT H2" dataDxfId="251">
      <calculatedColumnFormula>D48/C48</calculatedColumnFormula>
    </tableColumn>
    <tableColumn id="6" xr3:uid="{BD903E13-6575-4CCB-8D7B-ABB40DFF0592}" name="ANNUALIZED CAPEX MM USD/yr" dataDxfId="250">
      <calculatedColumnFormula>B48/Plant_life</calculatedColumnFormula>
    </tableColumn>
    <tableColumn id="7" xr3:uid="{117EA94C-0755-4439-B3FF-56E7E44B7B3D}" name="BASE OPEX RG MM USD" dataDxfId="249">
      <calculatedColumnFormula>SMR_Base_OPEX_RG</calculatedColumnFormula>
    </tableColumn>
    <tableColumn id="8" xr3:uid="{2FB3079D-563E-40C3-B188-5F3323D945FB}" name="OPEX RG MM $/MT H2" dataDxfId="248">
      <calculatedColumnFormula>G48/Base_Capacity</calculatedColumnFormula>
    </tableColumn>
    <tableColumn id="9" xr3:uid="{962E6290-1626-41C6-B33A-561625958186}" name="STORAGE COST MM $/ MT H2" dataDxfId="247">
      <calculatedColumnFormula>Storage_costs_placeholder</calculatedColumnFormula>
    </tableColumn>
  </tableColumns>
  <tableStyleInfo name="TableStyleLight21" showFirstColumn="0" showLastColumn="0" showRowStripes="1" showColumnStripes="0"/>
</table>
</file>

<file path=xl/tables/table2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1" xr:uid="{746AC95A-80D3-4328-A211-4A502473765B}" name="BMGEcon" displayName="BMGEcon" ref="A50:I51" totalsRowShown="0" headerRowDxfId="246" headerRowBorderDxfId="245" tableBorderDxfId="244" totalsRowBorderDxfId="243">
  <autoFilter ref="A50:I51" xr:uid="{746AC95A-80D3-4328-A211-4A502473765B}"/>
  <tableColumns count="9">
    <tableColumn id="1" xr3:uid="{3AB8DF31-272E-4C99-B554-F890BC86C42C}" name="BMG" dataDxfId="242"/>
    <tableColumn id="2" xr3:uid="{5C49D4E4-4F46-4DBB-8EB4-0FF72802A34B}" name="BASE CAPEX MM USD" dataDxfId="241">
      <calculatedColumnFormula>BMG_Base_CAPEX</calculatedColumnFormula>
    </tableColumn>
    <tableColumn id="3" xr3:uid="{32CC170B-CD0D-467E-B898-33791C016E81}" name="BASE CAPACITY MTPA H2" dataDxfId="240">
      <calculatedColumnFormula>Base_Capacity</calculatedColumnFormula>
    </tableColumn>
    <tableColumn id="4" xr3:uid="{D9AD3819-E87B-406A-852F-845E119ECF42}" name="BASE OPEX CG MM USD" dataDxfId="239">
      <calculatedColumnFormula>BMG_Base_OPEX_CG</calculatedColumnFormula>
    </tableColumn>
    <tableColumn id="5" xr3:uid="{D3DEAAF3-68C9-4CBE-91A3-604B2F83E82D}" name="OPEX CG MM $/MT H2" dataDxfId="238">
      <calculatedColumnFormula>D51/C51</calculatedColumnFormula>
    </tableColumn>
    <tableColumn id="6" xr3:uid="{54E340D6-48D7-4170-9671-A3156E18BC6F}" name="ANNUALIZED CAPEX MM USD/yr" dataDxfId="237">
      <calculatedColumnFormula>B51/Plant_life</calculatedColumnFormula>
    </tableColumn>
    <tableColumn id="7" xr3:uid="{DDFD7BFF-9F5A-4206-8FE1-D7A9827B7E13}" name="BASE OPEX RG MM USD" dataDxfId="236">
      <calculatedColumnFormula>BMG_Base_OPEX_RG</calculatedColumnFormula>
    </tableColumn>
    <tableColumn id="8" xr3:uid="{ACE87973-3C09-4AA3-8E4C-78886D220DFD}" name="OPEX RG MM $/MT H2" dataDxfId="235">
      <calculatedColumnFormula>G51/Base_Capacity</calculatedColumnFormula>
    </tableColumn>
    <tableColumn id="9" xr3:uid="{A2F05FB1-A7F3-4BA1-AA3B-865B81670CA7}" name="STORAGE COST MM $/ MT H2" dataDxfId="234">
      <calculatedColumnFormula>SMREcon[STORAGE COST MM $/ MT H2]</calculatedColumnFormula>
    </tableColumn>
  </tableColumns>
  <tableStyleInfo name="TableStyleLight21" showFirstColumn="0" showLastColumn="0" showRowStripes="1" showColumnStripes="0"/>
</table>
</file>

<file path=xl/tables/table2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2" xr:uid="{63125CCE-47A7-4886-9812-195F4C45DAE5}" name="WEEcon" displayName="WEEcon" ref="A53:I54" totalsRowShown="0" headerRowDxfId="233" headerRowBorderDxfId="232" tableBorderDxfId="231" totalsRowBorderDxfId="230">
  <autoFilter ref="A53:I54" xr:uid="{63125CCE-47A7-4886-9812-195F4C45DAE5}"/>
  <tableColumns count="9">
    <tableColumn id="1" xr3:uid="{FF40068F-0BB1-48D8-8332-90D64ADFE7B2}" name="WE" dataDxfId="229"/>
    <tableColumn id="2" xr3:uid="{C2F9185E-175A-4CBF-B790-C1EC7A66829A}" name="BASE CAPEX MM USD" dataDxfId="228">
      <calculatedColumnFormula>WE_Base_CAPEX</calculatedColumnFormula>
    </tableColumn>
    <tableColumn id="3" xr3:uid="{F176B102-E59F-4CD6-9D2E-878F2192A81D}" name="BASE CAPACITY MTPA H2" dataDxfId="227">
      <calculatedColumnFormula>Base_Capacity</calculatedColumnFormula>
    </tableColumn>
    <tableColumn id="4" xr3:uid="{C5B00E0A-9440-4916-B6A6-AECAF5A1EB6F}" name="BASE OPEX CG MM USD " dataDxfId="226">
      <calculatedColumnFormula>WE_Base_OPEX_CG</calculatedColumnFormula>
    </tableColumn>
    <tableColumn id="5" xr3:uid="{6C8837C5-755B-469E-9648-6B655C7285BD}" name="OPEX CG MM $/MT H2" dataDxfId="225">
      <calculatedColumnFormula>D54/Base_Capacity</calculatedColumnFormula>
    </tableColumn>
    <tableColumn id="6" xr3:uid="{C46B6ABD-5DCE-4A9A-8368-A69EEC33E042}" name="BASE OPEX RG MM USD" dataDxfId="224">
      <calculatedColumnFormula>WE_Base_OPEX_RG</calculatedColumnFormula>
    </tableColumn>
    <tableColumn id="7" xr3:uid="{293359AA-DBB5-437B-AE94-D53464BB89DE}" name="OPEX RG MM $/MT H2" dataDxfId="223">
      <calculatedColumnFormula>F54/Base_Capacity</calculatedColumnFormula>
    </tableColumn>
    <tableColumn id="8" xr3:uid="{F92E7742-6A2F-4ED5-8B45-8EF9DFC5ADDC}" name="ANNUALIZED CAPEX MM USD/yr" dataDxfId="222">
      <calculatedColumnFormula>'WE Economics'!C21</calculatedColumnFormula>
    </tableColumn>
    <tableColumn id="9" xr3:uid="{F088A1B2-75AA-45BD-A380-E783299DB7C8}" name="STORAGE COST MM $/ MT H2" dataDxfId="221">
      <calculatedColumnFormula>BMGEcon[STORAGE COST MM $/ MT H2]</calculatedColumnFormula>
    </tableColumn>
  </tableColumns>
  <tableStyleInfo name="TableStyleLight21" showFirstColumn="0" showLastColumn="0" showRowStripes="1" showColumnStripes="0"/>
</table>
</file>

<file path=xl/tables/table2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3" xr:uid="{7BBFF234-5CC0-4A29-83E4-62EEF4738A54}" name="HBEcon" displayName="HBEcon" ref="A56:I57" totalsRowShown="0" headerRowDxfId="220" headerRowBorderDxfId="219" tableBorderDxfId="218" totalsRowBorderDxfId="217">
  <autoFilter ref="A56:I57" xr:uid="{7BBFF234-5CC0-4A29-83E4-62EEF4738A54}"/>
  <tableColumns count="9">
    <tableColumn id="1" xr3:uid="{A31CA27A-2608-494C-93E9-7E28D1A439F0}" name="HB" dataDxfId="216"/>
    <tableColumn id="2" xr3:uid="{B4E234AB-B11C-4D14-9250-68DDD6F9C6B0}" name="BASE CAPEX MM USD" dataDxfId="215">
      <calculatedColumnFormula>HB_Base_CAPEX</calculatedColumnFormula>
    </tableColumn>
    <tableColumn id="3" xr3:uid="{3B776B03-4445-4A30-9B28-E7B9962A9B91}" name="BASE CAPACITY MTPA NH3" dataDxfId="214">
      <calculatedColumnFormula>NH3_Base_Capacity</calculatedColumnFormula>
    </tableColumn>
    <tableColumn id="4" xr3:uid="{F78ECE04-381D-4A10-A1E3-D572E898A7F3}" name="BASE OPEX CG MM USD" dataDxfId="213">
      <calculatedColumnFormula>HB_Base_OPEX_CG</calculatedColumnFormula>
    </tableColumn>
    <tableColumn id="5" xr3:uid="{78C00140-A8C1-447F-A5D9-BD02EA28D11F}" name="OPEX CG MM $/MT H2" dataDxfId="212">
      <calculatedColumnFormula>D57/Base_Capacity</calculatedColumnFormula>
    </tableColumn>
    <tableColumn id="6" xr3:uid="{82A48326-71EB-41AF-BD9B-086305B82629}" name="BASE OPEX RG MM USD" dataDxfId="211">
      <calculatedColumnFormula>HB_Base_OPEX_RG</calculatedColumnFormula>
    </tableColumn>
    <tableColumn id="7" xr3:uid="{D5A45CB5-296B-447E-9A5D-D910D516DC6F}" name="OPEX RG MM $/MT H2" dataDxfId="210">
      <calculatedColumnFormula>F57/Base_Capacity</calculatedColumnFormula>
    </tableColumn>
    <tableColumn id="8" xr3:uid="{F4A60DD3-4941-4457-A773-682EE303944C}" name="ANNUALIZED CAPEX MM USD/yr" dataDxfId="209">
      <calculatedColumnFormula>B57/Plant_life</calculatedColumnFormula>
    </tableColumn>
    <tableColumn id="9" xr3:uid="{718E338F-6B46-4D7C-8A6A-48AD080185F6}" name="STORAGE COST MM $/ MT H2" dataDxfId="208"/>
  </tableColumns>
  <tableStyleInfo name="TableStyleLight21" showFirstColumn="0" showLastColumn="0" showRowStripes="1" showColumnStripes="0"/>
</table>
</file>

<file path=xl/tables/table2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4" xr:uid="{5E0642CF-F02B-4D94-8FA3-036660254EAE}" name="MeOHEcon" displayName="MeOHEcon" ref="A59:I60" totalsRowShown="0" headerRowDxfId="207" headerRowBorderDxfId="206" tableBorderDxfId="205" totalsRowBorderDxfId="204">
  <autoFilter ref="A59:I60" xr:uid="{5E0642CF-F02B-4D94-8FA3-036660254EAE}"/>
  <tableColumns count="9">
    <tableColumn id="1" xr3:uid="{1A3DEA7A-CD01-4595-A776-6DA1690236AD}" name="MeOH" dataDxfId="203"/>
    <tableColumn id="2" xr3:uid="{F360C2E1-7FB0-44AF-9E8B-AE628FA6930F}" name="BASE CAPEX MM USD" dataDxfId="202">
      <calculatedColumnFormula>MeOH_Base_CAPEX</calculatedColumnFormula>
    </tableColumn>
    <tableColumn id="3" xr3:uid="{95061207-B1C9-433D-8009-C1884C5DDE58}" name="BASE CAPACITY MTPA MeOH" dataDxfId="201">
      <calculatedColumnFormula>MeOH_Base_Capacity</calculatedColumnFormula>
    </tableColumn>
    <tableColumn id="4" xr3:uid="{802CE7E7-8FF8-4DAC-A23B-CFC7F116DE62}" name="BASE OPEX CG MM USD" dataDxfId="200">
      <calculatedColumnFormula>MeOH_Base_OPEX_CG</calculatedColumnFormula>
    </tableColumn>
    <tableColumn id="5" xr3:uid="{FB486E15-7356-455E-B219-AD45258C09EE}" name="OPEX CG MM $/MT H2" dataDxfId="199">
      <calculatedColumnFormula>D60/Base_Capacity</calculatedColumnFormula>
    </tableColumn>
    <tableColumn id="6" xr3:uid="{174C8D4A-038A-4D25-9354-D9F9E9CE92AB}" name="BASE OPEX RG MM USD" dataDxfId="198">
      <calculatedColumnFormula>MeOH_Base_OPEX_RG</calculatedColumnFormula>
    </tableColumn>
    <tableColumn id="7" xr3:uid="{7640734E-1680-40B6-A083-BB2CDC311C85}" name="OPEX RG MM $/ MT H2" dataDxfId="197">
      <calculatedColumnFormula>F60/Base_Capacity</calculatedColumnFormula>
    </tableColumn>
    <tableColumn id="8" xr3:uid="{699C6D25-E1F0-4D1D-88D1-1627EDD90E76}" name="ANNUALIZED CAPEX MM USD/yr" dataDxfId="196">
      <calculatedColumnFormula>B60/Plant_life</calculatedColumnFormula>
    </tableColumn>
    <tableColumn id="9" xr3:uid="{05693672-D32E-4FA3-A36B-CC6840B617DF}" name="STORAGE COST MM $/ MT H2" dataDxfId="195"/>
  </tableColumns>
  <tableStyleInfo name="TableStyleLight21" showFirstColumn="0" showLastColumn="0" showRowStripes="1" showColumnStripes="0"/>
</table>
</file>

<file path=xl/tables/table2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5" xr:uid="{DC7E9744-4913-45A4-9C20-736145867E25}" name="SMREmissions" displayName="SMREmissions" ref="A63:I64" totalsRowShown="0" headerRowDxfId="194" headerRowBorderDxfId="193" tableBorderDxfId="192" totalsRowBorderDxfId="191">
  <autoFilter ref="A63:I64" xr:uid="{DC7E9744-4913-45A4-9C20-736145867E25}"/>
  <tableColumns count="9">
    <tableColumn id="1" xr3:uid="{3E95F16F-2CD0-4A87-9C3E-5F515F5A31D4}" name="SMR" dataDxfId="190"/>
    <tableColumn id="2" xr3:uid="{BCEE8BCE-603E-495E-B0CF-72ADB74659F5}" name="Column1" dataDxfId="189"/>
    <tableColumn id="3" xr3:uid="{9DDC6D43-0FB0-497A-878C-F214569E335D}" name="Column2" dataDxfId="188"/>
    <tableColumn id="4" xr3:uid="{5B183846-2A5D-4135-8BC0-2938E42F3E3A}" name="Column3" dataDxfId="187"/>
    <tableColumn id="5" xr3:uid="{ADE546FD-5A67-4D80-98FD-ADEA9BA1C141}" name="Scope 1  MT CO2/MT H2" dataDxfId="186">
      <calculatedColumnFormula>'CO2 factors'!K30</calculatedColumnFormula>
    </tableColumn>
    <tableColumn id="6" xr3:uid="{30D886F3-0F33-476D-A5AC-0E6C41CCC7D9}" name="Scope 2 MT CO2/MT H2" dataDxfId="185">
      <calculatedColumnFormula>'CO2 factors'!K32</calculatedColumnFormula>
    </tableColumn>
    <tableColumn id="7" xr3:uid="{ABB578A9-7135-4A65-A856-77DE41BA6EAD}" name="Total MT CO2/MT H2" dataDxfId="184">
      <calculatedColumnFormula>E64+F64</calculatedColumnFormula>
    </tableColumn>
    <tableColumn id="8" xr3:uid="{51392E83-A1B1-41C6-BB13-049DE36040F3}" name="Column4" dataDxfId="183"/>
    <tableColumn id="9" xr3:uid="{646A0595-21AE-4619-B759-317459D17DD8}" name="Column5" dataDxfId="182"/>
  </tableColumns>
  <tableStyleInfo name="TableStyleDark4" showFirstColumn="0" showLastColumn="0" showRowStripes="1" showColumnStripes="0"/>
</table>
</file>

<file path=xl/tables/table2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6" xr:uid="{A5710D6F-DC8B-4924-B13F-DCF2CCD7193D}" name="BMGEmissions" displayName="BMGEmissions" ref="A66:I67" totalsRowShown="0" headerRowDxfId="181" headerRowBorderDxfId="180" tableBorderDxfId="179" totalsRowBorderDxfId="178">
  <autoFilter ref="A66:I67" xr:uid="{A5710D6F-DC8B-4924-B13F-DCF2CCD7193D}"/>
  <tableColumns count="9">
    <tableColumn id="1" xr3:uid="{5E6DFE0D-30BC-4F23-A11A-AA89BC3D56EE}" name="BMG" dataDxfId="177"/>
    <tableColumn id="2" xr3:uid="{BC7C42EA-0A59-4E25-B1A9-088087281AE6}" name="Column1" dataDxfId="176"/>
    <tableColumn id="3" xr3:uid="{B69FCD14-AF6C-456E-856A-D30BA8768797}" name="Column2" dataDxfId="175"/>
    <tableColumn id="4" xr3:uid="{88D71F2C-B717-4B8C-BC19-EC518AA771B6}" name="Column3" dataDxfId="174"/>
    <tableColumn id="5" xr3:uid="{127306FB-6ECB-41FB-8B3D-DE1D98890FF4}" name="Scope 1  MT CO2/MT H2" dataDxfId="173">
      <calculatedColumnFormula>'CO2 factors'!K43</calculatedColumnFormula>
    </tableColumn>
    <tableColumn id="6" xr3:uid="{D729B08B-6E0C-4C81-8608-653A18C1FC7F}" name="Scope 2 MT CO2/MT H2" dataDxfId="172">
      <calculatedColumnFormula>Placeholder_BMG_Scope2</calculatedColumnFormula>
    </tableColumn>
    <tableColumn id="7" xr3:uid="{2FBA90B7-C9CB-47C0-864F-2D86469DB48D}" name="Total MT CO2/MT H2" dataDxfId="171">
      <calculatedColumnFormula>E67+F67</calculatedColumnFormula>
    </tableColumn>
    <tableColumn id="8" xr3:uid="{B0FFDE4C-D2A6-47AB-B777-F1AFEE1EA2F7}" name="Column4" dataDxfId="170"/>
    <tableColumn id="9" xr3:uid="{72412E72-009F-4032-8E9A-EAAB902D5D0E}" name="Column5" dataDxfId="169"/>
  </tableColumns>
  <tableStyleInfo name="TableStyleDark4" showFirstColumn="0" showLastColumn="0" showRowStripes="1" showColumnStripes="0"/>
</table>
</file>

<file path=xl/tables/table2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7" xr:uid="{22169CA1-5EAC-4376-84AC-79795F34C49C}" name="WEEmissions" displayName="WEEmissions" ref="A69:I70" totalsRowShown="0" headerRowDxfId="168" headerRowBorderDxfId="167" tableBorderDxfId="166" totalsRowBorderDxfId="165">
  <autoFilter ref="A69:I70" xr:uid="{22169CA1-5EAC-4376-84AC-79795F34C49C}"/>
  <tableColumns count="9">
    <tableColumn id="1" xr3:uid="{5A5C3E58-D18F-4C85-A798-8D5489B31557}" name="WE" dataDxfId="164"/>
    <tableColumn id="2" xr3:uid="{0ED95FE0-C4EB-44FB-8934-D51D43FB86DA}" name="CG Scope 1  MT CO2/MT H2" dataDxfId="163">
      <calculatedColumnFormula>'CO2 factors'!K56</calculatedColumnFormula>
    </tableColumn>
    <tableColumn id="3" xr3:uid="{E10835EB-7BEE-4DE9-91AA-778ADE499F01}" name="CG Scope 2 MT CO2/MT H2" dataDxfId="162">
      <calculatedColumnFormula>'CO2 factors'!K61</calculatedColumnFormula>
    </tableColumn>
    <tableColumn id="4" xr3:uid="{382CA65F-8567-4E4B-BC59-C2645A3066F1}" name="CG Total MT CO2/MT H2" dataDxfId="161">
      <calculatedColumnFormula>B70+C70</calculatedColumnFormula>
    </tableColumn>
    <tableColumn id="5" xr3:uid="{2D1F6334-B66D-48F6-A40D-D1D584BBC228}" name="RG Scope 1 MT CO2/MT H2" dataDxfId="160">
      <calculatedColumnFormula>0</calculatedColumnFormula>
    </tableColumn>
    <tableColumn id="6" xr3:uid="{12E7CD6A-7825-4FCD-886C-FBE397325864}" name="RG Scope 2 MT CO2/MT H2" dataDxfId="159">
      <calculatedColumnFormula>'CO2 factors'!K62</calculatedColumnFormula>
    </tableColumn>
    <tableColumn id="7" xr3:uid="{E809E028-8372-4BAA-A822-73F85B402E54}" name="RG Total MT CO2/MT H2" dataDxfId="158">
      <calculatedColumnFormula>E70+F70</calculatedColumnFormula>
    </tableColumn>
    <tableColumn id="8" xr3:uid="{19B31ADA-1C58-4B62-AC9D-2D63C4DDA6A3}" name="Column1" dataDxfId="157"/>
    <tableColumn id="9" xr3:uid="{4840E8FD-49F8-412A-A006-3CDA2982A72D}" name="Column2" dataDxfId="156"/>
  </tableColumns>
  <tableStyleInfo name="TableStyleDark4" showFirstColumn="0" showLastColumn="0" showRowStripes="1" showColumnStripes="0"/>
</table>
</file>

<file path=xl/tables/table2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8" xr:uid="{3BE6D02C-8F6A-4D19-87C4-7FEED9216E0F}" name="HBEmissions" displayName="HBEmissions" ref="A72:I73" totalsRowShown="0" headerRowDxfId="155" headerRowBorderDxfId="154" tableBorderDxfId="153" totalsRowBorderDxfId="152">
  <autoFilter ref="A72:I73" xr:uid="{3BE6D02C-8F6A-4D19-87C4-7FEED9216E0F}"/>
  <tableColumns count="9">
    <tableColumn id="1" xr3:uid="{19F661EE-C43E-4090-872B-3F55A95CE9B3}" name="HB" dataDxfId="151"/>
    <tableColumn id="2" xr3:uid="{D81020A4-D1FD-486D-85A5-2B5B4CFA6C6B}" name="CG Scope 1  MT CO2/MT H2" dataDxfId="150">
      <calculatedColumnFormula>'CO2 factors'!K72</calculatedColumnFormula>
    </tableColumn>
    <tableColumn id="3" xr3:uid="{B075A3E7-CBC1-465C-B803-100AFC2AB0BE}" name="CG Scope 2 MT CO2/MT H2" dataDxfId="149">
      <calculatedColumnFormula>'CO2 factors'!K78</calculatedColumnFormula>
    </tableColumn>
    <tableColumn id="4" xr3:uid="{DF2095A2-D605-47CD-89FC-4DD68C670372}" name="CG Total MT CO2/MT H2" dataDxfId="148">
      <calculatedColumnFormula>B73+C73</calculatedColumnFormula>
    </tableColumn>
    <tableColumn id="5" xr3:uid="{8A06361A-3426-40A0-8322-C83542933B72}" name="RG Scope 1 MT CO2/MT H2" dataDxfId="147">
      <calculatedColumnFormula>'CO2 factors'!K72</calculatedColumnFormula>
    </tableColumn>
    <tableColumn id="6" xr3:uid="{8CCA3ABB-6FD9-40F0-AF5D-1035E45A65BC}" name="RG Scope 2 MT CO2/MT H2" dataDxfId="146">
      <calculatedColumnFormula>'CO2 factors'!K79</calculatedColumnFormula>
    </tableColumn>
    <tableColumn id="7" xr3:uid="{8CF036B1-50BD-45CC-8A96-2FC62AD14AEA}" name="RG Total MT CO2/MT H2" dataDxfId="145">
      <calculatedColumnFormula>E73+F73</calculatedColumnFormula>
    </tableColumn>
    <tableColumn id="8" xr3:uid="{FAEB6FE4-4919-4025-8546-477B22E93D00}" name="CG Total MT CO2/MT NH3" dataDxfId="144">
      <calculatedColumnFormula>'CO2 factors'!M72 +'CO2 factors'!M78</calculatedColumnFormula>
    </tableColumn>
    <tableColumn id="9" xr3:uid="{9EC562C8-B811-472A-ABFC-00A116F420BD}" name="RG Total MT CO2/MT NH3" dataDxfId="143">
      <calculatedColumnFormula>'CO2 factors'!M72+'CO2 factors'!M79</calculatedColumnFormula>
    </tableColumn>
  </tableColumns>
  <tableStyleInfo name="TableStyleDark4" showFirstColumn="0" showLastColumn="0" showRowStripes="1" showColumnStripes="0"/>
</table>
</file>

<file path=xl/tables/table2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9" xr:uid="{9F205748-EB9A-49E4-99D8-321B099BB5E3}" name="MeOHEmissions" displayName="MeOHEmissions" ref="A75:I76" totalsRowShown="0" headerRowDxfId="142" headerRowBorderDxfId="141" tableBorderDxfId="140" totalsRowBorderDxfId="139">
  <autoFilter ref="A75:I76" xr:uid="{9F205748-EB9A-49E4-99D8-321B099BB5E3}"/>
  <tableColumns count="9">
    <tableColumn id="1" xr3:uid="{F23C4C6D-8F09-40FF-825D-9770737DDEDB}" name="MeOH" dataDxfId="138"/>
    <tableColumn id="2" xr3:uid="{26C6384B-0475-4970-8173-E6DD5276E235}" name="CG Scope 1  MT CO2/MT H2" dataDxfId="137">
      <calculatedColumnFormula>'CO2 factors'!K86</calculatedColumnFormula>
    </tableColumn>
    <tableColumn id="3" xr3:uid="{7674AEB9-8E58-4424-8D1D-975446E18F5C}" name="CG Scope 2 MT CO2/MT H2" dataDxfId="136">
      <calculatedColumnFormula>'CO2 factors'!K91</calculatedColumnFormula>
    </tableColumn>
    <tableColumn id="4" xr3:uid="{9DDB5929-C32E-4B37-89D1-5B433ECE7F00}" name="CG Total MT CO2/MT H2" dataDxfId="135">
      <calculatedColumnFormula>B76+C76</calculatedColumnFormula>
    </tableColumn>
    <tableColumn id="5" xr3:uid="{F9D959E3-0D47-433C-A776-9D2CF392DCD8}" name="RG Scope 1 MT CO2/MT H2" dataDxfId="134">
      <calculatedColumnFormula>'CO2 factors'!K86</calculatedColumnFormula>
    </tableColumn>
    <tableColumn id="6" xr3:uid="{FACD1861-EB7A-4E14-9C27-0B2E48C284C7}" name="RG Scope 2 MT CO2/MT H2" dataDxfId="133">
      <calculatedColumnFormula>'CO2 factors'!K92</calculatedColumnFormula>
    </tableColumn>
    <tableColumn id="7" xr3:uid="{8883C711-2999-4171-A1F6-4C5A046562A4}" name="RG Total MT CO2/MT H2" dataDxfId="132">
      <calculatedColumnFormula>E76+F76</calculatedColumnFormula>
    </tableColumn>
    <tableColumn id="8" xr3:uid="{0C4BAF6E-BEF1-4BAE-9234-2A1C345CD473}" name="CG Total MT CO2/MT MeOH" dataDxfId="131">
      <calculatedColumnFormula>'CO2 factors'!M86+'CO2 factors'!M91</calculatedColumnFormula>
    </tableColumn>
    <tableColumn id="9" xr3:uid="{D0B530F7-618D-4431-AD6E-6E0F7121E6CC}" name="RG Total MT CO2/MT MeOH" dataDxfId="130">
      <calculatedColumnFormula>'CO2 factors'!M86+'CO2 factors'!M92</calculatedColumnFormula>
    </tableColumn>
  </tableColumns>
  <tableStyleInfo name="TableStyleDark4" showFirstColumn="0" showLastColumn="0" showRowStripes="1" showColumnStripes="0"/>
</table>
</file>

<file path=xl/tables/table2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" xr:uid="{71D783F7-8A8D-4D9F-B2CD-572DAA9DEB0E}" name="ProcessMap" displayName="ProcessMap" ref="Y24:Z29" totalsRowShown="0" headerRowDxfId="129" dataDxfId="128">
  <autoFilter ref="Y24:Z29" xr:uid="{71D783F7-8A8D-4D9F-B2CD-572DAA9DEB0E}"/>
  <tableColumns count="2">
    <tableColumn id="1" xr3:uid="{2FE98CCE-7F7E-459E-B341-B833B0B6796B}" name="Full Name" dataDxfId="127"/>
    <tableColumn id="2" xr3:uid="{ABFEF7F3-5FD8-47A3-92E3-602D84968858}" name="Short Form" dataDxfId="126"/>
  </tableColumns>
  <tableStyleInfo name="TableStyleMedium2" showFirstColumn="0" showLastColumn="0" showRowStripes="1" showColumnStripes="0"/>
</table>
</file>

<file path=xl/tables/table3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" xr:uid="{5FEB05F0-1840-480D-991E-AD19396E5726}" name="OldMassBalance" displayName="OldMassBalance" ref="A2:J19" totalsRowShown="0" headerRowDxfId="125" headerRowBorderDxfId="124" tableBorderDxfId="123">
  <autoFilter ref="A2:J19" xr:uid="{5FEB05F0-1840-480D-991E-AD19396E5726}"/>
  <tableColumns count="10">
    <tableColumn id="1" xr3:uid="{E52D9372-45BE-456F-B1C9-B210295131C9}" name="PROCESS" dataDxfId="122"/>
    <tableColumn id="2" xr3:uid="{71438291-8512-4424-BB20-8B1994382B63}" name="REACTANTS" dataDxfId="121"/>
    <tableColumn id="3" xr3:uid="{E2B535FF-FFE2-42BB-815B-5AE4EE1B7FCE}" name="REACTANTS FLOW MTPA"/>
    <tableColumn id="4" xr3:uid="{58735A18-90C6-4D18-BBED-136FFFC0E574}" name="REACTANTS FLOW PER MTPA H2" dataDxfId="120"/>
    <tableColumn id="5" xr3:uid="{0B0E3F63-74FA-4BE2-8E4E-05E8E0F97A95}" name="UNITS / MT H2 or otherwise" dataDxfId="119"/>
    <tableColumn id="6" xr3:uid="{EE5B958B-33D0-4967-B4F6-F1C56FB22540}" name="PRODUCTS" dataDxfId="118"/>
    <tableColumn id="7" xr3:uid="{FE1B45B3-F547-4127-AA17-05C27F0AB797}" name="PRODUCT FLOW MTPA" dataDxfId="117"/>
    <tableColumn id="8" xr3:uid="{9B3DA0DA-FBDF-486F-934C-A7B87F43421A}" name="PRODUCT FLOW PER MTPA H2"/>
    <tableColumn id="9" xr3:uid="{A0FCB3B9-DB71-4147-9DF8-143900AF7579}" name="UNITS / MT H2 or otherwise2"/>
    <tableColumn id="10" xr3:uid="{A6160644-2D00-4602-A171-D468FA8AFB22}" name="Match Flag2" dataDxfId="116">
      <calculatedColumnFormula>IF(A4='Algorithm Inputs'!$Z$2, 1, 0)</calculatedColumnFormula>
    </tableColumn>
  </tableColumns>
  <tableStyleInfo name="TableStyleMedium2" showFirstColumn="0" showLastColumn="0" showRowStripes="1" showColumnStripes="0"/>
</table>
</file>

<file path=xl/tables/table3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0" xr:uid="{4C3A85CC-6FB4-4D5A-8CAC-8433A4CA9E93}" name="MassBalance" displayName="MassBalance" ref="A78:I95" totalsRowShown="0">
  <autoFilter ref="A78:I95" xr:uid="{4C3A85CC-6FB4-4D5A-8CAC-8433A4CA9E93}"/>
  <tableColumns count="9">
    <tableColumn id="1" xr3:uid="{5B24E71D-B3EE-4D4E-A0D3-EFF44EC593EE}" name="PROCESS"/>
    <tableColumn id="2" xr3:uid="{436F07FF-5E4C-4294-B654-DF6B76101584}" name="Type"/>
    <tableColumn id="3" xr3:uid="{2E281F29-D431-4AC8-81D1-9F5530999D7C}" name="Component"/>
    <tableColumn id="4" xr3:uid="{14973CA7-302F-4208-9435-C0F1A1AB027A}" name="Flow per MTPA H2" dataDxfId="115"/>
    <tableColumn id="5" xr3:uid="{BC1698DA-1F8C-4D9B-90C5-41C44F0A629D}" name="Units"/>
    <tableColumn id="6" xr3:uid="{56CB3EC9-29CF-4034-84D9-8B721D62D3BE}" name="Column1" dataDxfId="114">
      <calculatedColumnFormula>TRIM(CLEAN(MassBalance[[#This Row],[PROCESS]])) = 'Algorithm Inputs'!$Z$8</calculatedColumnFormula>
    </tableColumn>
    <tableColumn id="7" xr3:uid="{232845B8-0D40-4C81-A76E-14AD615F9F57}" name="Column2" dataDxfId="113">
      <calculatedColumnFormula>TRIM(CLEAN(MassBalance[[#This Row],[PROCESS]]))</calculatedColumnFormula>
    </tableColumn>
    <tableColumn id="8" xr3:uid="{69799554-CAA4-452A-AA5E-B8208B950F55}" name="Column3" dataDxfId="112">
      <calculatedColumnFormula>MassBalance[[#This Row],[PROCESS]] = 'Algorithm Inputs'!$Z$2</calculatedColumnFormula>
    </tableColumn>
    <tableColumn id="9" xr3:uid="{4F5CC35E-B848-4E52-8698-75B01E4207B4}" name="Column4" dataDxfId="111">
      <calculatedColumnFormula>CODE(MID(MassBalance[[#This Row],[PROCESS]], 1, 1)) &amp; " " &amp; CODE(MID(MassBalance[[#This Row],[PROCESS]], 2, 1))</calculatedColumnFormula>
    </tableColumn>
  </tableColumns>
  <tableStyleInfo name="TableStyleDark6" showFirstColumn="0" showLastColumn="0" showRowStripes="1" showColumnStripes="0"/>
</table>
</file>

<file path=xl/tables/table3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4" xr:uid="{0A7DCDBE-CC9D-4528-8956-815C72DC354E}" name="EnergyConsumption" displayName="EnergyConsumption" ref="A97:E112" totalsRowShown="0" tableBorderDxfId="110">
  <autoFilter ref="A97:E112" xr:uid="{0A7DCDBE-CC9D-4528-8956-815C72DC354E}"/>
  <tableColumns count="5">
    <tableColumn id="1" xr3:uid="{F346DAF6-5049-4A88-967F-5354CCB21D98}" name="Process"/>
    <tableColumn id="2" xr3:uid="{648E653A-C8D5-41E5-8B6C-CEE26EE41398}" name="Utility Type"/>
    <tableColumn id="3" xr3:uid="{75DA2FBF-C141-4E4A-B63D-1FFC9C782BC0}" name="Energy Type"/>
    <tableColumn id="4" xr3:uid="{A6A1F66B-2200-4B94-9023-A4D99CAD16A8}" name="Total Energy (MWh)" dataDxfId="109"/>
    <tableColumn id="5" xr3:uid="{4E50CCE6-77C1-4869-BB19-23CC55A0FA6A}" name="MWh per MT H2" dataDxfId="108"/>
  </tableColumns>
  <tableStyleInfo name="TableStyleMedium26" showFirstColumn="0" showLastColumn="0" showRowStripes="1" showColumnStripes="0"/>
</table>
</file>

<file path=xl/tables/table3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1" xr:uid="{53E7A7CE-BB5A-4D1C-B0C3-4BDAF08E1253}" name="ProcessEcon" displayName="ProcessEcon" ref="A114:J119" totalsRowShown="0" headerRowDxfId="107" dataDxfId="106">
  <autoFilter ref="A114:J119" xr:uid="{53E7A7CE-BB5A-4D1C-B0C3-4BDAF08E1253}"/>
  <tableColumns count="10">
    <tableColumn id="1" xr3:uid="{B63CEA3B-E100-4FE7-8903-E36F6A2A7F3A}" name="Process" dataDxfId="105"/>
    <tableColumn id="2" xr3:uid="{9EDAA56A-F213-4374-95E4-A58F3EBA7A46}" name="Product" dataDxfId="104"/>
    <tableColumn id="3" xr3:uid="{72AD6438-1499-419C-8241-4AAF789E63FA}" name="Base CAPEX(MM USD)" dataDxfId="103"/>
    <tableColumn id="4" xr3:uid="{E26B4F9C-4AB1-48BD-BE15-BF40195554F9}" name="Base Capacity(MTPA)" dataDxfId="102"/>
    <tableColumn id="5" xr3:uid="{F6E7578A-5BC8-4C0E-B823-4E73FD1E11E1}" name="Annualized CAPEX(MM USD/yr)" dataDxfId="101">
      <calculatedColumnFormula>C115/Plant_life</calculatedColumnFormula>
    </tableColumn>
    <tableColumn id="6" xr3:uid="{A407F750-3E49-4743-A9B4-A0B70ABDE761}" name="OPEX CG(MM USD/MT H2)" dataDxfId="100">
      <calculatedColumnFormula>G115/D115</calculatedColumnFormula>
    </tableColumn>
    <tableColumn id="7" xr3:uid="{5B3FD0B1-6EB7-4925-B4FA-1D4F6A5EE2BE}" name="OPEX CG(MM USD/yr)" dataDxfId="99"/>
    <tableColumn id="8" xr3:uid="{856C508E-7976-4406-BAAF-3F6DDC2ED43E}" name="OPEX RG(MM USD/MT H2)" dataDxfId="98">
      <calculatedColumnFormula>I115/D115</calculatedColumnFormula>
    </tableColumn>
    <tableColumn id="9" xr3:uid="{2D2C2E40-DB39-4616-86CF-341381E2EB22}" name="OPEX RG(MM USD/yr)" dataDxfId="97"/>
    <tableColumn id="10" xr3:uid="{78F32EFD-3C63-42D7-ACE1-2756525ABDD2}" name="Storage Cost(MM USD/MT Product)" dataDxfId="96">
      <calculatedColumnFormula>Storage_costs_placeholder</calculatedColumnFormula>
    </tableColumn>
  </tableColumns>
  <tableStyleInfo name="TableStyleDark7" showFirstColumn="0" showLastColumn="0" showRowStripes="1" showColumnStripes="0"/>
</table>
</file>

<file path=xl/tables/table3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3" xr:uid="{120F33DB-B401-414C-9640-8E42E42B33F0}" name="Table33" displayName="Table33" ref="AG6:AH12" totalsRowShown="0" headerRowDxfId="95" dataDxfId="94">
  <autoFilter ref="AG6:AH12" xr:uid="{120F33DB-B401-414C-9640-8E42E42B33F0}"/>
  <tableColumns count="2">
    <tableColumn id="1" xr3:uid="{67A16AC4-C098-472C-A38A-C19DA3222612}" name="Clean Product Name (Dropdown)" dataDxfId="93"/>
    <tableColumn id="2" xr3:uid="{1FE04721-76C6-48D4-B705-066B851A6BD1}" name="Mass Balance Name" dataDxfId="92"/>
  </tableColumns>
  <tableStyleInfo name="TableStyleMedium2" showFirstColumn="0" showLastColumn="0" showRowStripes="1" showColumnStripes="0"/>
</table>
</file>

<file path=xl/tables/table3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4" xr:uid="{4ADF524F-3A55-462E-A63E-F471694BCFF7}" name="DownstreamMap" displayName="DownstreamMap" ref="AJ6:AK8" totalsRowShown="0" headerRowDxfId="91" dataDxfId="90">
  <autoFilter ref="AJ6:AK8" xr:uid="{4ADF524F-3A55-462E-A63E-F471694BCFF7}"/>
  <tableColumns count="2">
    <tableColumn id="1" xr3:uid="{489E6405-0DFB-4CD4-8100-E11990D51065}" name="AG" dataDxfId="89"/>
    <tableColumn id="2" xr3:uid="{E34270CD-E588-4D60-B024-F7EC3D9A470D}" name="AH" dataDxfId="88"/>
  </tableColumns>
  <tableStyleInfo name="TableStyleMedium2" showFirstColumn="0" showLastColumn="0" showRowStripes="1" showColumnStripes="0"/>
</table>
</file>

<file path=xl/tables/table3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5" xr:uid="{C68D84DF-6B47-4AD4-AAEB-159C0AE8D098}" name="Emissions" displayName="Emissions" ref="A122:F132" totalsRowShown="0" headerRowDxfId="87" dataDxfId="86">
  <autoFilter ref="A122:F132" xr:uid="{C68D84DF-6B47-4AD4-AAEB-159C0AE8D098}"/>
  <tableColumns count="6">
    <tableColumn id="1" xr3:uid="{C9770A69-FEB5-422D-8644-8BA910F6A115}" name="Process" dataDxfId="85"/>
    <tableColumn id="2" xr3:uid="{FFA78B7D-5698-4630-AF7A-4C7E98ADB34B}" name="Product" dataDxfId="84"/>
    <tableColumn id="3" xr3:uid="{FDDFA51D-DCCF-4B9B-A6C8-C18F7B2A3132}" name="Grid Type " dataDxfId="83"/>
    <tableColumn id="4" xr3:uid="{DD5F84A7-EE6F-43A6-B745-A2CD00E5FD85}" name="Scope 1 (MT CO₂ / MT Prod)" dataDxfId="82"/>
    <tableColumn id="5" xr3:uid="{85CCD195-FEBC-4CCB-A5CC-9178B5F39978}" name="Scope 2 (MT CO₂ / MT Prod)" dataDxfId="81"/>
    <tableColumn id="6" xr3:uid="{CD02EDC9-0B90-4B33-B3A2-211FD5597707}" name="Total (MT CO2/MT Product)" dataDxfId="80">
      <calculatedColumnFormula>SUM(D123+E123)</calculatedColumnFormula>
    </tableColumn>
  </tableColumns>
  <tableStyleInfo name="TableStyleMedium3" showFirstColumn="0" showLastColumn="0" showRowStripes="1" showColumnStripes="0"/>
</table>
</file>

<file path=xl/tables/table3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6" xr:uid="{E3907890-1CE8-429F-93AA-2F81A32A2060}" name="GridMap" displayName="GridMap" ref="Y32:Z34" totalsRowShown="0" headerRowDxfId="79" dataDxfId="78">
  <autoFilter ref="Y32:Z34" xr:uid="{E3907890-1CE8-429F-93AA-2F81A32A2060}"/>
  <tableColumns count="2">
    <tableColumn id="1" xr3:uid="{8F1F93F1-3ECC-48B2-ABC2-36A204F76519}" name="Full Grid Type" dataDxfId="77"/>
    <tableColumn id="2" xr3:uid="{DFBCC1F4-C96F-4E10-A7C1-C75EEA5F6F2D}" name="Short Form" dataDxfId="76"/>
  </tableColumns>
  <tableStyleInfo name="TableStyleMedium2" showFirstColumn="0" showLastColumn="0" showRowStripes="1" showColumnStripes="0"/>
</table>
</file>

<file path=xl/tables/table3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8" xr:uid="{5CE52FD9-F650-4E4D-93F3-790BF23AAEC7}" name="RawMatPrice" displayName="RawMatPrice" ref="A1:D5" totalsRowShown="0" headerRowDxfId="75" dataDxfId="74">
  <autoFilter ref="A1:D5" xr:uid="{5CE52FD9-F650-4E4D-93F3-790BF23AAEC7}"/>
  <tableColumns count="4">
    <tableColumn id="4" xr3:uid="{4AE48E9E-BCC7-47D3-9560-53701E054155}" name="Process" dataDxfId="73"/>
    <tableColumn id="1" xr3:uid="{514D3D4E-ED28-4C5C-B99D-DFE228A97A52}" name="Raw Material" dataDxfId="72"/>
    <tableColumn id="2" xr3:uid="{92ADD22A-A423-4A7E-A259-B396DB215125}" name="Default Price" dataDxfId="71"/>
    <tableColumn id="3" xr3:uid="{B0ED7FBD-ACB3-4214-AE33-26DF5D6B430E}" name="Units" dataDxfId="70"/>
  </tableColumns>
  <tableStyleInfo name="TableStyleMedium2" showFirstColumn="0" showLastColumn="0" showRowStripes="1" showColumnStripes="0"/>
</table>
</file>

<file path=xl/tables/table3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9" xr:uid="{703BC17D-3E67-4D09-8C72-A35896F0C9B6}" name="GridPrice" displayName="GridPrice" ref="A6:B8" totalsRowShown="0" headerRowDxfId="69" dataDxfId="68">
  <autoFilter ref="A6:B8" xr:uid="{703BC17D-3E67-4D09-8C72-A35896F0C9B6}"/>
  <tableColumns count="2">
    <tableColumn id="1" xr3:uid="{37571350-D514-478F-B044-39FD2D3A5FC8}" name="Energy Source" dataDxfId="67"/>
    <tableColumn id="2" xr3:uid="{F2BF41B1-7E97-482F-8CB7-450DC61F35C7}" name="Default Price ($/kWh)" dataDxfId="66"/>
  </tableColumns>
  <tableStyleInfo name="TableStyleMedium2" showFirstColumn="0" showLastColumn="0" showRowStripes="1" showColumnStripes="0"/>
</table>
</file>

<file path=xl/tables/table4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0" xr:uid="{CE75733C-D96F-417D-B166-B0370600ACCB}" name="ThermalPrice" displayName="ThermalPrice" ref="A10:B12" totalsRowShown="0" headerRowDxfId="65" dataDxfId="64">
  <autoFilter ref="A10:B12" xr:uid="{CE75733C-D96F-417D-B166-B0370600ACCB}"/>
  <tableColumns count="2">
    <tableColumn id="1" xr3:uid="{249298B5-4E9A-4688-A35F-EEA310727194}" name="Utility" dataDxfId="63"/>
    <tableColumn id="2" xr3:uid="{A0387600-15D5-4B5E-BB63-805A96FF192E}" name="Default Price ($/MMBtu)" dataDxfId="62"/>
  </tableColumns>
  <tableStyleInfo name="TableStyleMedium2" showFirstColumn="0" showLastColumn="0" showRowStripes="1" showColumnStripes="0"/>
</table>
</file>

<file path=xl/tables/table4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2" xr:uid="{EFBE006F-810B-4DB8-B151-A7D67A3B9C67}" name="Table32" displayName="Table32" ref="A5:D9" totalsRowShown="0" headerRowDxfId="54" dataDxfId="53">
  <autoFilter ref="A5:D9" xr:uid="{EFBE006F-810B-4DB8-B151-A7D67A3B9C67}"/>
  <tableColumns count="4">
    <tableColumn id="1" xr3:uid="{4AA2C9CC-3EC4-4CF3-819C-3A901BBF0B13}" name="Product" dataDxfId="52">
      <calculatedColumnFormula>'Algorithm Inputs'!A8</calculatedColumnFormula>
    </tableColumn>
    <tableColumn id="2" xr3:uid="{6B9A9DAC-5C5A-480F-9B37-5125B359FA14}" name="Flow (MT/year)" dataDxfId="51">
      <calculatedColumnFormula>IF(A6&lt;&gt;"", INDEX('Algorithm Results'!E6:E50, MATCH(VLOOKUP(A6, SCALING!AG6:AH11, 2, FALSE), 'Algorithm Results'!B6:B50, 0)), "")</calculatedColumnFormula>
    </tableColumn>
    <tableColumn id="3" xr3:uid="{51A09AD9-98CE-4894-97C3-D05BFF81DA08}" name="Price ($/MT)" dataDxfId="50"/>
    <tableColumn id="4" xr3:uid="{E232B184-ADD0-4DCA-A5D4-16EBDA771D05}" name="Revenue ($)" dataDxfId="49">
      <calculatedColumnFormula>IF(AND(ISNUMBER(B6), ISNUMBER(C6)), B6*C6, "")</calculatedColumnFormula>
    </tableColumn>
  </tableColumns>
  <tableStyleInfo name="TableStyleMedium2" showFirstColumn="0" showLastColumn="0" showRowStripes="1" showColumnStripes="0"/>
</table>
</file>

<file path=xl/tables/table4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2" xr:uid="{B9ADD22C-9ECB-40E5-BC39-CCE4E730A99E}" name="Table42" displayName="Table42" ref="A11:B20" totalsRowShown="0" headerRowDxfId="48" dataDxfId="46" headerRowBorderDxfId="47" tableBorderDxfId="45" totalsRowBorderDxfId="44">
  <autoFilter ref="A11:B20" xr:uid="{B9ADD22C-9ECB-40E5-BC39-CCE4E730A99E}"/>
  <tableColumns count="2">
    <tableColumn id="1" xr3:uid="{FE4F12B1-4ADB-4EDA-9F4C-1CFF3889EFC4}" name="Economic Metric" dataDxfId="43"/>
    <tableColumn id="2" xr3:uid="{ACA0A1D7-981F-4AB0-9A24-5AA180A3A43B}" name=" MM USD" dataDxfId="42"/>
  </tableColumns>
  <tableStyleInfo name="TableStyleDark4" showFirstColumn="0" showLastColumn="0" showRowStripes="1" showColumnStripes="0"/>
</table>
</file>

<file path=xl/tables/table4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1" xr:uid="{82ED1998-FE43-4804-8857-3881B3755BF1}" name="TotProdCosts" displayName="TotProdCosts" ref="I4:K8" totalsRowShown="0" headerRowDxfId="41" dataDxfId="40">
  <autoFilter ref="I4:K8" xr:uid="{82ED1998-FE43-4804-8857-3881B3755BF1}"/>
  <tableColumns count="3">
    <tableColumn id="1" xr3:uid="{4BD59CBD-2CB8-4541-80D2-F183E7B990D5}" name="Component" dataDxfId="39"/>
    <tableColumn id="2" xr3:uid="{6333F4CF-1298-4A5A-949E-C53B678B8848}" name="MM $/MT Product" dataDxfId="38"/>
    <tableColumn id="3" xr3:uid="{850487D4-4CD4-4C48-8F5F-91AA2DD95E5C}" name="$/MT Product" dataDxfId="37"/>
  </tableColumns>
  <tableStyleInfo name="TableStyleMedium1" showFirstColumn="0" showLastColumn="0" showRowStripes="1" showColumnStripes="0"/>
</table>
</file>

<file path=xl/tables/table4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3" xr:uid="{68B6D6D0-3058-4D4B-B170-F5EB9C4D649D}" name="NPVTable" displayName="NPVTable" ref="A28:E49" totalsRowShown="0" headerRowDxfId="36" dataDxfId="35">
  <autoFilter ref="A28:E49" xr:uid="{68B6D6D0-3058-4D4B-B170-F5EB9C4D649D}"/>
  <tableColumns count="5">
    <tableColumn id="1" xr3:uid="{32682472-26ED-4850-9B13-AB5888D60FF1}" name="Year" dataDxfId="34"/>
    <tableColumn id="2" xr3:uid="{82EBB27B-8EE9-4257-9C5F-DF5B1DDBA06E}" name="Cash Flow MM $" dataDxfId="33">
      <calculatedColumnFormula>-TCI</calculatedColumnFormula>
    </tableColumn>
    <tableColumn id="3" xr3:uid="{27FE91AB-FB8D-433C-A81B-8F56CCC5C5DC}" name="Discount factor" dataDxfId="32"/>
    <tableColumn id="4" xr3:uid="{C458109B-60FF-4A8A-8F3E-6C74EC0C9DB4}" name="Present value MM $" dataDxfId="31">
      <calculatedColumnFormula>NPVTable[[#This Row],[Cash Flow MM $]]*NPVTable[[#This Row],[Discount factor]]</calculatedColumnFormula>
    </tableColumn>
    <tableColumn id="5" xr3:uid="{DF2F65DB-11D9-48A4-8CCA-9E7F9377FE93}" name="Cumulative Present Value MM $" dataDxfId="30">
      <calculatedColumnFormula>B29</calculatedColumnFormula>
    </tableColumn>
  </tableColumns>
  <tableStyleInfo name="TableStyleMedium28" showFirstColumn="0" showLastColumn="0" showRowStripes="1" showColumnStripes="0"/>
</table>
</file>

<file path=xl/tables/table4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5" xr:uid="{1649AE7D-184C-4A9C-BA74-4D1FCB868011}" name="Table45" displayName="Table45" ref="U1:Z8" totalsRowShown="0">
  <autoFilter ref="U1:Z8" xr:uid="{1649AE7D-184C-4A9C-BA74-4D1FCB868011}"/>
  <tableColumns count="6">
    <tableColumn id="1" xr3:uid="{B1CEE8A6-46C3-4A0D-9BB7-B2ADCC45C4AB}" name="% Change" dataDxfId="29"/>
    <tableColumn id="2" xr3:uid="{8CF45095-B47F-4A00-A2F6-A5BECA961079}" name="Adjusted Price $/MT"/>
    <tableColumn id="3" xr3:uid="{6C1B3DC9-3821-4098-85AF-FAB7AE9B1424}" name="ROI %" dataDxfId="28">
      <calculatedColumnFormula array="1">IF(
  (V2 * $AB$4 / 1000000 + $AB$5 - TAC) &gt;= 0,
  ((V2 * $AB$4 / 1000000 + $AB$5 - TAC) * (1 - Tax_Rate) + Depreciation) / TCI * 100,
  ((V2 * $AB$4 / 1000000 + $AB$5 - TAC) + Depreciation) / TCI * 100
)</calculatedColumnFormula>
    </tableColumn>
    <tableColumn id="4" xr3:uid="{F0656AE0-1FC6-449D-A4CB-159179E92807}" name="Delta ROI %" dataDxfId="27">
      <calculatedColumnFormula>W2-$W$4</calculatedColumnFormula>
    </tableColumn>
    <tableColumn id="5" xr3:uid="{F6B09178-C362-4A1A-9172-46002A5EBB4E}" name="Negative Delta" dataDxfId="26">
      <calculatedColumnFormula>IF(X2 &lt; 0, X2, 0)</calculatedColumnFormula>
    </tableColumn>
    <tableColumn id="6" xr3:uid="{91F561D4-16FC-4947-A9A7-3803F44810C5}" name="Positive Delta" dataDxfId="25">
      <calculatedColumnFormula>IF(X2 &gt; 0, X2, 0)</calculatedColumnFormula>
    </tableColumn>
  </tableColumns>
  <tableStyleInfo name="TableStyleMedium22" showFirstColumn="0" showLastColumn="0" showRowStripes="1" showColumnStripes="0"/>
</table>
</file>

<file path=xl/tables/table4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6" xr:uid="{619A97DF-9122-4E33-BB63-CD38ABAE0E1B}" name="Table46" displayName="Table46" ref="A51:C62" totalsRowShown="0" headerRowDxfId="24" dataDxfId="23">
  <autoFilter ref="A51:C62" xr:uid="{619A97DF-9122-4E33-BB63-CD38ABAE0E1B}"/>
  <tableColumns count="3">
    <tableColumn id="1" xr3:uid="{05DA9CEC-21B1-4974-9592-E60DC455D8D7}" name="% Price Change" dataDxfId="22"/>
    <tableColumn id="2" xr3:uid="{616AC582-6BC9-4086-8963-C54D314F1E0F}" name="Adjusted Price" dataDxfId="21"/>
    <tableColumn id="3" xr3:uid="{38ADEC59-3B2C-4E34-9922-B762596187B0}" name="NPV " dataDxfId="20">
      <calculatedColumnFormula array="1">IF(
  (B52 * $AB$4 / 1000000 + $AB$5 - TAC) &gt;= 0,
  (
    (
      (B52 * $AB$4 / 1000000 + $AB$5 - TAC) * (1 - Tax_Rate)
      + Depreciation
    )
    * ((1 - (1 + DF)^-20) / DF)
  )
  - TCI
  + (0.15 * TCI) / (1 + DF)^20,
  (
    (
      (B52 * $AB$4 / 1000000 + $AB$5 - TAC)
      + Depreciation
    )
    * ((1 - (1 + DF)^-20) / DF)
  )
  - TCI
  + (0.15 * TCI) / (1 + DF)^20
)</calculatedColumnFormula>
    </tableColumn>
  </tableColumns>
  <tableStyleInfo name="TableStyleMedium28" showFirstColumn="0" showLastColumn="0" showRowStripes="1" showColumnStripes="0"/>
</table>
</file>

<file path=xl/tables/table4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7" xr:uid="{F7E9FC74-0682-49B0-AEBC-E7CE09142439}" name="Table47" displayName="Table47" ref="A67:D86" totalsRowShown="0" headerRowDxfId="19" dataDxfId="18">
  <autoFilter ref="A67:D86" xr:uid="{F7E9FC74-0682-49B0-AEBC-E7CE09142439}"/>
  <tableColumns count="4">
    <tableColumn id="1" xr3:uid="{BA292076-F798-42D1-A28B-5AD34D9B09C7}" name="Capacity (MT H2/yr)" dataDxfId="17"/>
    <tableColumn id="2" xr3:uid="{73A2E51A-1990-47C9-800B-3DC310D22BFE}" name="CAPEX (MM$)" dataDxfId="16"/>
    <tableColumn id="3" xr3:uid="{2991D18E-0153-41F0-B98F-3E55705A849B}" name="ROI (%)" dataDxfId="15"/>
    <tableColumn id="4" xr3:uid="{FE4DD3AE-D90A-4AC7-AB93-905BAFB67C51}" name="NPV (MM$)" dataDxfId="14"/>
  </tableColumns>
  <tableStyleInfo name="TableStyleMedium2" showFirstColumn="0" showLastColumn="0" showRowStripes="1" showColumnStripes="0"/>
</table>
</file>

<file path=xl/tables/table4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7" xr:uid="{00E234F5-AB68-4963-8021-E3EAB90526E0}" name="Table37" displayName="Table37" ref="A5:B9" totalsRowShown="0" headerRowDxfId="13" dataDxfId="12" tableBorderDxfId="11">
  <autoFilter ref="A5:B9" xr:uid="{00E234F5-AB68-4963-8021-E3EAB90526E0}"/>
  <tableColumns count="2">
    <tableColumn id="1" xr3:uid="{DD356D8C-B844-4C1C-B827-CD3D22141E75}" name="Category Emissions" dataDxfId="10"/>
    <tableColumn id="2" xr3:uid="{2E3E0DEC-E338-443E-9EFF-130609896751}" name="MTPA CO2" dataDxfId="9"/>
  </tableColumns>
  <tableStyleInfo name="TableStyleMedium2" showFirstColumn="0" showLastColumn="0" showRowStripes="1" showColumnStripes="0"/>
</table>
</file>

<file path=xl/tables/table4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4" xr:uid="{2BC649F2-D26A-4F86-A8F1-2971D1C2670E}" name="Emissions45" displayName="Emissions45" ref="R1:X11" totalsRowShown="0" headerRowDxfId="8" dataDxfId="7">
  <autoFilter ref="R1:X11" xr:uid="{2BC649F2-D26A-4F86-A8F1-2971D1C2670E}"/>
  <tableColumns count="7">
    <tableColumn id="1" xr3:uid="{5D8DA10B-4587-4E43-97F8-CACCDD517581}" name="Process" dataDxfId="6"/>
    <tableColumn id="2" xr3:uid="{94A98704-0179-490D-A462-1240BDCA15E6}" name="Product" dataDxfId="5"/>
    <tableColumn id="3" xr3:uid="{E196B9BD-7B2F-439E-800D-BE94BEC3E291}" name="Grid Type" dataDxfId="4"/>
    <tableColumn id="4" xr3:uid="{2382F398-25FF-4E71-9F0E-659189EEC497}" name="Scope 1 (MT CO₂ / MT Prod)" dataDxfId="3"/>
    <tableColumn id="5" xr3:uid="{57479715-B104-48B4-9786-FBAD6185FC94}" name="Scope 2 (MT CO₂ / MT Prod)" dataDxfId="2"/>
    <tableColumn id="6" xr3:uid="{0EDD9EC4-6857-4896-8612-904B5BA6673C}" name="Total" dataDxfId="1">
      <calculatedColumnFormula>SUM(U2+V2)</calculatedColumnFormula>
    </tableColumn>
    <tableColumn id="7" xr3:uid="{9461A659-4795-4484-BC81-3FB50171CEAB}" name="Process - Grid" dataDxfId="0">
      <calculatedColumnFormula>R2 &amp; " " &amp; S2 &amp; " " &amp; T2</calculatedColumnFormula>
    </tableColumn>
  </tableColumns>
  <tableStyleInfo name="TableStyleMedium3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hyperlink" Target="https://www.e-education.psu.edu/fsc432/content/natural-gas-composition-and-specifications" TargetMode="External"/><Relationship Id="rId2" Type="http://schemas.openxmlformats.org/officeDocument/2006/relationships/hyperlink" Target="https://doi.org/10.1016/j.enconman.2020.113144" TargetMode="External"/><Relationship Id="rId1" Type="http://schemas.openxmlformats.org/officeDocument/2006/relationships/hyperlink" Target="https://doi.org/10.1016/j.enconman.2020.113144" TargetMode="External"/><Relationship Id="rId5" Type="http://schemas.openxmlformats.org/officeDocument/2006/relationships/drawing" Target="../drawings/drawing2.xml"/><Relationship Id="rId4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.xml"/><Relationship Id="rId2" Type="http://schemas.openxmlformats.org/officeDocument/2006/relationships/table" Target="../tables/table1.xml"/><Relationship Id="rId1" Type="http://schemas.openxmlformats.org/officeDocument/2006/relationships/drawing" Target="../drawings/drawing3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4.xml"/><Relationship Id="rId2" Type="http://schemas.openxmlformats.org/officeDocument/2006/relationships/printerSettings" Target="../printerSettings/printerSettings3.bin"/><Relationship Id="rId1" Type="http://schemas.openxmlformats.org/officeDocument/2006/relationships/hyperlink" Target="https://toweringskills.com/financial-analysis/cost-indices/" TargetMode="External"/><Relationship Id="rId5" Type="http://schemas.openxmlformats.org/officeDocument/2006/relationships/table" Target="../tables/table4.xml"/><Relationship Id="rId4" Type="http://schemas.openxmlformats.org/officeDocument/2006/relationships/table" Target="../tables/table3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table" Target="../tables/table5.xml"/><Relationship Id="rId2" Type="http://schemas.openxmlformats.org/officeDocument/2006/relationships/drawing" Target="../drawings/drawing5.xml"/><Relationship Id="rId1" Type="http://schemas.openxmlformats.org/officeDocument/2006/relationships/hyperlink" Target="https://toweringskills.com/financial-analysis/cost-indices/" TargetMode="External"/><Relationship Id="rId4" Type="http://schemas.openxmlformats.org/officeDocument/2006/relationships/table" Target="../tables/table6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table" Target="../tables/table7.x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4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table" Target="../tables/table8.xml"/><Relationship Id="rId1" Type="http://schemas.openxmlformats.org/officeDocument/2006/relationships/hyperlink" Target="https://ora.ox.ac.uk/objects/uuid:475ce7d3-b6b8-42f6-8cb1-b33f56026689/download_file?safe_filename=Cesaro_et_al_2020_Ammonia_to_power.pdf&amp;type_of_work=Journal+article" TargetMode="External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hyperlink" Target="https://ora.ox.ac.uk/objects/uuid:475ce7d3-b6b8-42f6-8cb1-b33f56026689/download_file?safe_filename=Cesaro_et_al_2020_Ammonia_to_power.pdf&amp;type_of_work=Journal+article" TargetMode="External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9.x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5.bin"/></Relationships>
</file>

<file path=xl/worksheets/_rels/sheet13.xml.rels><?xml version="1.0" encoding="UTF-8" standalone="yes"?>
<Relationships xmlns="http://schemas.openxmlformats.org/package/2006/relationships"><Relationship Id="rId8" Type="http://schemas.openxmlformats.org/officeDocument/2006/relationships/table" Target="../tables/table16.xml"/><Relationship Id="rId13" Type="http://schemas.openxmlformats.org/officeDocument/2006/relationships/table" Target="../tables/table21.xml"/><Relationship Id="rId18" Type="http://schemas.openxmlformats.org/officeDocument/2006/relationships/table" Target="../tables/table26.xml"/><Relationship Id="rId26" Type="http://schemas.openxmlformats.org/officeDocument/2006/relationships/table" Target="../tables/table34.xml"/><Relationship Id="rId3" Type="http://schemas.openxmlformats.org/officeDocument/2006/relationships/table" Target="../tables/table11.xml"/><Relationship Id="rId21" Type="http://schemas.openxmlformats.org/officeDocument/2006/relationships/table" Target="../tables/table29.xml"/><Relationship Id="rId7" Type="http://schemas.openxmlformats.org/officeDocument/2006/relationships/table" Target="../tables/table15.xml"/><Relationship Id="rId12" Type="http://schemas.openxmlformats.org/officeDocument/2006/relationships/table" Target="../tables/table20.xml"/><Relationship Id="rId17" Type="http://schemas.openxmlformats.org/officeDocument/2006/relationships/table" Target="../tables/table25.xml"/><Relationship Id="rId25" Type="http://schemas.openxmlformats.org/officeDocument/2006/relationships/table" Target="../tables/table33.xml"/><Relationship Id="rId2" Type="http://schemas.openxmlformats.org/officeDocument/2006/relationships/table" Target="../tables/table10.xml"/><Relationship Id="rId16" Type="http://schemas.openxmlformats.org/officeDocument/2006/relationships/table" Target="../tables/table24.xml"/><Relationship Id="rId20" Type="http://schemas.openxmlformats.org/officeDocument/2006/relationships/table" Target="../tables/table28.xml"/><Relationship Id="rId29" Type="http://schemas.openxmlformats.org/officeDocument/2006/relationships/table" Target="../tables/table37.xml"/><Relationship Id="rId1" Type="http://schemas.openxmlformats.org/officeDocument/2006/relationships/drawing" Target="../drawings/drawing8.xml"/><Relationship Id="rId6" Type="http://schemas.openxmlformats.org/officeDocument/2006/relationships/table" Target="../tables/table14.xml"/><Relationship Id="rId11" Type="http://schemas.openxmlformats.org/officeDocument/2006/relationships/table" Target="../tables/table19.xml"/><Relationship Id="rId24" Type="http://schemas.openxmlformats.org/officeDocument/2006/relationships/table" Target="../tables/table32.xml"/><Relationship Id="rId5" Type="http://schemas.openxmlformats.org/officeDocument/2006/relationships/table" Target="../tables/table13.xml"/><Relationship Id="rId15" Type="http://schemas.openxmlformats.org/officeDocument/2006/relationships/table" Target="../tables/table23.xml"/><Relationship Id="rId23" Type="http://schemas.openxmlformats.org/officeDocument/2006/relationships/table" Target="../tables/table31.xml"/><Relationship Id="rId28" Type="http://schemas.openxmlformats.org/officeDocument/2006/relationships/table" Target="../tables/table36.xml"/><Relationship Id="rId10" Type="http://schemas.openxmlformats.org/officeDocument/2006/relationships/table" Target="../tables/table18.xml"/><Relationship Id="rId19" Type="http://schemas.openxmlformats.org/officeDocument/2006/relationships/table" Target="../tables/table27.xml"/><Relationship Id="rId4" Type="http://schemas.openxmlformats.org/officeDocument/2006/relationships/table" Target="../tables/table12.xml"/><Relationship Id="rId9" Type="http://schemas.openxmlformats.org/officeDocument/2006/relationships/table" Target="../tables/table17.xml"/><Relationship Id="rId14" Type="http://schemas.openxmlformats.org/officeDocument/2006/relationships/table" Target="../tables/table22.xml"/><Relationship Id="rId22" Type="http://schemas.openxmlformats.org/officeDocument/2006/relationships/table" Target="../tables/table30.xml"/><Relationship Id="rId27" Type="http://schemas.openxmlformats.org/officeDocument/2006/relationships/table" Target="../tables/table35.xml"/></Relationships>
</file>

<file path=xl/worksheets/_rels/sheet14.xml.rels><?xml version="1.0" encoding="UTF-8" standalone="yes"?>
<Relationships xmlns="http://schemas.openxmlformats.org/package/2006/relationships"><Relationship Id="rId3" Type="http://schemas.openxmlformats.org/officeDocument/2006/relationships/table" Target="../tables/table40.xml"/><Relationship Id="rId2" Type="http://schemas.openxmlformats.org/officeDocument/2006/relationships/table" Target="../tables/table39.xml"/><Relationship Id="rId1" Type="http://schemas.openxmlformats.org/officeDocument/2006/relationships/table" Target="../tables/table38.xml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9.xml"/></Relationships>
</file>

<file path=xl/worksheets/_rels/sheet17.xml.rels><?xml version="1.0" encoding="UTF-8" standalone="yes"?>
<Relationships xmlns="http://schemas.openxmlformats.org/package/2006/relationships"><Relationship Id="rId8" Type="http://schemas.openxmlformats.org/officeDocument/2006/relationships/table" Target="../tables/table45.xml"/><Relationship Id="rId3" Type="http://schemas.openxmlformats.org/officeDocument/2006/relationships/ctrlProp" Target="../ctrlProps/ctrlProp1.xml"/><Relationship Id="rId7" Type="http://schemas.openxmlformats.org/officeDocument/2006/relationships/table" Target="../tables/table44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0.xml"/><Relationship Id="rId6" Type="http://schemas.openxmlformats.org/officeDocument/2006/relationships/table" Target="../tables/table43.xml"/><Relationship Id="rId5" Type="http://schemas.openxmlformats.org/officeDocument/2006/relationships/table" Target="../tables/table42.xml"/><Relationship Id="rId10" Type="http://schemas.openxmlformats.org/officeDocument/2006/relationships/table" Target="../tables/table47.xml"/><Relationship Id="rId4" Type="http://schemas.openxmlformats.org/officeDocument/2006/relationships/table" Target="../tables/table41.xml"/><Relationship Id="rId9" Type="http://schemas.openxmlformats.org/officeDocument/2006/relationships/table" Target="../tables/table46.xml"/></Relationships>
</file>

<file path=xl/worksheets/_rels/sheet18.xml.rels><?xml version="1.0" encoding="UTF-8" standalone="yes"?>
<Relationships xmlns="http://schemas.openxmlformats.org/package/2006/relationships"><Relationship Id="rId3" Type="http://schemas.openxmlformats.org/officeDocument/2006/relationships/table" Target="../tables/table49.xml"/><Relationship Id="rId2" Type="http://schemas.openxmlformats.org/officeDocument/2006/relationships/table" Target="../tables/table48.xml"/><Relationship Id="rId1" Type="http://schemas.openxmlformats.org/officeDocument/2006/relationships/drawing" Target="../drawings/drawing1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5EF3E2B-68CE-4EAA-A7F3-33BFBDBFCE33}">
  <sheetPr codeName="Sheet1"/>
  <dimension ref="A1:J114"/>
  <sheetViews>
    <sheetView workbookViewId="0">
      <selection activeCell="B17" sqref="B17"/>
    </sheetView>
  </sheetViews>
  <sheetFormatPr defaultRowHeight="14.4"/>
  <cols>
    <col min="1" max="1" width="35.109375" bestFit="1" customWidth="1"/>
    <col min="2" max="2" width="57.6640625" bestFit="1" customWidth="1"/>
    <col min="3" max="3" width="38.5546875" bestFit="1" customWidth="1"/>
    <col min="10" max="10" width="166.33203125" bestFit="1" customWidth="1"/>
  </cols>
  <sheetData>
    <row r="1" spans="1:10">
      <c r="A1" s="1" t="s">
        <v>0</v>
      </c>
      <c r="B1" s="1" t="s">
        <v>1</v>
      </c>
    </row>
    <row r="2" spans="1:10">
      <c r="A2" t="s">
        <v>2</v>
      </c>
      <c r="B2" t="s">
        <v>3</v>
      </c>
    </row>
    <row r="3" spans="1:10">
      <c r="B3" t="s">
        <v>4</v>
      </c>
      <c r="C3" s="13" t="s">
        <v>5</v>
      </c>
    </row>
    <row r="4" spans="1:10">
      <c r="A4" t="s">
        <v>6</v>
      </c>
      <c r="B4" t="s">
        <v>7</v>
      </c>
    </row>
    <row r="5" spans="1:10">
      <c r="B5" t="s">
        <v>8</v>
      </c>
    </row>
    <row r="6" spans="1:10">
      <c r="A6" s="1" t="s">
        <v>9</v>
      </c>
      <c r="B6" s="1"/>
      <c r="J6" t="s">
        <v>10</v>
      </c>
    </row>
    <row r="7" spans="1:10" ht="15">
      <c r="A7" t="s">
        <v>11</v>
      </c>
      <c r="B7" s="2" t="s">
        <v>12</v>
      </c>
      <c r="C7" t="s">
        <v>13</v>
      </c>
    </row>
    <row r="8" spans="1:10" ht="15">
      <c r="A8" t="s">
        <v>14</v>
      </c>
      <c r="B8" s="2" t="s">
        <v>15</v>
      </c>
    </row>
    <row r="9" spans="1:10">
      <c r="A9" t="s">
        <v>16</v>
      </c>
      <c r="B9" t="s">
        <v>17</v>
      </c>
    </row>
    <row r="10" spans="1:10">
      <c r="A10" t="s">
        <v>18</v>
      </c>
      <c r="C10" t="s">
        <v>19</v>
      </c>
      <c r="D10" t="s">
        <v>20</v>
      </c>
    </row>
    <row r="12" spans="1:10" ht="43.2">
      <c r="A12" t="s">
        <v>21</v>
      </c>
      <c r="B12" s="6" t="s">
        <v>22</v>
      </c>
    </row>
    <row r="13" spans="1:10">
      <c r="B13" t="s">
        <v>23</v>
      </c>
    </row>
    <row r="15" spans="1:10">
      <c r="B15" t="s">
        <v>24</v>
      </c>
    </row>
    <row r="21" spans="1:3">
      <c r="A21" t="s">
        <v>25</v>
      </c>
    </row>
    <row r="22" spans="1:3">
      <c r="A22" t="s">
        <v>26</v>
      </c>
    </row>
    <row r="27" spans="1:3">
      <c r="A27" t="s">
        <v>27</v>
      </c>
      <c r="C27" t="s">
        <v>28</v>
      </c>
    </row>
    <row r="28" spans="1:3">
      <c r="A28" t="s">
        <v>29</v>
      </c>
    </row>
    <row r="29" spans="1:3">
      <c r="A29" t="s">
        <v>30</v>
      </c>
    </row>
    <row r="48" spans="1:1">
      <c r="A48" t="s">
        <v>31</v>
      </c>
    </row>
    <row r="67" spans="1:1">
      <c r="A67" t="s">
        <v>32</v>
      </c>
    </row>
    <row r="92" spans="1:1">
      <c r="A92" t="s">
        <v>33</v>
      </c>
    </row>
    <row r="111" spans="1:1">
      <c r="A111" s="1" t="s">
        <v>34</v>
      </c>
    </row>
    <row r="114" spans="1:1">
      <c r="A114" t="s">
        <v>6</v>
      </c>
    </row>
  </sheetData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9DE8D79-EF31-4057-BDC9-DD056D9943A3}">
  <sheetPr codeName="Sheet2"/>
  <dimension ref="A1:U42"/>
  <sheetViews>
    <sheetView workbookViewId="0">
      <selection activeCell="J45" sqref="J45"/>
    </sheetView>
  </sheetViews>
  <sheetFormatPr defaultRowHeight="14.4"/>
  <cols>
    <col min="1" max="1" width="50.6640625" bestFit="1" customWidth="1"/>
    <col min="2" max="2" width="7.88671875" bestFit="1" customWidth="1"/>
    <col min="9" max="9" width="12.33203125" bestFit="1" customWidth="1"/>
    <col min="10" max="10" width="36.5546875" bestFit="1" customWidth="1"/>
    <col min="11" max="11" width="17.109375" bestFit="1" customWidth="1"/>
  </cols>
  <sheetData>
    <row r="1" spans="1:21" ht="43.2">
      <c r="A1" s="9" t="s">
        <v>35</v>
      </c>
      <c r="B1" s="9" t="s">
        <v>36</v>
      </c>
      <c r="C1" s="9" t="s">
        <v>37</v>
      </c>
      <c r="D1" s="10" t="s">
        <v>38</v>
      </c>
      <c r="E1" s="10" t="s">
        <v>39</v>
      </c>
      <c r="F1" s="10" t="s">
        <v>40</v>
      </c>
      <c r="G1" s="9" t="s">
        <v>41</v>
      </c>
      <c r="H1" s="22" t="s">
        <v>42</v>
      </c>
      <c r="I1" t="s">
        <v>43</v>
      </c>
      <c r="J1" s="41" t="s">
        <v>44</v>
      </c>
      <c r="K1" s="4" t="s">
        <v>45</v>
      </c>
    </row>
    <row r="2" spans="1:21">
      <c r="A2" s="9" t="s">
        <v>46</v>
      </c>
      <c r="B2" s="11">
        <v>16</v>
      </c>
      <c r="C2" s="11">
        <v>1</v>
      </c>
      <c r="D2" t="e">
        <f>D6*B2*C2/(B6*C6)</f>
        <v>#REF!</v>
      </c>
      <c r="E2" t="e">
        <f>D2/0.65</f>
        <v>#REF!</v>
      </c>
      <c r="F2" t="e">
        <f>D2/0.75</f>
        <v>#REF!</v>
      </c>
      <c r="G2" t="e">
        <f>D2/0.7</f>
        <v>#REF!</v>
      </c>
      <c r="I2" t="e">
        <f>G2*365/1000</f>
        <v>#REF!</v>
      </c>
      <c r="J2" t="e">
        <f>I2/0.854</f>
        <v>#REF!</v>
      </c>
    </row>
    <row r="3" spans="1:21">
      <c r="A3" s="9" t="s">
        <v>47</v>
      </c>
      <c r="B3" s="11">
        <v>18</v>
      </c>
      <c r="C3" s="11">
        <v>2</v>
      </c>
      <c r="D3" t="e">
        <f>D2*B3*C3/(B2*C2)</f>
        <v>#REF!</v>
      </c>
      <c r="H3" t="e">
        <f>D3/D2</f>
        <v>#REF!</v>
      </c>
      <c r="I3" t="e">
        <f>I2*H3</f>
        <v>#REF!</v>
      </c>
      <c r="J3" t="e">
        <f>H3*J2</f>
        <v>#REF!</v>
      </c>
      <c r="K3" t="e">
        <f>J2*2.5</f>
        <v>#REF!</v>
      </c>
    </row>
    <row r="4" spans="1:21">
      <c r="A4" s="20" t="s">
        <v>48</v>
      </c>
      <c r="B4" s="11">
        <v>162</v>
      </c>
      <c r="C4" s="11"/>
      <c r="D4" s="18"/>
      <c r="E4" s="18"/>
      <c r="F4" s="18"/>
      <c r="G4" s="18"/>
      <c r="H4" s="18"/>
      <c r="I4" s="18"/>
      <c r="J4" s="18"/>
      <c r="K4" s="18"/>
      <c r="L4" s="18"/>
      <c r="M4" s="18"/>
      <c r="N4" s="18"/>
      <c r="O4" s="18"/>
      <c r="P4" s="18"/>
      <c r="Q4" s="18"/>
      <c r="R4" s="18"/>
      <c r="S4" s="18"/>
      <c r="T4" s="18"/>
      <c r="U4" s="18"/>
    </row>
    <row r="5" spans="1:21">
      <c r="A5" s="9" t="s">
        <v>49</v>
      </c>
      <c r="B5" s="11">
        <v>44</v>
      </c>
      <c r="C5" s="11">
        <v>1</v>
      </c>
      <c r="D5" t="e">
        <f>D2*B5/B2</f>
        <v>#REF!</v>
      </c>
    </row>
    <row r="6" spans="1:21">
      <c r="A6" s="9" t="s">
        <v>50</v>
      </c>
      <c r="B6" s="12">
        <v>2</v>
      </c>
      <c r="C6" s="12">
        <v>4</v>
      </c>
      <c r="D6" t="e">
        <f>#REF!</f>
        <v>#REF!</v>
      </c>
      <c r="E6" t="e">
        <f>D6</f>
        <v>#REF!</v>
      </c>
      <c r="F6" t="e">
        <f>E6</f>
        <v>#REF!</v>
      </c>
      <c r="G6" t="e">
        <f>F6</f>
        <v>#REF!</v>
      </c>
      <c r="I6" s="5">
        <v>36500</v>
      </c>
      <c r="J6" t="s">
        <v>51</v>
      </c>
      <c r="K6" t="s">
        <v>52</v>
      </c>
    </row>
    <row r="7" spans="1:21" s="18" customFormat="1">
      <c r="A7" s="9" t="s">
        <v>53</v>
      </c>
      <c r="B7" s="11">
        <v>32</v>
      </c>
      <c r="C7" s="11"/>
    </row>
    <row r="8" spans="1:21">
      <c r="A8" s="23" t="s">
        <v>54</v>
      </c>
    </row>
    <row r="9" spans="1:21" ht="232.95" customHeight="1">
      <c r="A9" s="24" t="s">
        <v>55</v>
      </c>
    </row>
    <row r="10" spans="1:21" ht="13.95" customHeight="1">
      <c r="A10" s="7" t="s">
        <v>56</v>
      </c>
      <c r="B10" s="21" t="s">
        <v>57</v>
      </c>
    </row>
    <row r="11" spans="1:21">
      <c r="A11" s="7" t="s">
        <v>58</v>
      </c>
    </row>
    <row r="12" spans="1:21">
      <c r="A12" s="7" t="s">
        <v>59</v>
      </c>
    </row>
    <row r="13" spans="1:21" ht="28.8">
      <c r="A13" s="26" t="s">
        <v>60</v>
      </c>
    </row>
    <row r="17" spans="1:11">
      <c r="A17" s="21" t="s">
        <v>61</v>
      </c>
    </row>
    <row r="18" spans="1:11" ht="15" thickBot="1"/>
    <row r="19" spans="1:11" ht="15" thickBot="1">
      <c r="B19" s="31"/>
      <c r="C19" s="31" t="s">
        <v>62</v>
      </c>
      <c r="D19" s="32" t="s">
        <v>63</v>
      </c>
      <c r="E19" s="32" t="s">
        <v>64</v>
      </c>
    </row>
    <row r="20" spans="1:11" ht="15" thickBot="1">
      <c r="B20" s="33" t="s">
        <v>65</v>
      </c>
      <c r="C20" s="27">
        <v>77.099999999999994</v>
      </c>
      <c r="D20" s="27">
        <v>73</v>
      </c>
      <c r="E20" s="34">
        <v>65.8</v>
      </c>
    </row>
    <row r="21" spans="1:11" ht="15" thickBot="1">
      <c r="B21" s="33" t="s">
        <v>66</v>
      </c>
      <c r="C21" s="28">
        <v>6.6</v>
      </c>
      <c r="D21" s="28">
        <v>6.3</v>
      </c>
      <c r="E21" s="35">
        <v>3.8</v>
      </c>
    </row>
    <row r="22" spans="1:11" ht="15" thickBot="1">
      <c r="B22" s="33" t="s">
        <v>67</v>
      </c>
      <c r="C22" s="27">
        <v>3.1</v>
      </c>
      <c r="D22" s="27">
        <v>3.7</v>
      </c>
      <c r="E22" s="34">
        <v>1.7</v>
      </c>
    </row>
    <row r="23" spans="1:11" ht="15" thickBot="1">
      <c r="B23" s="33" t="s">
        <v>68</v>
      </c>
      <c r="C23" s="28">
        <v>2</v>
      </c>
      <c r="D23" s="28">
        <v>1.4</v>
      </c>
      <c r="E23" s="35">
        <v>0.8</v>
      </c>
    </row>
    <row r="24" spans="1:11" ht="15" thickBot="1">
      <c r="B24" s="33" t="s">
        <v>69</v>
      </c>
      <c r="C24" s="27">
        <v>3</v>
      </c>
      <c r="D24" s="27">
        <v>0.6</v>
      </c>
      <c r="E24" s="34">
        <v>0.5</v>
      </c>
    </row>
    <row r="25" spans="1:11" ht="15" thickBot="1">
      <c r="B25" s="33" t="s">
        <v>70</v>
      </c>
      <c r="C25" s="29">
        <v>3.3</v>
      </c>
      <c r="D25" s="28">
        <v>0</v>
      </c>
      <c r="E25" s="35">
        <v>0</v>
      </c>
    </row>
    <row r="26" spans="1:11" ht="15" thickBot="1">
      <c r="B26" s="33" t="s">
        <v>71</v>
      </c>
      <c r="C26" s="27">
        <v>1.7</v>
      </c>
      <c r="D26" s="27">
        <v>0</v>
      </c>
      <c r="E26" s="34">
        <v>0</v>
      </c>
    </row>
    <row r="27" spans="1:11" ht="15" thickBot="1">
      <c r="B27" s="33" t="s">
        <v>72</v>
      </c>
      <c r="C27" s="28">
        <v>3.2</v>
      </c>
      <c r="D27" s="30">
        <v>14.7</v>
      </c>
      <c r="E27" s="36">
        <v>25.6</v>
      </c>
    </row>
    <row r="28" spans="1:11" ht="15" thickBot="1">
      <c r="B28" s="37" t="s">
        <v>73</v>
      </c>
      <c r="C28" s="38">
        <v>0</v>
      </c>
      <c r="D28" s="38">
        <v>0.5</v>
      </c>
      <c r="E28" s="39">
        <v>1.8</v>
      </c>
    </row>
    <row r="30" spans="1:11">
      <c r="J30" t="s">
        <v>74</v>
      </c>
      <c r="K30" t="s">
        <v>43</v>
      </c>
    </row>
    <row r="31" spans="1:11">
      <c r="A31" t="s">
        <v>75</v>
      </c>
      <c r="J31" t="s">
        <v>76</v>
      </c>
      <c r="K31">
        <v>1353920</v>
      </c>
    </row>
    <row r="32" spans="1:11">
      <c r="A32" t="s">
        <v>77</v>
      </c>
      <c r="B32">
        <v>170371</v>
      </c>
      <c r="J32" t="s">
        <v>78</v>
      </c>
      <c r="K32">
        <f>0.85*K33</f>
        <v>193711.6</v>
      </c>
    </row>
    <row r="33" spans="1:11">
      <c r="A33" t="s">
        <v>79</v>
      </c>
      <c r="B33">
        <v>57354.400000000001</v>
      </c>
      <c r="C33">
        <f>B33/0.854</f>
        <v>67159.718969555033</v>
      </c>
      <c r="J33" t="s">
        <v>80</v>
      </c>
      <c r="K33">
        <v>227896</v>
      </c>
    </row>
    <row r="34" spans="1:11">
      <c r="J34" t="s">
        <v>81</v>
      </c>
      <c r="K34">
        <v>129341</v>
      </c>
    </row>
    <row r="35" spans="1:11">
      <c r="A35" t="s">
        <v>82</v>
      </c>
      <c r="B35">
        <f>B32/B33</f>
        <v>2.9704957248266917</v>
      </c>
      <c r="C35">
        <f>B32/C33</f>
        <v>2.5368033490019948</v>
      </c>
      <c r="J35" t="s">
        <v>83</v>
      </c>
      <c r="K35">
        <f>K31/K33</f>
        <v>5.9409555235721561</v>
      </c>
    </row>
    <row r="36" spans="1:11">
      <c r="A36" t="s">
        <v>84</v>
      </c>
    </row>
    <row r="37" spans="1:11">
      <c r="J37" t="s">
        <v>85</v>
      </c>
      <c r="K37">
        <f>K34/K33</f>
        <v>0.56754396742373714</v>
      </c>
    </row>
    <row r="39" spans="1:11">
      <c r="J39" t="s">
        <v>86</v>
      </c>
      <c r="K39">
        <v>36500</v>
      </c>
    </row>
    <row r="40" spans="1:11">
      <c r="J40" t="s">
        <v>80</v>
      </c>
      <c r="K40">
        <f>K39/K37</f>
        <v>64312.197988263586</v>
      </c>
    </row>
    <row r="41" spans="1:11">
      <c r="J41" t="s">
        <v>76</v>
      </c>
      <c r="K41">
        <f>K35*K40</f>
        <v>382075.90787144064</v>
      </c>
    </row>
    <row r="42" spans="1:11">
      <c r="J42" t="s">
        <v>87</v>
      </c>
      <c r="K42">
        <v>36229.9</v>
      </c>
    </row>
  </sheetData>
  <hyperlinks>
    <hyperlink ref="B10" r:id="rId1" xr:uid="{01FFF98B-1423-4874-8B79-BFF4889EC51B}"/>
    <hyperlink ref="A8" r:id="rId2" xr:uid="{18030AC2-921B-4BAA-A07A-EBB5B4A7DEA8}"/>
    <hyperlink ref="A17" r:id="rId3" display="https://www.e-education.psu.edu/fsc432/content/natural-gas-composition-and-specifications" xr:uid="{40740F6C-A6F6-437A-8A67-4C4C6FE902A5}"/>
  </hyperlinks>
  <pageMargins left="0.7" right="0.7" top="0.75" bottom="0.75" header="0.3" footer="0.3"/>
  <pageSetup orientation="portrait" r:id="rId4"/>
  <drawing r:id="rId5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BCFA150-AAED-4609-8588-9E6DAE6680EB}">
  <sheetPr codeName="Sheet3"/>
  <dimension ref="A1:O56"/>
  <sheetViews>
    <sheetView topLeftCell="A22" workbookViewId="0">
      <selection activeCell="E37" sqref="E37"/>
    </sheetView>
  </sheetViews>
  <sheetFormatPr defaultRowHeight="14.4"/>
  <cols>
    <col min="1" max="1" width="18.6640625" customWidth="1"/>
    <col min="2" max="2" width="17.6640625" customWidth="1"/>
    <col min="5" max="5" width="25.5546875" bestFit="1" customWidth="1"/>
  </cols>
  <sheetData>
    <row r="1" spans="1:15" ht="63.6" customHeight="1">
      <c r="A1" s="9" t="s">
        <v>35</v>
      </c>
      <c r="B1" s="9" t="s">
        <v>36</v>
      </c>
      <c r="C1" s="10" t="s">
        <v>37</v>
      </c>
      <c r="D1" s="10" t="s">
        <v>38</v>
      </c>
      <c r="E1" s="10" t="s">
        <v>88</v>
      </c>
      <c r="F1" s="9" t="s">
        <v>89</v>
      </c>
    </row>
    <row r="2" spans="1:15">
      <c r="A2" s="9" t="s">
        <v>46</v>
      </c>
      <c r="B2" s="11">
        <v>16</v>
      </c>
      <c r="C2" s="11"/>
      <c r="D2" s="18"/>
      <c r="E2" s="18"/>
      <c r="F2" s="18"/>
      <c r="G2" s="18"/>
      <c r="H2" s="18"/>
      <c r="I2" s="18"/>
      <c r="J2" s="18"/>
      <c r="K2" s="18"/>
      <c r="L2" s="18"/>
      <c r="M2" s="18"/>
      <c r="N2" s="18"/>
      <c r="O2" s="18"/>
    </row>
    <row r="3" spans="1:15">
      <c r="A3" s="9" t="s">
        <v>47</v>
      </c>
      <c r="B3" s="11">
        <v>18</v>
      </c>
      <c r="C3" s="11">
        <v>7</v>
      </c>
      <c r="D3">
        <f>D4*B3*C3/B4</f>
        <v>525000</v>
      </c>
      <c r="E3">
        <f>D3/0.1992</f>
        <v>2635542.168674699</v>
      </c>
      <c r="F3">
        <f>D3/D4</f>
        <v>0.77777777777777779</v>
      </c>
    </row>
    <row r="4" spans="1:15">
      <c r="A4" s="9" t="s">
        <v>48</v>
      </c>
      <c r="B4" s="11">
        <v>162</v>
      </c>
      <c r="C4" s="11">
        <v>1</v>
      </c>
      <c r="D4">
        <f>D6*B4*C4/(B6*C6)</f>
        <v>675000</v>
      </c>
      <c r="E4">
        <f>D4/0.1992</f>
        <v>3388554.2168674702</v>
      </c>
    </row>
    <row r="5" spans="1:15">
      <c r="A5" s="9" t="s">
        <v>49</v>
      </c>
      <c r="B5" s="11">
        <v>44</v>
      </c>
      <c r="C5" s="11">
        <v>6</v>
      </c>
    </row>
    <row r="6" spans="1:15">
      <c r="A6" s="9" t="s">
        <v>50</v>
      </c>
      <c r="B6" s="12">
        <v>2</v>
      </c>
      <c r="C6" s="12">
        <v>12</v>
      </c>
      <c r="D6">
        <v>100000</v>
      </c>
      <c r="E6">
        <f>D6</f>
        <v>100000</v>
      </c>
    </row>
    <row r="7" spans="1:15">
      <c r="A7" s="9" t="s">
        <v>53</v>
      </c>
      <c r="B7" s="11">
        <v>32</v>
      </c>
      <c r="C7" s="11"/>
      <c r="D7" s="18"/>
      <c r="E7" s="18"/>
      <c r="F7" s="18"/>
      <c r="G7" s="18"/>
      <c r="H7" s="18"/>
      <c r="I7" s="18"/>
      <c r="J7" s="18"/>
      <c r="K7" s="18"/>
      <c r="L7" s="18"/>
      <c r="M7" s="18"/>
      <c r="N7" s="18"/>
      <c r="O7" s="18"/>
    </row>
    <row r="19" spans="1:9">
      <c r="A19" s="14" t="s">
        <v>55</v>
      </c>
      <c r="B19" s="309" t="s">
        <v>90</v>
      </c>
      <c r="C19" s="309"/>
      <c r="D19" s="309"/>
      <c r="E19" s="309"/>
      <c r="F19" s="309"/>
      <c r="G19" s="309"/>
      <c r="H19" s="309"/>
      <c r="I19" s="309"/>
    </row>
    <row r="20" spans="1:9">
      <c r="B20" t="s">
        <v>91</v>
      </c>
    </row>
    <row r="21" spans="1:9">
      <c r="A21" t="s">
        <v>92</v>
      </c>
      <c r="B21" s="309" t="s">
        <v>93</v>
      </c>
      <c r="C21" s="309"/>
      <c r="D21" s="309"/>
      <c r="E21" s="309"/>
      <c r="F21" s="309"/>
      <c r="G21" s="309"/>
      <c r="H21" s="309"/>
      <c r="I21" s="309"/>
    </row>
    <row r="22" spans="1:9">
      <c r="A22" t="s">
        <v>94</v>
      </c>
      <c r="B22" t="s">
        <v>95</v>
      </c>
    </row>
    <row r="23" spans="1:9">
      <c r="A23" t="s">
        <v>96</v>
      </c>
      <c r="B23" t="s">
        <v>97</v>
      </c>
      <c r="D23" t="s">
        <v>98</v>
      </c>
    </row>
    <row r="24" spans="1:9">
      <c r="A24" t="s">
        <v>99</v>
      </c>
    </row>
    <row r="25" spans="1:9">
      <c r="B25" t="s">
        <v>100</v>
      </c>
    </row>
    <row r="29" spans="1:9">
      <c r="A29" t="s">
        <v>101</v>
      </c>
      <c r="B29" s="40" t="s">
        <v>102</v>
      </c>
      <c r="C29" s="40"/>
      <c r="D29" s="40"/>
      <c r="E29" s="40"/>
      <c r="F29" s="40"/>
      <c r="G29" s="40"/>
    </row>
    <row r="30" spans="1:9">
      <c r="A30" t="s">
        <v>103</v>
      </c>
      <c r="B30" s="40" t="s">
        <v>104</v>
      </c>
      <c r="C30" s="40"/>
      <c r="D30" s="40"/>
      <c r="E30" s="40"/>
      <c r="F30" s="40"/>
      <c r="G30" s="40"/>
    </row>
    <row r="31" spans="1:9">
      <c r="A31" t="s">
        <v>807</v>
      </c>
      <c r="B31" t="s">
        <v>806</v>
      </c>
      <c r="C31" t="s">
        <v>105</v>
      </c>
      <c r="E31" t="s">
        <v>106</v>
      </c>
    </row>
    <row r="32" spans="1:9">
      <c r="A32" t="s">
        <v>107</v>
      </c>
      <c r="B32">
        <v>22.82</v>
      </c>
      <c r="C32">
        <f>B32/100</f>
        <v>0.22820000000000001</v>
      </c>
    </row>
    <row r="33" spans="1:14">
      <c r="A33" t="s">
        <v>108</v>
      </c>
      <c r="B33">
        <v>70.75</v>
      </c>
      <c r="C33">
        <f t="shared" ref="C33:C43" si="0">B33/100</f>
        <v>0.70750000000000002</v>
      </c>
    </row>
    <row r="34" spans="1:14">
      <c r="A34" t="s">
        <v>109</v>
      </c>
      <c r="B34">
        <v>5.28</v>
      </c>
      <c r="C34" s="16">
        <f t="shared" si="0"/>
        <v>5.28E-2</v>
      </c>
    </row>
    <row r="35" spans="1:14">
      <c r="A35" t="s">
        <v>110</v>
      </c>
      <c r="B35">
        <v>1.1499999999999999</v>
      </c>
      <c r="C35">
        <f t="shared" si="0"/>
        <v>1.15E-2</v>
      </c>
    </row>
    <row r="36" spans="1:14">
      <c r="A36" t="s">
        <v>808</v>
      </c>
      <c r="B36" t="s">
        <v>806</v>
      </c>
      <c r="C36" t="e">
        <f t="shared" si="0"/>
        <v>#VALUE!</v>
      </c>
    </row>
    <row r="37" spans="1:14">
      <c r="A37" t="s">
        <v>111</v>
      </c>
      <c r="B37">
        <v>53.46</v>
      </c>
      <c r="C37">
        <f t="shared" si="0"/>
        <v>0.53459999999999996</v>
      </c>
      <c r="E37">
        <f>(1-$C$34)*C37</f>
        <v>0.50637312000000001</v>
      </c>
    </row>
    <row r="38" spans="1:14">
      <c r="A38" t="s">
        <v>112</v>
      </c>
      <c r="B38">
        <v>39.15</v>
      </c>
      <c r="C38">
        <f t="shared" si="0"/>
        <v>0.39149999999999996</v>
      </c>
      <c r="E38">
        <f t="shared" ref="E38:E43" si="1">(1-$C$34)*C38</f>
        <v>0.37082879999999996</v>
      </c>
    </row>
    <row r="39" spans="1:14">
      <c r="A39" t="s">
        <v>113</v>
      </c>
      <c r="B39">
        <v>5.9980000000000002</v>
      </c>
      <c r="C39">
        <f t="shared" si="0"/>
        <v>5.9980000000000006E-2</v>
      </c>
      <c r="E39">
        <f t="shared" si="1"/>
        <v>5.6813056000000008E-2</v>
      </c>
      <c r="M39" t="s">
        <v>114</v>
      </c>
      <c r="N39" t="s">
        <v>115</v>
      </c>
    </row>
    <row r="40" spans="1:14">
      <c r="A40" t="s">
        <v>116</v>
      </c>
      <c r="B40">
        <v>2E-3</v>
      </c>
      <c r="C40">
        <f t="shared" si="0"/>
        <v>2.0000000000000002E-5</v>
      </c>
      <c r="E40">
        <f t="shared" si="1"/>
        <v>1.8944000000000004E-5</v>
      </c>
    </row>
    <row r="41" spans="1:14">
      <c r="A41" t="s">
        <v>117</v>
      </c>
      <c r="B41">
        <v>0.24</v>
      </c>
      <c r="C41">
        <f t="shared" si="0"/>
        <v>2.3999999999999998E-3</v>
      </c>
      <c r="E41">
        <f t="shared" si="1"/>
        <v>2.2732799999999999E-3</v>
      </c>
    </row>
    <row r="42" spans="1:14">
      <c r="A42" t="s">
        <v>110</v>
      </c>
      <c r="B42">
        <v>1.1499999999999999</v>
      </c>
      <c r="C42">
        <f t="shared" si="0"/>
        <v>1.15E-2</v>
      </c>
      <c r="E42">
        <f t="shared" si="1"/>
        <v>1.0892800000000001E-2</v>
      </c>
    </row>
    <row r="43" spans="1:14">
      <c r="A43" t="s">
        <v>118</v>
      </c>
      <c r="B43">
        <v>0</v>
      </c>
      <c r="C43">
        <f t="shared" si="0"/>
        <v>0</v>
      </c>
      <c r="E43">
        <f t="shared" si="1"/>
        <v>0</v>
      </c>
    </row>
    <row r="44" spans="1:14">
      <c r="A44" t="s">
        <v>119</v>
      </c>
      <c r="E44">
        <v>0</v>
      </c>
    </row>
    <row r="47" spans="1:14">
      <c r="A47" t="s">
        <v>120</v>
      </c>
      <c r="B47">
        <v>100000</v>
      </c>
    </row>
    <row r="48" spans="1:14">
      <c r="A48" t="s">
        <v>121</v>
      </c>
      <c r="B48">
        <f>100000/24</f>
        <v>4166.666666666667</v>
      </c>
    </row>
    <row r="50" spans="1:10">
      <c r="A50" t="s">
        <v>122</v>
      </c>
    </row>
    <row r="51" spans="1:10">
      <c r="A51" t="s">
        <v>123</v>
      </c>
      <c r="C51" t="s">
        <v>76</v>
      </c>
      <c r="F51" t="s">
        <v>89</v>
      </c>
      <c r="G51">
        <f>D53/B53</f>
        <v>1.8</v>
      </c>
      <c r="I51" t="s">
        <v>124</v>
      </c>
    </row>
    <row r="52" spans="1:10">
      <c r="A52" t="s">
        <v>121</v>
      </c>
      <c r="B52">
        <f>B53/24</f>
        <v>33333.333333333336</v>
      </c>
      <c r="D52">
        <f>D53/24</f>
        <v>60000</v>
      </c>
      <c r="J52">
        <f>J53/24</f>
        <v>4388.083333333333</v>
      </c>
    </row>
    <row r="53" spans="1:10">
      <c r="A53" t="s">
        <v>125</v>
      </c>
      <c r="B53">
        <v>800000</v>
      </c>
      <c r="D53">
        <f>1.8*B53</f>
        <v>1440000</v>
      </c>
      <c r="J53">
        <f>105314</f>
        <v>105314</v>
      </c>
    </row>
    <row r="56" spans="1:10">
      <c r="A56" t="s">
        <v>126</v>
      </c>
      <c r="B56">
        <f>J53/B53</f>
        <v>0.1316425</v>
      </c>
    </row>
  </sheetData>
  <mergeCells count="2">
    <mergeCell ref="B19:I19"/>
    <mergeCell ref="B21:I21"/>
  </mergeCells>
  <pageMargins left="0.7" right="0.7" top="0.75" bottom="0.75" header="0.3" footer="0.3"/>
  <drawing r:id="rId1"/>
  <tableParts count="2">
    <tablePart r:id="rId2"/>
    <tablePart r:id="rId3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1552C91-46A7-4ED4-A3C3-DEE4EF1AA62C}">
  <sheetPr codeName="Sheet4"/>
  <dimension ref="A1:J12"/>
  <sheetViews>
    <sheetView workbookViewId="0">
      <selection activeCell="B12" sqref="B12"/>
    </sheetView>
  </sheetViews>
  <sheetFormatPr defaultRowHeight="14.4"/>
  <cols>
    <col min="1" max="1" width="17.6640625" bestFit="1" customWidth="1"/>
    <col min="2" max="2" width="17.6640625" customWidth="1"/>
    <col min="4" max="4" width="15.88671875" customWidth="1"/>
    <col min="5" max="5" width="10" bestFit="1" customWidth="1"/>
  </cols>
  <sheetData>
    <row r="1" spans="1:10" ht="25.95" customHeight="1">
      <c r="A1" s="9" t="s">
        <v>35</v>
      </c>
      <c r="B1" s="9" t="s">
        <v>36</v>
      </c>
      <c r="C1" s="9" t="s">
        <v>37</v>
      </c>
      <c r="D1" s="10" t="s">
        <v>127</v>
      </c>
      <c r="E1" s="25" t="s">
        <v>128</v>
      </c>
      <c r="F1" s="25" t="s">
        <v>43</v>
      </c>
    </row>
    <row r="2" spans="1:10">
      <c r="A2" s="9" t="s">
        <v>46</v>
      </c>
      <c r="B2" s="11">
        <v>16</v>
      </c>
      <c r="C2" s="11"/>
    </row>
    <row r="3" spans="1:10">
      <c r="A3" s="9" t="s">
        <v>47</v>
      </c>
      <c r="B3" s="11">
        <v>18</v>
      </c>
      <c r="C3" s="11">
        <v>2</v>
      </c>
      <c r="D3">
        <f>D6*B3*C3/(B6*C6)</f>
        <v>900000</v>
      </c>
      <c r="E3">
        <f>D3*365</f>
        <v>328500000</v>
      </c>
      <c r="F3">
        <f>E3/1000</f>
        <v>328500</v>
      </c>
    </row>
    <row r="4" spans="1:10">
      <c r="A4" s="9" t="s">
        <v>48</v>
      </c>
      <c r="B4" s="11">
        <v>162</v>
      </c>
      <c r="C4" s="11"/>
      <c r="F4">
        <f t="shared" ref="F4:F7" si="0">E4/1000</f>
        <v>0</v>
      </c>
      <c r="J4">
        <f>100000/24</f>
        <v>4166.666666666667</v>
      </c>
    </row>
    <row r="5" spans="1:10">
      <c r="A5" s="9" t="s">
        <v>49</v>
      </c>
      <c r="B5" s="11">
        <v>44</v>
      </c>
      <c r="C5" s="11"/>
      <c r="F5">
        <f t="shared" si="0"/>
        <v>0</v>
      </c>
    </row>
    <row r="6" spans="1:10">
      <c r="A6" s="9" t="s">
        <v>50</v>
      </c>
      <c r="B6" s="12">
        <v>2</v>
      </c>
      <c r="C6" s="12">
        <v>2</v>
      </c>
      <c r="D6">
        <v>100000</v>
      </c>
      <c r="E6">
        <f>365*D6</f>
        <v>36500000</v>
      </c>
      <c r="F6">
        <f t="shared" si="0"/>
        <v>36500</v>
      </c>
    </row>
    <row r="7" spans="1:10">
      <c r="A7" s="9" t="s">
        <v>53</v>
      </c>
      <c r="B7" s="11">
        <v>32</v>
      </c>
      <c r="C7" s="11">
        <v>1</v>
      </c>
      <c r="D7">
        <f>D3*B7/(B3*C3)</f>
        <v>800000</v>
      </c>
      <c r="F7">
        <f t="shared" si="0"/>
        <v>0</v>
      </c>
    </row>
    <row r="10" spans="1:10" ht="28.8">
      <c r="A10" s="26" t="s">
        <v>129</v>
      </c>
      <c r="B10">
        <f>F6/F3</f>
        <v>0.1111111111111111</v>
      </c>
    </row>
    <row r="11" spans="1:10" ht="43.2">
      <c r="A11" s="26" t="s">
        <v>130</v>
      </c>
      <c r="B11">
        <f>3630.137/34549.683</f>
        <v>0.10507005230699223</v>
      </c>
    </row>
    <row r="12" spans="1:10">
      <c r="A12" t="s">
        <v>131</v>
      </c>
    </row>
  </sheetData>
  <pageMargins left="0.7" right="0.7" top="0.75" bottom="0.75" header="0.3" footer="0.3"/>
  <pageSetup orientation="portrait" horizontalDpi="300" verticalDpi="30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C738BE9-CAF7-474B-B1E5-9AA1B3CA9D20}">
  <sheetPr codeName="Sheet5"/>
  <dimension ref="A1:S39"/>
  <sheetViews>
    <sheetView topLeftCell="K6" workbookViewId="0">
      <selection activeCell="L6" sqref="L6"/>
    </sheetView>
  </sheetViews>
  <sheetFormatPr defaultRowHeight="14.4"/>
  <cols>
    <col min="1" max="1" width="37.6640625" bestFit="1" customWidth="1"/>
    <col min="2" max="2" width="22" bestFit="1" customWidth="1"/>
    <col min="3" max="3" width="17.33203125" bestFit="1" customWidth="1"/>
    <col min="4" max="4" width="18" customWidth="1"/>
    <col min="5" max="5" width="20.5546875" customWidth="1"/>
    <col min="6" max="6" width="19.6640625" bestFit="1" customWidth="1"/>
    <col min="7" max="7" width="24.33203125" bestFit="1" customWidth="1"/>
    <col min="8" max="8" width="13.5546875" bestFit="1" customWidth="1"/>
    <col min="9" max="9" width="12" bestFit="1" customWidth="1"/>
    <col min="10" max="10" width="47.33203125" bestFit="1" customWidth="1"/>
    <col min="11" max="11" width="13.5546875" bestFit="1" customWidth="1"/>
    <col min="12" max="12" width="9.88671875" bestFit="1" customWidth="1"/>
    <col min="13" max="13" width="11.6640625" bestFit="1" customWidth="1"/>
    <col min="14" max="14" width="13.88671875" bestFit="1" customWidth="1"/>
    <col min="18" max="18" width="27.88671875" bestFit="1" customWidth="1"/>
    <col min="19" max="19" width="11" bestFit="1" customWidth="1"/>
  </cols>
  <sheetData>
    <row r="1" spans="1:19" ht="15" thickBot="1">
      <c r="A1" s="310" t="s">
        <v>132</v>
      </c>
      <c r="B1" s="311"/>
      <c r="C1" s="311"/>
      <c r="D1" s="311"/>
      <c r="E1" s="312"/>
      <c r="G1" t="s">
        <v>133</v>
      </c>
      <c r="H1" t="s">
        <v>134</v>
      </c>
      <c r="I1" t="s">
        <v>135</v>
      </c>
      <c r="J1" t="s">
        <v>136</v>
      </c>
      <c r="K1" t="s">
        <v>134</v>
      </c>
      <c r="L1" t="s">
        <v>135</v>
      </c>
      <c r="M1" t="s">
        <v>137</v>
      </c>
      <c r="O1" t="s">
        <v>138</v>
      </c>
      <c r="S1" t="s">
        <v>139</v>
      </c>
    </row>
    <row r="2" spans="1:19">
      <c r="A2" s="8" t="s">
        <v>140</v>
      </c>
      <c r="B2" s="8" t="s">
        <v>141</v>
      </c>
      <c r="C2" s="8" t="s">
        <v>142</v>
      </c>
      <c r="D2" s="8" t="s">
        <v>143</v>
      </c>
      <c r="E2" s="8" t="s">
        <v>144</v>
      </c>
      <c r="G2" t="s">
        <v>145</v>
      </c>
      <c r="H2">
        <f>I2*2.2</f>
        <v>66000</v>
      </c>
      <c r="I2">
        <v>30000</v>
      </c>
      <c r="J2" t="s">
        <v>50</v>
      </c>
      <c r="K2">
        <f>L2*2.2</f>
        <v>9167.4000000000015</v>
      </c>
      <c r="L2">
        <f>4167</f>
        <v>4167</v>
      </c>
      <c r="M2">
        <v>2</v>
      </c>
      <c r="N2">
        <f>L2*8760*M2</f>
        <v>73005840</v>
      </c>
      <c r="O2">
        <f>N2/10^6</f>
        <v>73.005840000000006</v>
      </c>
    </row>
    <row r="3" spans="1:19">
      <c r="A3" s="8" t="s">
        <v>146</v>
      </c>
      <c r="B3" s="42">
        <v>47640000</v>
      </c>
      <c r="E3" t="s">
        <v>147</v>
      </c>
      <c r="G3" t="s">
        <v>148</v>
      </c>
      <c r="H3">
        <f>I3*2.2</f>
        <v>33000</v>
      </c>
      <c r="I3">
        <v>15000</v>
      </c>
      <c r="S3" t="s">
        <v>149</v>
      </c>
    </row>
    <row r="4" spans="1:19">
      <c r="A4" s="8" t="s">
        <v>150</v>
      </c>
      <c r="B4" s="42">
        <v>69190000</v>
      </c>
      <c r="E4" t="s">
        <v>147</v>
      </c>
      <c r="J4" t="s">
        <v>151</v>
      </c>
      <c r="L4">
        <v>23833</v>
      </c>
      <c r="M4">
        <v>8.5000000000000006E-2</v>
      </c>
      <c r="N4" s="115">
        <f>(L4+L5)*8760*M4</f>
        <v>37159064.766631201</v>
      </c>
      <c r="O4">
        <f>N4/10^6</f>
        <v>37.159064766631204</v>
      </c>
      <c r="Q4" t="s">
        <v>152</v>
      </c>
    </row>
    <row r="5" spans="1:19">
      <c r="A5" s="8" t="s">
        <v>153</v>
      </c>
      <c r="C5" s="42">
        <v>25686000</v>
      </c>
      <c r="E5" t="s">
        <v>154</v>
      </c>
      <c r="G5" t="s">
        <v>728</v>
      </c>
      <c r="H5">
        <f>H2+H3</f>
        <v>99000</v>
      </c>
      <c r="J5" t="s">
        <v>155</v>
      </c>
      <c r="L5" s="115">
        <f>0.9*('CO2 factors'!L28 + 'CO2 factors'!I29/8760)</f>
        <v>26071.733772</v>
      </c>
    </row>
    <row r="6" spans="1:19">
      <c r="A6" s="8" t="s">
        <v>156</v>
      </c>
      <c r="C6" s="42">
        <v>84081000</v>
      </c>
      <c r="E6" t="s">
        <v>154</v>
      </c>
      <c r="G6" t="s">
        <v>135</v>
      </c>
      <c r="H6">
        <f>I2+I3</f>
        <v>45000</v>
      </c>
      <c r="J6" t="s">
        <v>157</v>
      </c>
      <c r="L6" s="119">
        <f>SUM(L4:L5)</f>
        <v>49904.733772</v>
      </c>
      <c r="O6" s="5">
        <f>SUM(O2:O4)</f>
        <v>110.16490476663121</v>
      </c>
    </row>
    <row r="7" spans="1:19">
      <c r="A7" s="8" t="s">
        <v>158</v>
      </c>
      <c r="D7">
        <v>1647.35</v>
      </c>
      <c r="E7" t="s">
        <v>159</v>
      </c>
    </row>
    <row r="8" spans="1:19">
      <c r="A8" s="8" t="s">
        <v>160</v>
      </c>
      <c r="B8" s="42">
        <v>274600000</v>
      </c>
      <c r="E8" t="s">
        <v>161</v>
      </c>
    </row>
    <row r="9" spans="1:19">
      <c r="A9" s="8" t="s">
        <v>162</v>
      </c>
      <c r="C9" s="42">
        <v>156800000</v>
      </c>
      <c r="E9" t="s">
        <v>154</v>
      </c>
    </row>
    <row r="10" spans="1:19">
      <c r="A10" s="8" t="s">
        <v>163</v>
      </c>
      <c r="D10">
        <v>47371.3</v>
      </c>
      <c r="E10" t="s">
        <v>159</v>
      </c>
      <c r="H10" t="s">
        <v>164</v>
      </c>
      <c r="I10" t="s">
        <v>165</v>
      </c>
    </row>
    <row r="11" spans="1:19">
      <c r="A11" s="8" t="s">
        <v>166</v>
      </c>
      <c r="D11">
        <v>294.66500000000002</v>
      </c>
      <c r="E11" t="s">
        <v>159</v>
      </c>
      <c r="G11" t="s">
        <v>167</v>
      </c>
      <c r="H11" s="42">
        <f>SUM(Table2[Heating  (Btu/hr)])*8760*10^-6</f>
        <v>3428926.8</v>
      </c>
      <c r="I11" s="42">
        <f>H11*293.07</f>
        <v>1004915577.2759999</v>
      </c>
    </row>
    <row r="12" spans="1:19" ht="15" thickBot="1">
      <c r="A12" s="8"/>
      <c r="D12">
        <f>SUM(Table2[Electrical (hp)])</f>
        <v>49313.315000000002</v>
      </c>
      <c r="G12" t="s">
        <v>168</v>
      </c>
      <c r="H12">
        <f>SUM(Table2[Electrical (hp)])*0.746*8760</f>
        <v>322260540.99240005</v>
      </c>
      <c r="J12" t="s">
        <v>169</v>
      </c>
      <c r="R12" s="14"/>
      <c r="S12" s="14"/>
    </row>
    <row r="13" spans="1:19">
      <c r="A13" s="313" t="s">
        <v>170</v>
      </c>
      <c r="B13" s="314"/>
      <c r="C13" s="314"/>
      <c r="D13" s="314"/>
      <c r="E13" s="315"/>
      <c r="G13" t="s">
        <v>171</v>
      </c>
      <c r="H13">
        <f>SUM(Table2[Cooling (Btu/hr)])*8760*10^-6</f>
        <v>2335126.92</v>
      </c>
      <c r="I13">
        <f>H13*293.07</f>
        <v>684355646.44439995</v>
      </c>
      <c r="R13" s="187" t="s">
        <v>172</v>
      </c>
      <c r="S13" s="14">
        <f>H3*379.3*8760/16</f>
        <v>6853002750</v>
      </c>
    </row>
    <row r="14" spans="1:19">
      <c r="A14" t="s">
        <v>117</v>
      </c>
      <c r="B14" t="s">
        <v>814</v>
      </c>
      <c r="C14" t="s">
        <v>173</v>
      </c>
      <c r="D14" t="s">
        <v>174</v>
      </c>
      <c r="E14" t="s">
        <v>175</v>
      </c>
      <c r="R14" s="14" t="s">
        <v>176</v>
      </c>
      <c r="S14" s="14">
        <f>2282*H2*8760/1000</f>
        <v>1319361120</v>
      </c>
    </row>
    <row r="15" spans="1:19">
      <c r="A15">
        <v>4</v>
      </c>
      <c r="B15" s="19">
        <f t="shared" ref="B15:B23" si="0">L2</f>
        <v>4167</v>
      </c>
      <c r="C15" s="19">
        <f>25000*Table7[[#This Row],[N]]*(Table7[[#This Row],[Product rate (kg/hr)]]*8760*0.001)^0.65/10^6</f>
        <v>92.366171808598992</v>
      </c>
      <c r="D15" s="19">
        <f>Table7[[#This Row],[FCI 2022 in MM$]]*(G25/F25)</f>
        <v>90.419237794986358</v>
      </c>
      <c r="G15" t="s">
        <v>177</v>
      </c>
      <c r="R15" s="14" t="s">
        <v>178</v>
      </c>
      <c r="S15" s="14">
        <f>SUM(S13:S14)</f>
        <v>8172363870</v>
      </c>
    </row>
    <row r="16" spans="1:19">
      <c r="B16" s="53">
        <f t="shared" si="0"/>
        <v>0</v>
      </c>
      <c r="C16" s="19">
        <f>25000*Table7[[#This Row],[N]]*(Table7[[#This Row],[Product rate (kg/hr)]]*8760*0.001)^0.65/10^6</f>
        <v>0</v>
      </c>
      <c r="D16" t="e">
        <f>Table7[[#This Row],[FCI 2022 in MM$]]*(G26/F26)</f>
        <v>#DIV/0!</v>
      </c>
      <c r="R16" s="14"/>
      <c r="S16" s="14"/>
    </row>
    <row r="17" spans="1:19">
      <c r="B17" s="19">
        <f t="shared" si="0"/>
        <v>23833</v>
      </c>
      <c r="C17" s="19">
        <f>25000*Table7[[#This Row],[N]]*(Table7[[#This Row],[Product rate (kg/hr)]]*8760*0.001)^0.65/10^6</f>
        <v>0</v>
      </c>
      <c r="D17" t="e">
        <f>Table7[[#This Row],[FCI 2022 in MM$]]*(G27/F27)</f>
        <v>#VALUE!</v>
      </c>
      <c r="R17" s="14" t="s">
        <v>759</v>
      </c>
      <c r="S17" s="14">
        <f>S15/1000</f>
        <v>8172363.8700000001</v>
      </c>
    </row>
    <row r="18" spans="1:19">
      <c r="B18" s="19">
        <f t="shared" si="0"/>
        <v>26071.733772</v>
      </c>
      <c r="C18" s="19">
        <f>25000*Table7[[#This Row],[N]]*(Table7[[#This Row],[Product rate (kg/hr)]]*8760*0.001)^0.65/10^6</f>
        <v>0</v>
      </c>
      <c r="D18" t="e">
        <f>Table7[[#This Row],[FCI 2022 in MM$]]*(G28/F28)</f>
        <v>#VALUE!</v>
      </c>
      <c r="J18" t="s">
        <v>812</v>
      </c>
      <c r="R18" s="14" t="s">
        <v>743</v>
      </c>
      <c r="S18" s="14">
        <f>IF('Algorithm Inputs'!B2="Steam Methane Reforming",'Algorithm Inputs'!J5,0)</f>
        <v>3</v>
      </c>
    </row>
    <row r="19" spans="1:19">
      <c r="B19" s="19">
        <f t="shared" si="0"/>
        <v>49904.733772</v>
      </c>
      <c r="C19" s="19">
        <f>25000*Table7[[#This Row],[N]]*(Table7[[#This Row],[Product rate (kg/hr)]]*8760*0.001)^0.65/10^6</f>
        <v>0</v>
      </c>
      <c r="D19" t="e">
        <f>Table7[[#This Row],[FCI 2022 in MM$]]*(G29/F29)</f>
        <v>#VALUE!</v>
      </c>
      <c r="J19" t="s">
        <v>809</v>
      </c>
      <c r="R19" s="14" t="s">
        <v>179</v>
      </c>
      <c r="S19" s="14">
        <f>S17*S18</f>
        <v>24517091.609999999</v>
      </c>
    </row>
    <row r="20" spans="1:19">
      <c r="B20" s="19">
        <f t="shared" si="0"/>
        <v>0</v>
      </c>
      <c r="C20" s="19">
        <f>25000*Table7[[#This Row],[N]]*(Table7[[#This Row],[Product rate (kg/hr)]]*8760*0.001)^0.65/10^6</f>
        <v>0</v>
      </c>
      <c r="D20" t="e">
        <f>Table7[[#This Row],[FCI 2022 in MM$]]*(G30/F30)</f>
        <v>#VALUE!</v>
      </c>
      <c r="I20" t="s">
        <v>810</v>
      </c>
      <c r="J20">
        <f>S13*10^-6/365</f>
        <v>18.77535</v>
      </c>
      <c r="R20" s="14"/>
      <c r="S20" s="14"/>
    </row>
    <row r="21" spans="1:19">
      <c r="B21" s="19">
        <f t="shared" si="0"/>
        <v>0</v>
      </c>
      <c r="C21" s="19">
        <f>25000*Table7[[#This Row],[N]]*(Table7[[#This Row],[Product rate (kg/hr)]]*8760*0.001)^0.65/10^6</f>
        <v>0</v>
      </c>
      <c r="D21" t="e">
        <f>Table7[[#This Row],[FCI 2022 in MM$]]*(G31/F31)</f>
        <v>#VALUE!</v>
      </c>
      <c r="I21" t="s">
        <v>811</v>
      </c>
      <c r="J21">
        <f>15.7*(J20)^0.76</f>
        <v>145.82317976143671</v>
      </c>
    </row>
    <row r="22" spans="1:19">
      <c r="B22" s="19">
        <f t="shared" si="0"/>
        <v>0</v>
      </c>
      <c r="C22" s="19">
        <f>25000*Table7[[#This Row],[N]]*(Table7[[#This Row],[Product rate (kg/hr)]]*8760*0.001)^0.65/10^6</f>
        <v>0</v>
      </c>
      <c r="D22" t="e">
        <f>Table7[[#This Row],[FCI 2022 in MM$]]*(G32/F32)</f>
        <v>#VALUE!</v>
      </c>
      <c r="I22" t="s">
        <v>813</v>
      </c>
      <c r="J22">
        <f>J21*(G25/F25)</f>
        <v>142.74945587430838</v>
      </c>
    </row>
    <row r="23" spans="1:19">
      <c r="B23" s="19">
        <f t="shared" si="0"/>
        <v>0</v>
      </c>
      <c r="C23" s="19">
        <f>25000*Table7[[#This Row],[N]]*(Table7[[#This Row],[Product rate (kg/hr)]]*8760*0.001)^0.65/10^6</f>
        <v>0</v>
      </c>
      <c r="D23" t="e">
        <f>Table7[[#This Row],[FCI 2022 in MM$]]*(G33/F33)</f>
        <v>#VALUE!</v>
      </c>
    </row>
    <row r="24" spans="1:19">
      <c r="F24" t="s">
        <v>180</v>
      </c>
      <c r="G24" t="s">
        <v>181</v>
      </c>
      <c r="H24" t="s">
        <v>182</v>
      </c>
      <c r="I24" t="s">
        <v>183</v>
      </c>
    </row>
    <row r="25" spans="1:19">
      <c r="F25">
        <v>816</v>
      </c>
      <c r="G25">
        <v>798.8</v>
      </c>
      <c r="H25" s="45" t="s">
        <v>184</v>
      </c>
      <c r="I25" s="21" t="s">
        <v>185</v>
      </c>
    </row>
    <row r="26" spans="1:19">
      <c r="A26" s="316" t="s">
        <v>186</v>
      </c>
      <c r="B26" s="316"/>
      <c r="C26" s="316"/>
      <c r="D26" s="316"/>
      <c r="E26" s="316"/>
    </row>
    <row r="27" spans="1:19">
      <c r="B27" t="s">
        <v>187</v>
      </c>
      <c r="C27" t="s">
        <v>188</v>
      </c>
      <c r="F27" t="s">
        <v>189</v>
      </c>
    </row>
    <row r="28" spans="1:19">
      <c r="A28" t="s">
        <v>190</v>
      </c>
      <c r="B28" s="42">
        <f>(B3+B4)*(10^-6)*8760*G28  +  (B8*8760*10^-6)*G31</f>
        <v>9892570.0177777782</v>
      </c>
      <c r="C28" s="90">
        <f>B28/10^6</f>
        <v>9.8925700177777784</v>
      </c>
      <c r="F28" t="s">
        <v>191</v>
      </c>
      <c r="G28">
        <f>'NG Prices'!E5</f>
        <v>2.6148148148148147</v>
      </c>
    </row>
    <row r="29" spans="1:19">
      <c r="A29" t="s">
        <v>192</v>
      </c>
      <c r="B29" s="42">
        <f>(C5+C6+C9)*10^-6 * 8760*G29</f>
        <v>1167563.46</v>
      </c>
      <c r="C29" s="90">
        <f t="shared" ref="C29:C34" si="1">B29/10^6</f>
        <v>1.16756346</v>
      </c>
      <c r="F29" s="14" t="s">
        <v>193</v>
      </c>
      <c r="G29" s="14">
        <f>'Algorithm Inputs'!C14</f>
        <v>0.5</v>
      </c>
      <c r="H29" t="s">
        <v>194</v>
      </c>
    </row>
    <row r="30" spans="1:19">
      <c r="A30" t="s">
        <v>195</v>
      </c>
      <c r="B30">
        <f>(D7+D10+D11)*0.746*8760*H34</f>
        <v>19335632.459544003</v>
      </c>
      <c r="C30" s="90">
        <f t="shared" si="1"/>
        <v>19.335632459544001</v>
      </c>
      <c r="F30" t="s">
        <v>196</v>
      </c>
      <c r="G30">
        <v>0</v>
      </c>
      <c r="H30" t="s">
        <v>197</v>
      </c>
    </row>
    <row r="31" spans="1:19">
      <c r="A31" t="s">
        <v>198</v>
      </c>
      <c r="B31">
        <f>S19</f>
        <v>24517091.609999999</v>
      </c>
      <c r="C31" s="90">
        <f t="shared" si="1"/>
        <v>24.517091609999998</v>
      </c>
      <c r="F31" s="14" t="s">
        <v>199</v>
      </c>
      <c r="G31" s="14">
        <f>'Algorithm Inputs'!C13</f>
        <v>3</v>
      </c>
      <c r="H31" t="s">
        <v>194</v>
      </c>
    </row>
    <row r="32" spans="1:19">
      <c r="A32" t="s">
        <v>200</v>
      </c>
      <c r="B32">
        <f>30*10^5</f>
        <v>3000000</v>
      </c>
      <c r="C32" s="90">
        <f t="shared" si="1"/>
        <v>3</v>
      </c>
      <c r="F32" s="8" t="s">
        <v>201</v>
      </c>
      <c r="G32" s="8">
        <f>5*G28</f>
        <v>13.074074074074073</v>
      </c>
      <c r="H32" t="s">
        <v>194</v>
      </c>
    </row>
    <row r="33" spans="1:12">
      <c r="A33" t="s">
        <v>202</v>
      </c>
      <c r="B33">
        <f>0.025*D15*10^6</f>
        <v>2260480.9448746592</v>
      </c>
      <c r="C33" s="90">
        <f>B33/10^6</f>
        <v>2.2604809448746592</v>
      </c>
      <c r="F33" t="s">
        <v>203</v>
      </c>
      <c r="G33" s="188">
        <v>8.6</v>
      </c>
      <c r="J33" t="s">
        <v>204</v>
      </c>
      <c r="L33" t="s">
        <v>205</v>
      </c>
    </row>
    <row r="34" spans="1:12">
      <c r="A34" t="s">
        <v>206</v>
      </c>
      <c r="B34">
        <f>0.1*(SUM(C28:C33))*10^6</f>
        <v>6017333.8492196435</v>
      </c>
      <c r="C34" s="90">
        <f t="shared" si="1"/>
        <v>6.0173338492196438</v>
      </c>
      <c r="F34" s="14" t="s">
        <v>207</v>
      </c>
      <c r="G34" s="14"/>
      <c r="H34" s="14">
        <f>IF('Algorithm Inputs'!B12="Conventional Grid", 'Algorithm Inputs'!C12, "")</f>
        <v>0.06</v>
      </c>
      <c r="I34" s="14" t="s">
        <v>299</v>
      </c>
    </row>
    <row r="35" spans="1:12">
      <c r="A35" s="3" t="s">
        <v>208</v>
      </c>
      <c r="B35" s="3"/>
      <c r="C35" s="107">
        <f>SUM(C28:C34)</f>
        <v>66.190672341416075</v>
      </c>
      <c r="F35" s="14" t="s">
        <v>209</v>
      </c>
      <c r="G35" s="14"/>
      <c r="H35" s="14" t="str">
        <f>IF('Algorithm Inputs'!B12="Renewable Grid", 'Algorithm Inputs'!C12, "")</f>
        <v/>
      </c>
      <c r="I35" s="14" t="s">
        <v>299</v>
      </c>
    </row>
    <row r="36" spans="1:12">
      <c r="A36" s="105" t="s">
        <v>210</v>
      </c>
      <c r="B36" s="105"/>
      <c r="C36" s="106">
        <f>'H2 storage'!D4</f>
        <v>35.076500000000003</v>
      </c>
      <c r="F36" t="s">
        <v>211</v>
      </c>
    </row>
    <row r="37" spans="1:12">
      <c r="A37" s="105"/>
      <c r="B37" s="105"/>
      <c r="C37" s="105"/>
      <c r="F37" t="s">
        <v>212</v>
      </c>
    </row>
    <row r="38" spans="1:12">
      <c r="A38" s="105" t="s">
        <v>208</v>
      </c>
      <c r="B38" s="105"/>
      <c r="C38" s="106">
        <f>SUM(C35:C36)</f>
        <v>101.26717234141609</v>
      </c>
    </row>
    <row r="39" spans="1:12">
      <c r="A39" s="17" t="s">
        <v>213</v>
      </c>
      <c r="C39" t="e">
        <f>1.1*(C28+C29+(H12*H35*10^-6)+C31+C32+C33)</f>
        <v>#VALUE!</v>
      </c>
    </row>
  </sheetData>
  <mergeCells count="3">
    <mergeCell ref="A1:E1"/>
    <mergeCell ref="A13:E13"/>
    <mergeCell ref="A26:E26"/>
  </mergeCells>
  <hyperlinks>
    <hyperlink ref="I25" r:id="rId1" xr:uid="{3238D61A-F038-4EFC-B855-E44D0F103A42}"/>
  </hyperlinks>
  <pageMargins left="0.7" right="0.7" top="0.75" bottom="0.75" header="0.3" footer="0.3"/>
  <pageSetup orientation="portrait" r:id="rId2"/>
  <drawing r:id="rId3"/>
  <tableParts count="2">
    <tablePart r:id="rId4"/>
    <tablePart r:id="rId5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339E660-2515-470A-AFA0-4CAE282572B5}">
  <sheetPr codeName="Sheet6"/>
  <dimension ref="A1:E339"/>
  <sheetViews>
    <sheetView workbookViewId="0">
      <selection activeCell="E16" sqref="E16"/>
    </sheetView>
  </sheetViews>
  <sheetFormatPr defaultRowHeight="14.4"/>
  <cols>
    <col min="1" max="1" width="9.33203125" bestFit="1" customWidth="1"/>
    <col min="5" max="5" width="23.44140625" bestFit="1" customWidth="1"/>
  </cols>
  <sheetData>
    <row r="1" spans="1:5" ht="132.6">
      <c r="A1" s="54" t="s">
        <v>214</v>
      </c>
      <c r="B1" s="55" t="s">
        <v>215</v>
      </c>
      <c r="C1" s="55" t="s">
        <v>216</v>
      </c>
    </row>
    <row r="2" spans="1:5">
      <c r="A2" s="56">
        <v>35445</v>
      </c>
      <c r="B2">
        <v>3.45</v>
      </c>
    </row>
    <row r="3" spans="1:5">
      <c r="A3" s="56">
        <v>35476</v>
      </c>
      <c r="B3">
        <v>2.15</v>
      </c>
      <c r="E3" t="s">
        <v>217</v>
      </c>
    </row>
    <row r="4" spans="1:5">
      <c r="A4" s="56">
        <v>35504</v>
      </c>
      <c r="B4">
        <v>1.89</v>
      </c>
      <c r="E4" t="s">
        <v>218</v>
      </c>
    </row>
    <row r="5" spans="1:5">
      <c r="A5" s="56">
        <v>35535</v>
      </c>
      <c r="B5">
        <v>2.0299999999999998</v>
      </c>
      <c r="E5">
        <f>AVERAGE(B313:B339)</f>
        <v>2.6148148148148147</v>
      </c>
    </row>
    <row r="6" spans="1:5">
      <c r="A6" s="56">
        <v>35565</v>
      </c>
      <c r="B6">
        <v>2.25</v>
      </c>
    </row>
    <row r="7" spans="1:5">
      <c r="A7" s="56">
        <v>35596</v>
      </c>
      <c r="B7">
        <v>2.2000000000000002</v>
      </c>
    </row>
    <row r="8" spans="1:5">
      <c r="A8" s="56">
        <v>35626</v>
      </c>
      <c r="B8">
        <v>2.19</v>
      </c>
    </row>
    <row r="9" spans="1:5">
      <c r="A9" s="56">
        <v>35657</v>
      </c>
      <c r="B9">
        <v>2.4900000000000002</v>
      </c>
    </row>
    <row r="10" spans="1:5">
      <c r="A10" s="56">
        <v>35688</v>
      </c>
      <c r="B10">
        <v>2.88</v>
      </c>
    </row>
    <row r="11" spans="1:5">
      <c r="A11" s="56">
        <v>35718</v>
      </c>
      <c r="B11">
        <v>3.07</v>
      </c>
    </row>
    <row r="12" spans="1:5">
      <c r="A12" s="56">
        <v>35749</v>
      </c>
      <c r="B12">
        <v>3.01</v>
      </c>
    </row>
    <row r="13" spans="1:5">
      <c r="A13" s="56">
        <v>35779</v>
      </c>
      <c r="B13">
        <v>2.35</v>
      </c>
    </row>
    <row r="14" spans="1:5">
      <c r="A14" s="56">
        <v>35810</v>
      </c>
      <c r="B14">
        <v>2.09</v>
      </c>
    </row>
    <row r="15" spans="1:5">
      <c r="A15" s="56">
        <v>35841</v>
      </c>
      <c r="B15">
        <v>2.23</v>
      </c>
    </row>
    <row r="16" spans="1:5">
      <c r="A16" s="56">
        <v>35869</v>
      </c>
      <c r="B16">
        <v>2.2400000000000002</v>
      </c>
    </row>
    <row r="17" spans="1:2">
      <c r="A17" s="56">
        <v>35900</v>
      </c>
      <c r="B17">
        <v>2.4300000000000002</v>
      </c>
    </row>
    <row r="18" spans="1:2">
      <c r="A18" s="56">
        <v>35930</v>
      </c>
      <c r="B18">
        <v>2.14</v>
      </c>
    </row>
    <row r="19" spans="1:2">
      <c r="A19" s="56">
        <v>35961</v>
      </c>
      <c r="B19">
        <v>2.17</v>
      </c>
    </row>
    <row r="20" spans="1:2">
      <c r="A20" s="56">
        <v>35991</v>
      </c>
      <c r="B20">
        <v>2.17</v>
      </c>
    </row>
    <row r="21" spans="1:2">
      <c r="A21" s="56">
        <v>36022</v>
      </c>
      <c r="B21">
        <v>1.85</v>
      </c>
    </row>
    <row r="22" spans="1:2">
      <c r="A22" s="56">
        <v>36053</v>
      </c>
      <c r="B22">
        <v>2.02</v>
      </c>
    </row>
    <row r="23" spans="1:2">
      <c r="A23" s="56">
        <v>36083</v>
      </c>
      <c r="B23">
        <v>1.91</v>
      </c>
    </row>
    <row r="24" spans="1:2">
      <c r="A24" s="56">
        <v>36114</v>
      </c>
      <c r="B24">
        <v>2.12</v>
      </c>
    </row>
    <row r="25" spans="1:2">
      <c r="A25" s="56">
        <v>36144</v>
      </c>
      <c r="B25">
        <v>1.72</v>
      </c>
    </row>
    <row r="26" spans="1:2">
      <c r="A26" s="56">
        <v>36175</v>
      </c>
      <c r="B26">
        <v>1.85</v>
      </c>
    </row>
    <row r="27" spans="1:2">
      <c r="A27" s="56">
        <v>36206</v>
      </c>
      <c r="B27">
        <v>1.77</v>
      </c>
    </row>
    <row r="28" spans="1:2">
      <c r="A28" s="56">
        <v>36234</v>
      </c>
      <c r="B28">
        <v>1.79</v>
      </c>
    </row>
    <row r="29" spans="1:2">
      <c r="A29" s="56">
        <v>36265</v>
      </c>
      <c r="B29">
        <v>2.15</v>
      </c>
    </row>
    <row r="30" spans="1:2">
      <c r="A30" s="56">
        <v>36295</v>
      </c>
      <c r="B30">
        <v>2.2599999999999998</v>
      </c>
    </row>
    <row r="31" spans="1:2">
      <c r="A31" s="56">
        <v>36326</v>
      </c>
      <c r="B31">
        <v>2.2999999999999998</v>
      </c>
    </row>
    <row r="32" spans="1:2">
      <c r="A32" s="56">
        <v>36356</v>
      </c>
      <c r="B32">
        <v>2.31</v>
      </c>
    </row>
    <row r="33" spans="1:2">
      <c r="A33" s="56">
        <v>36387</v>
      </c>
      <c r="B33">
        <v>2.8</v>
      </c>
    </row>
    <row r="34" spans="1:2">
      <c r="A34" s="56">
        <v>36418</v>
      </c>
      <c r="B34">
        <v>2.5499999999999998</v>
      </c>
    </row>
    <row r="35" spans="1:2">
      <c r="A35" s="56">
        <v>36448</v>
      </c>
      <c r="B35">
        <v>2.73</v>
      </c>
    </row>
    <row r="36" spans="1:2">
      <c r="A36" s="56">
        <v>36479</v>
      </c>
      <c r="B36">
        <v>2.37</v>
      </c>
    </row>
    <row r="37" spans="1:2">
      <c r="A37" s="56">
        <v>36509</v>
      </c>
      <c r="B37">
        <v>2.36</v>
      </c>
    </row>
    <row r="38" spans="1:2">
      <c r="A38" s="56">
        <v>36540</v>
      </c>
      <c r="B38">
        <v>2.42</v>
      </c>
    </row>
    <row r="39" spans="1:2">
      <c r="A39" s="56">
        <v>36571</v>
      </c>
      <c r="B39">
        <v>2.66</v>
      </c>
    </row>
    <row r="40" spans="1:2">
      <c r="A40" s="56">
        <v>36600</v>
      </c>
      <c r="B40">
        <v>2.79</v>
      </c>
    </row>
    <row r="41" spans="1:2">
      <c r="A41" s="56">
        <v>36631</v>
      </c>
      <c r="B41">
        <v>3.04</v>
      </c>
    </row>
    <row r="42" spans="1:2">
      <c r="A42" s="56">
        <v>36661</v>
      </c>
      <c r="B42">
        <v>3.59</v>
      </c>
    </row>
    <row r="43" spans="1:2">
      <c r="A43" s="56">
        <v>36692</v>
      </c>
      <c r="B43">
        <v>4.29</v>
      </c>
    </row>
    <row r="44" spans="1:2">
      <c r="A44" s="56">
        <v>36722</v>
      </c>
      <c r="B44">
        <v>3.99</v>
      </c>
    </row>
    <row r="45" spans="1:2">
      <c r="A45" s="56">
        <v>36753</v>
      </c>
      <c r="B45">
        <v>4.43</v>
      </c>
    </row>
    <row r="46" spans="1:2">
      <c r="A46" s="56">
        <v>36784</v>
      </c>
      <c r="B46">
        <v>5.0599999999999996</v>
      </c>
    </row>
    <row r="47" spans="1:2">
      <c r="A47" s="56">
        <v>36814</v>
      </c>
      <c r="B47">
        <v>5.0199999999999996</v>
      </c>
    </row>
    <row r="48" spans="1:2">
      <c r="A48" s="56">
        <v>36845</v>
      </c>
      <c r="B48">
        <v>5.52</v>
      </c>
    </row>
    <row r="49" spans="1:2">
      <c r="A49" s="56">
        <v>36875</v>
      </c>
      <c r="B49">
        <v>8.9</v>
      </c>
    </row>
    <row r="50" spans="1:2">
      <c r="A50" s="56">
        <v>36906</v>
      </c>
      <c r="B50">
        <v>8.17</v>
      </c>
    </row>
    <row r="51" spans="1:2">
      <c r="A51" s="56">
        <v>36937</v>
      </c>
      <c r="B51">
        <v>5.61</v>
      </c>
    </row>
    <row r="52" spans="1:2">
      <c r="A52" s="56">
        <v>36965</v>
      </c>
      <c r="B52">
        <v>5.23</v>
      </c>
    </row>
    <row r="53" spans="1:2">
      <c r="A53" s="56">
        <v>36996</v>
      </c>
      <c r="B53">
        <v>5.19</v>
      </c>
    </row>
    <row r="54" spans="1:2">
      <c r="A54" s="56">
        <v>37026</v>
      </c>
      <c r="B54">
        <v>4.1900000000000004</v>
      </c>
    </row>
    <row r="55" spans="1:2">
      <c r="A55" s="56">
        <v>37057</v>
      </c>
      <c r="B55">
        <v>3.72</v>
      </c>
    </row>
    <row r="56" spans="1:2">
      <c r="A56" s="56">
        <v>37087</v>
      </c>
      <c r="B56">
        <v>3.11</v>
      </c>
    </row>
    <row r="57" spans="1:2">
      <c r="A57" s="56">
        <v>37118</v>
      </c>
      <c r="B57">
        <v>2.97</v>
      </c>
    </row>
    <row r="58" spans="1:2">
      <c r="A58" s="56">
        <v>37149</v>
      </c>
      <c r="B58">
        <v>2.19</v>
      </c>
    </row>
    <row r="59" spans="1:2">
      <c r="A59" s="56">
        <v>37179</v>
      </c>
      <c r="B59">
        <v>2.46</v>
      </c>
    </row>
    <row r="60" spans="1:2">
      <c r="A60" s="56">
        <v>37210</v>
      </c>
      <c r="B60">
        <v>2.34</v>
      </c>
    </row>
    <row r="61" spans="1:2">
      <c r="A61" s="56">
        <v>37240</v>
      </c>
      <c r="B61">
        <v>2.2999999999999998</v>
      </c>
    </row>
    <row r="62" spans="1:2">
      <c r="A62" s="56">
        <v>37271</v>
      </c>
      <c r="B62">
        <v>2.3199999999999998</v>
      </c>
    </row>
    <row r="63" spans="1:2">
      <c r="A63" s="56">
        <v>37302</v>
      </c>
      <c r="B63">
        <v>2.3199999999999998</v>
      </c>
    </row>
    <row r="64" spans="1:2">
      <c r="A64" s="56">
        <v>37330</v>
      </c>
      <c r="B64">
        <v>3.03</v>
      </c>
    </row>
    <row r="65" spans="1:2">
      <c r="A65" s="56">
        <v>37361</v>
      </c>
      <c r="B65">
        <v>3.43</v>
      </c>
    </row>
    <row r="66" spans="1:2">
      <c r="A66" s="56">
        <v>37391</v>
      </c>
      <c r="B66">
        <v>3.5</v>
      </c>
    </row>
    <row r="67" spans="1:2">
      <c r="A67" s="56">
        <v>37422</v>
      </c>
      <c r="B67">
        <v>3.26</v>
      </c>
    </row>
    <row r="68" spans="1:2">
      <c r="A68" s="56">
        <v>37452</v>
      </c>
      <c r="B68">
        <v>2.99</v>
      </c>
    </row>
    <row r="69" spans="1:2">
      <c r="A69" s="56">
        <v>37483</v>
      </c>
      <c r="B69">
        <v>3.09</v>
      </c>
    </row>
    <row r="70" spans="1:2">
      <c r="A70" s="56">
        <v>37514</v>
      </c>
      <c r="B70">
        <v>3.55</v>
      </c>
    </row>
    <row r="71" spans="1:2">
      <c r="A71" s="56">
        <v>37544</v>
      </c>
      <c r="B71">
        <v>4.13</v>
      </c>
    </row>
    <row r="72" spans="1:2">
      <c r="A72" s="56">
        <v>37575</v>
      </c>
      <c r="B72">
        <v>4.04</v>
      </c>
    </row>
    <row r="73" spans="1:2">
      <c r="A73" s="56">
        <v>37605</v>
      </c>
      <c r="B73">
        <v>4.74</v>
      </c>
    </row>
    <row r="74" spans="1:2">
      <c r="A74" s="56">
        <v>37636</v>
      </c>
      <c r="B74">
        <v>5.43</v>
      </c>
    </row>
    <row r="75" spans="1:2">
      <c r="A75" s="56">
        <v>37667</v>
      </c>
      <c r="B75">
        <v>7.71</v>
      </c>
    </row>
    <row r="76" spans="1:2">
      <c r="A76" s="56">
        <v>37695</v>
      </c>
      <c r="B76">
        <v>5.93</v>
      </c>
    </row>
    <row r="77" spans="1:2">
      <c r="A77" s="56">
        <v>37726</v>
      </c>
      <c r="B77">
        <v>5.26</v>
      </c>
    </row>
    <row r="78" spans="1:2">
      <c r="A78" s="56">
        <v>37756</v>
      </c>
      <c r="B78">
        <v>5.81</v>
      </c>
    </row>
    <row r="79" spans="1:2">
      <c r="A79" s="56">
        <v>37787</v>
      </c>
      <c r="B79">
        <v>5.82</v>
      </c>
    </row>
    <row r="80" spans="1:2">
      <c r="A80" s="56">
        <v>37817</v>
      </c>
      <c r="B80">
        <v>5.03</v>
      </c>
    </row>
    <row r="81" spans="1:2">
      <c r="A81" s="56">
        <v>37848</v>
      </c>
      <c r="B81">
        <v>4.99</v>
      </c>
    </row>
    <row r="82" spans="1:2">
      <c r="A82" s="56">
        <v>37879</v>
      </c>
      <c r="B82">
        <v>4.62</v>
      </c>
    </row>
    <row r="83" spans="1:2">
      <c r="A83" s="56">
        <v>37909</v>
      </c>
      <c r="B83">
        <v>4.63</v>
      </c>
    </row>
    <row r="84" spans="1:2">
      <c r="A84" s="56">
        <v>37940</v>
      </c>
      <c r="B84">
        <v>4.47</v>
      </c>
    </row>
    <row r="85" spans="1:2">
      <c r="A85" s="56">
        <v>37970</v>
      </c>
      <c r="B85">
        <v>6.13</v>
      </c>
    </row>
    <row r="86" spans="1:2">
      <c r="A86" s="56">
        <v>38001</v>
      </c>
      <c r="B86">
        <v>6.14</v>
      </c>
    </row>
    <row r="87" spans="1:2">
      <c r="A87" s="56">
        <v>38032</v>
      </c>
      <c r="B87">
        <v>5.37</v>
      </c>
    </row>
    <row r="88" spans="1:2">
      <c r="A88" s="56">
        <v>38061</v>
      </c>
      <c r="B88">
        <v>5.39</v>
      </c>
    </row>
    <row r="89" spans="1:2">
      <c r="A89" s="56">
        <v>38092</v>
      </c>
      <c r="B89">
        <v>5.71</v>
      </c>
    </row>
    <row r="90" spans="1:2">
      <c r="A90" s="56">
        <v>38122</v>
      </c>
      <c r="B90">
        <v>6.33</v>
      </c>
    </row>
    <row r="91" spans="1:2">
      <c r="A91" s="56">
        <v>38153</v>
      </c>
      <c r="B91">
        <v>6.27</v>
      </c>
    </row>
    <row r="92" spans="1:2">
      <c r="A92" s="56">
        <v>38183</v>
      </c>
      <c r="B92">
        <v>5.93</v>
      </c>
    </row>
    <row r="93" spans="1:2">
      <c r="A93" s="56">
        <v>38214</v>
      </c>
      <c r="B93">
        <v>5.41</v>
      </c>
    </row>
    <row r="94" spans="1:2">
      <c r="A94" s="56">
        <v>38245</v>
      </c>
      <c r="B94">
        <v>5.15</v>
      </c>
    </row>
    <row r="95" spans="1:2">
      <c r="A95" s="56">
        <v>38275</v>
      </c>
      <c r="B95">
        <v>6.35</v>
      </c>
    </row>
    <row r="96" spans="1:2">
      <c r="A96" s="56">
        <v>38306</v>
      </c>
      <c r="B96">
        <v>6.17</v>
      </c>
    </row>
    <row r="97" spans="1:2">
      <c r="A97" s="56">
        <v>38336</v>
      </c>
      <c r="B97">
        <v>6.58</v>
      </c>
    </row>
    <row r="98" spans="1:2">
      <c r="A98" s="56">
        <v>38367</v>
      </c>
      <c r="B98">
        <v>6.15</v>
      </c>
    </row>
    <row r="99" spans="1:2">
      <c r="A99" s="56">
        <v>38398</v>
      </c>
      <c r="B99">
        <v>6.14</v>
      </c>
    </row>
    <row r="100" spans="1:2">
      <c r="A100" s="56">
        <v>38426</v>
      </c>
      <c r="B100">
        <v>6.96</v>
      </c>
    </row>
    <row r="101" spans="1:2">
      <c r="A101" s="56">
        <v>38457</v>
      </c>
      <c r="B101">
        <v>7.16</v>
      </c>
    </row>
    <row r="102" spans="1:2">
      <c r="A102" s="56">
        <v>38487</v>
      </c>
      <c r="B102">
        <v>6.47</v>
      </c>
    </row>
    <row r="103" spans="1:2">
      <c r="A103" s="56">
        <v>38518</v>
      </c>
      <c r="B103">
        <v>7.18</v>
      </c>
    </row>
    <row r="104" spans="1:2">
      <c r="A104" s="56">
        <v>38548</v>
      </c>
      <c r="B104">
        <v>7.63</v>
      </c>
    </row>
    <row r="105" spans="1:2">
      <c r="A105" s="56">
        <v>38579</v>
      </c>
      <c r="B105">
        <v>9.5299999999999994</v>
      </c>
    </row>
    <row r="106" spans="1:2">
      <c r="A106" s="56">
        <v>38610</v>
      </c>
      <c r="B106">
        <v>11.75</v>
      </c>
    </row>
    <row r="107" spans="1:2">
      <c r="A107" s="56">
        <v>38640</v>
      </c>
      <c r="B107">
        <v>13.42</v>
      </c>
    </row>
    <row r="108" spans="1:2">
      <c r="A108" s="56">
        <v>38671</v>
      </c>
      <c r="B108">
        <v>10.3</v>
      </c>
    </row>
    <row r="109" spans="1:2">
      <c r="A109" s="56">
        <v>38701</v>
      </c>
      <c r="B109">
        <v>13.05</v>
      </c>
    </row>
    <row r="110" spans="1:2">
      <c r="A110" s="56">
        <v>38732</v>
      </c>
      <c r="B110">
        <v>8.69</v>
      </c>
    </row>
    <row r="111" spans="1:2">
      <c r="A111" s="56">
        <v>38763</v>
      </c>
      <c r="B111">
        <v>7.54</v>
      </c>
    </row>
    <row r="112" spans="1:2">
      <c r="A112" s="56">
        <v>38791</v>
      </c>
      <c r="B112">
        <v>6.89</v>
      </c>
    </row>
    <row r="113" spans="1:2">
      <c r="A113" s="56">
        <v>38822</v>
      </c>
      <c r="B113">
        <v>7.16</v>
      </c>
    </row>
    <row r="114" spans="1:2">
      <c r="A114" s="56">
        <v>38852</v>
      </c>
      <c r="B114">
        <v>6.25</v>
      </c>
    </row>
    <row r="115" spans="1:2">
      <c r="A115" s="56">
        <v>38883</v>
      </c>
      <c r="B115">
        <v>6.21</v>
      </c>
    </row>
    <row r="116" spans="1:2">
      <c r="A116" s="56">
        <v>38913</v>
      </c>
      <c r="B116">
        <v>6.17</v>
      </c>
    </row>
    <row r="117" spans="1:2">
      <c r="A117" s="56">
        <v>38944</v>
      </c>
      <c r="B117">
        <v>7.14</v>
      </c>
    </row>
    <row r="118" spans="1:2">
      <c r="A118" s="56">
        <v>38975</v>
      </c>
      <c r="B118">
        <v>4.9000000000000004</v>
      </c>
    </row>
    <row r="119" spans="1:2">
      <c r="A119" s="56">
        <v>39005</v>
      </c>
      <c r="B119">
        <v>5.85</v>
      </c>
    </row>
    <row r="120" spans="1:2">
      <c r="A120" s="56">
        <v>39036</v>
      </c>
      <c r="B120">
        <v>7.41</v>
      </c>
    </row>
    <row r="121" spans="1:2">
      <c r="A121" s="56">
        <v>39066</v>
      </c>
      <c r="B121">
        <v>6.73</v>
      </c>
    </row>
    <row r="122" spans="1:2">
      <c r="A122" s="56">
        <v>39097</v>
      </c>
      <c r="B122">
        <v>6.55</v>
      </c>
    </row>
    <row r="123" spans="1:2">
      <c r="A123" s="56">
        <v>39128</v>
      </c>
      <c r="B123">
        <v>8</v>
      </c>
    </row>
    <row r="124" spans="1:2">
      <c r="A124" s="56">
        <v>39156</v>
      </c>
      <c r="B124">
        <v>7.11</v>
      </c>
    </row>
    <row r="125" spans="1:2">
      <c r="A125" s="56">
        <v>39187</v>
      </c>
      <c r="B125">
        <v>7.6</v>
      </c>
    </row>
    <row r="126" spans="1:2">
      <c r="A126" s="56">
        <v>39217</v>
      </c>
      <c r="B126">
        <v>7.64</v>
      </c>
    </row>
    <row r="127" spans="1:2">
      <c r="A127" s="56">
        <v>39248</v>
      </c>
      <c r="B127">
        <v>7.35</v>
      </c>
    </row>
    <row r="128" spans="1:2">
      <c r="A128" s="56">
        <v>39278</v>
      </c>
      <c r="B128">
        <v>6.22</v>
      </c>
    </row>
    <row r="129" spans="1:2">
      <c r="A129" s="56">
        <v>39309</v>
      </c>
      <c r="B129">
        <v>6.22</v>
      </c>
    </row>
    <row r="130" spans="1:2">
      <c r="A130" s="56">
        <v>39340</v>
      </c>
      <c r="B130">
        <v>6.08</v>
      </c>
    </row>
    <row r="131" spans="1:2">
      <c r="A131" s="56">
        <v>39370</v>
      </c>
      <c r="B131">
        <v>6.74</v>
      </c>
    </row>
    <row r="132" spans="1:2">
      <c r="A132" s="56">
        <v>39401</v>
      </c>
      <c r="B132">
        <v>7.1</v>
      </c>
    </row>
    <row r="133" spans="1:2">
      <c r="A133" s="56">
        <v>39431</v>
      </c>
      <c r="B133">
        <v>7.11</v>
      </c>
    </row>
    <row r="134" spans="1:2">
      <c r="A134" s="56">
        <v>39462</v>
      </c>
      <c r="B134">
        <v>7.99</v>
      </c>
    </row>
    <row r="135" spans="1:2">
      <c r="A135" s="56">
        <v>39493</v>
      </c>
      <c r="B135">
        <v>8.5399999999999991</v>
      </c>
    </row>
    <row r="136" spans="1:2">
      <c r="A136" s="56">
        <v>39522</v>
      </c>
      <c r="B136">
        <v>9.41</v>
      </c>
    </row>
    <row r="137" spans="1:2">
      <c r="A137" s="56">
        <v>39553</v>
      </c>
      <c r="B137">
        <v>10.18</v>
      </c>
    </row>
    <row r="138" spans="1:2">
      <c r="A138" s="56">
        <v>39583</v>
      </c>
      <c r="B138">
        <v>11.27</v>
      </c>
    </row>
    <row r="139" spans="1:2">
      <c r="A139" s="56">
        <v>39614</v>
      </c>
      <c r="B139">
        <v>12.69</v>
      </c>
    </row>
    <row r="140" spans="1:2">
      <c r="A140" s="56">
        <v>39644</v>
      </c>
      <c r="B140">
        <v>11.09</v>
      </c>
    </row>
    <row r="141" spans="1:2">
      <c r="A141" s="56">
        <v>39675</v>
      </c>
      <c r="B141">
        <v>8.26</v>
      </c>
    </row>
    <row r="142" spans="1:2">
      <c r="A142" s="56">
        <v>39706</v>
      </c>
      <c r="B142">
        <v>7.67</v>
      </c>
    </row>
    <row r="143" spans="1:2">
      <c r="A143" s="56">
        <v>39736</v>
      </c>
      <c r="B143">
        <v>6.74</v>
      </c>
    </row>
    <row r="144" spans="1:2">
      <c r="A144" s="56">
        <v>39767</v>
      </c>
      <c r="B144">
        <v>6.68</v>
      </c>
    </row>
    <row r="145" spans="1:3">
      <c r="A145" s="56">
        <v>39797</v>
      </c>
      <c r="B145">
        <v>5.82</v>
      </c>
    </row>
    <row r="146" spans="1:3">
      <c r="A146" s="56">
        <v>39828</v>
      </c>
      <c r="B146">
        <v>5.24</v>
      </c>
      <c r="C146">
        <v>7.31</v>
      </c>
    </row>
    <row r="147" spans="1:3">
      <c r="A147" s="56">
        <v>39859</v>
      </c>
      <c r="B147">
        <v>4.5199999999999996</v>
      </c>
      <c r="C147">
        <v>6.9</v>
      </c>
    </row>
    <row r="148" spans="1:3">
      <c r="A148" s="56">
        <v>39887</v>
      </c>
      <c r="B148">
        <v>3.96</v>
      </c>
      <c r="C148">
        <v>6.7</v>
      </c>
    </row>
    <row r="149" spans="1:3">
      <c r="A149" s="56">
        <v>39918</v>
      </c>
      <c r="B149">
        <v>3.5</v>
      </c>
      <c r="C149">
        <v>6.94</v>
      </c>
    </row>
    <row r="150" spans="1:3">
      <c r="A150" s="56">
        <v>39948</v>
      </c>
      <c r="B150">
        <v>3.83</v>
      </c>
      <c r="C150">
        <v>7.72</v>
      </c>
    </row>
    <row r="151" spans="1:3">
      <c r="A151" s="56">
        <v>39979</v>
      </c>
      <c r="B151">
        <v>3.8</v>
      </c>
      <c r="C151">
        <v>9.35</v>
      </c>
    </row>
    <row r="152" spans="1:3">
      <c r="A152" s="56">
        <v>40009</v>
      </c>
      <c r="B152">
        <v>3.38</v>
      </c>
      <c r="C152">
        <v>8.36</v>
      </c>
    </row>
    <row r="153" spans="1:3">
      <c r="A153" s="56">
        <v>40040</v>
      </c>
      <c r="B153">
        <v>3.14</v>
      </c>
      <c r="C153">
        <v>9.51</v>
      </c>
    </row>
    <row r="154" spans="1:3">
      <c r="A154" s="56">
        <v>40071</v>
      </c>
      <c r="B154">
        <v>2.99</v>
      </c>
      <c r="C154">
        <v>9.67</v>
      </c>
    </row>
    <row r="155" spans="1:3">
      <c r="A155" s="56">
        <v>40101</v>
      </c>
      <c r="B155">
        <v>4.01</v>
      </c>
      <c r="C155">
        <v>10.52</v>
      </c>
    </row>
    <row r="156" spans="1:3">
      <c r="A156" s="56">
        <v>40132</v>
      </c>
      <c r="B156">
        <v>3.66</v>
      </c>
      <c r="C156">
        <v>11.76</v>
      </c>
    </row>
    <row r="157" spans="1:3">
      <c r="A157" s="56">
        <v>40162</v>
      </c>
      <c r="B157">
        <v>5.35</v>
      </c>
      <c r="C157">
        <v>12.45</v>
      </c>
    </row>
    <row r="158" spans="1:3">
      <c r="A158" s="56">
        <v>40193</v>
      </c>
      <c r="B158">
        <v>5.83</v>
      </c>
      <c r="C158">
        <v>13.46</v>
      </c>
    </row>
    <row r="159" spans="1:3">
      <c r="A159" s="56">
        <v>40224</v>
      </c>
      <c r="B159">
        <v>5.32</v>
      </c>
      <c r="C159">
        <v>13.23</v>
      </c>
    </row>
    <row r="160" spans="1:3">
      <c r="A160" s="56">
        <v>40252</v>
      </c>
      <c r="B160">
        <v>4.29</v>
      </c>
      <c r="C160">
        <v>11.89</v>
      </c>
    </row>
    <row r="161" spans="1:3">
      <c r="A161" s="56">
        <v>40283</v>
      </c>
      <c r="B161">
        <v>4.03</v>
      </c>
      <c r="C161">
        <v>11.62</v>
      </c>
    </row>
    <row r="162" spans="1:3">
      <c r="A162" s="56">
        <v>40313</v>
      </c>
      <c r="B162">
        <v>4.1399999999999997</v>
      </c>
      <c r="C162">
        <v>11.29</v>
      </c>
    </row>
    <row r="163" spans="1:3">
      <c r="A163" s="56">
        <v>40344</v>
      </c>
      <c r="B163">
        <v>4.8</v>
      </c>
      <c r="C163">
        <v>10.93</v>
      </c>
    </row>
    <row r="164" spans="1:3">
      <c r="A164" s="56">
        <v>40374</v>
      </c>
      <c r="B164">
        <v>4.63</v>
      </c>
      <c r="C164">
        <v>10.18</v>
      </c>
    </row>
    <row r="165" spans="1:3">
      <c r="A165" s="56">
        <v>40405</v>
      </c>
      <c r="B165">
        <v>4.32</v>
      </c>
      <c r="C165">
        <v>10.48</v>
      </c>
    </row>
    <row r="166" spans="1:3">
      <c r="A166" s="56">
        <v>40436</v>
      </c>
      <c r="B166">
        <v>3.89</v>
      </c>
      <c r="C166">
        <v>11.02</v>
      </c>
    </row>
    <row r="167" spans="1:3">
      <c r="A167" s="56">
        <v>40466</v>
      </c>
      <c r="B167">
        <v>3.43</v>
      </c>
      <c r="C167">
        <v>12.15</v>
      </c>
    </row>
    <row r="168" spans="1:3">
      <c r="A168" s="56">
        <v>40497</v>
      </c>
      <c r="B168">
        <v>3.71</v>
      </c>
      <c r="C168">
        <v>12.71</v>
      </c>
    </row>
    <row r="169" spans="1:3">
      <c r="A169" s="56">
        <v>40527</v>
      </c>
      <c r="B169">
        <v>4.25</v>
      </c>
      <c r="C169">
        <v>13.07</v>
      </c>
    </row>
    <row r="170" spans="1:3">
      <c r="A170" s="56">
        <v>40558</v>
      </c>
      <c r="B170">
        <v>4.49</v>
      </c>
      <c r="C170">
        <v>13.03</v>
      </c>
    </row>
    <row r="171" spans="1:3">
      <c r="A171" s="56">
        <v>40589</v>
      </c>
      <c r="B171">
        <v>4.09</v>
      </c>
      <c r="C171">
        <v>13.65</v>
      </c>
    </row>
    <row r="172" spans="1:3">
      <c r="A172" s="56">
        <v>40617</v>
      </c>
      <c r="B172">
        <v>3.97</v>
      </c>
      <c r="C172">
        <v>14.38</v>
      </c>
    </row>
    <row r="173" spans="1:3">
      <c r="A173" s="56">
        <v>40648</v>
      </c>
      <c r="B173">
        <v>4.24</v>
      </c>
      <c r="C173">
        <v>15.45</v>
      </c>
    </row>
    <row r="174" spans="1:3">
      <c r="A174" s="56">
        <v>40678</v>
      </c>
      <c r="B174">
        <v>4.3099999999999996</v>
      </c>
      <c r="C174">
        <v>15.62</v>
      </c>
    </row>
    <row r="175" spans="1:3">
      <c r="A175" s="56">
        <v>40709</v>
      </c>
      <c r="B175">
        <v>4.54</v>
      </c>
      <c r="C175">
        <v>15.23</v>
      </c>
    </row>
    <row r="176" spans="1:3">
      <c r="A176" s="56">
        <v>40739</v>
      </c>
      <c r="B176">
        <v>4.42</v>
      </c>
      <c r="C176">
        <v>15.8</v>
      </c>
    </row>
    <row r="177" spans="1:3">
      <c r="A177" s="56">
        <v>40770</v>
      </c>
      <c r="B177">
        <v>4.0599999999999996</v>
      </c>
      <c r="C177">
        <v>15.24</v>
      </c>
    </row>
    <row r="178" spans="1:3">
      <c r="A178" s="56">
        <v>40801</v>
      </c>
      <c r="B178">
        <v>3.9</v>
      </c>
      <c r="C178">
        <v>15.88</v>
      </c>
    </row>
    <row r="179" spans="1:3">
      <c r="A179" s="56">
        <v>40831</v>
      </c>
      <c r="B179">
        <v>3.57</v>
      </c>
      <c r="C179">
        <v>15.71</v>
      </c>
    </row>
    <row r="180" spans="1:3">
      <c r="A180" s="56">
        <v>40862</v>
      </c>
      <c r="B180">
        <v>3.24</v>
      </c>
      <c r="C180">
        <v>15.7</v>
      </c>
    </row>
    <row r="181" spans="1:3">
      <c r="A181" s="56">
        <v>40892</v>
      </c>
      <c r="B181">
        <v>3.17</v>
      </c>
      <c r="C181">
        <v>15.31</v>
      </c>
    </row>
    <row r="182" spans="1:3">
      <c r="A182" s="56">
        <v>40923</v>
      </c>
      <c r="B182">
        <v>2.67</v>
      </c>
      <c r="C182">
        <v>13.82</v>
      </c>
    </row>
    <row r="183" spans="1:3">
      <c r="A183" s="56">
        <v>40954</v>
      </c>
      <c r="B183">
        <v>2.5099999999999998</v>
      </c>
      <c r="C183">
        <v>12.47</v>
      </c>
    </row>
    <row r="184" spans="1:3">
      <c r="A184" s="56">
        <v>40983</v>
      </c>
      <c r="B184">
        <v>2.17</v>
      </c>
      <c r="C184">
        <v>13.13</v>
      </c>
    </row>
    <row r="185" spans="1:3">
      <c r="A185" s="56">
        <v>41014</v>
      </c>
      <c r="B185">
        <v>1.95</v>
      </c>
      <c r="C185">
        <v>12.72</v>
      </c>
    </row>
    <row r="186" spans="1:3">
      <c r="A186" s="56">
        <v>41044</v>
      </c>
      <c r="B186">
        <v>2.4300000000000002</v>
      </c>
      <c r="C186">
        <v>10.83</v>
      </c>
    </row>
    <row r="187" spans="1:3">
      <c r="A187" s="56">
        <v>41075</v>
      </c>
      <c r="B187">
        <v>2.46</v>
      </c>
      <c r="C187">
        <v>8.6999999999999993</v>
      </c>
    </row>
    <row r="188" spans="1:3">
      <c r="A188" s="56">
        <v>41105</v>
      </c>
      <c r="B188">
        <v>2.95</v>
      </c>
      <c r="C188">
        <v>9.66</v>
      </c>
    </row>
    <row r="189" spans="1:3">
      <c r="A189" s="56">
        <v>41136</v>
      </c>
      <c r="B189">
        <v>2.84</v>
      </c>
      <c r="C189">
        <v>10.18</v>
      </c>
    </row>
    <row r="190" spans="1:3">
      <c r="A190" s="56">
        <v>41167</v>
      </c>
      <c r="B190">
        <v>2.85</v>
      </c>
      <c r="C190">
        <v>10.039999999999999</v>
      </c>
    </row>
    <row r="191" spans="1:3">
      <c r="A191" s="56">
        <v>41197</v>
      </c>
      <c r="B191">
        <v>3.32</v>
      </c>
      <c r="C191">
        <v>10.35</v>
      </c>
    </row>
    <row r="192" spans="1:3">
      <c r="A192" s="56">
        <v>41228</v>
      </c>
      <c r="B192">
        <v>3.54</v>
      </c>
      <c r="C192">
        <v>10.16</v>
      </c>
    </row>
    <row r="193" spans="1:3">
      <c r="A193" s="56">
        <v>41258</v>
      </c>
      <c r="B193">
        <v>3.34</v>
      </c>
      <c r="C193">
        <v>9.73</v>
      </c>
    </row>
    <row r="194" spans="1:3">
      <c r="A194" s="56">
        <v>41289</v>
      </c>
      <c r="B194">
        <v>3.33</v>
      </c>
      <c r="C194">
        <v>9.84</v>
      </c>
    </row>
    <row r="195" spans="1:3">
      <c r="A195" s="56">
        <v>41320</v>
      </c>
      <c r="B195">
        <v>3.33</v>
      </c>
      <c r="C195">
        <v>9.91</v>
      </c>
    </row>
    <row r="196" spans="1:3">
      <c r="A196" s="56">
        <v>41348</v>
      </c>
      <c r="B196">
        <v>3.81</v>
      </c>
      <c r="C196">
        <v>9.57</v>
      </c>
    </row>
    <row r="197" spans="1:3">
      <c r="A197" s="56">
        <v>41379</v>
      </c>
      <c r="B197">
        <v>4.17</v>
      </c>
      <c r="C197">
        <v>9.64</v>
      </c>
    </row>
    <row r="198" spans="1:3">
      <c r="A198" s="56">
        <v>41409</v>
      </c>
      <c r="B198">
        <v>4.04</v>
      </c>
      <c r="C198">
        <v>9.48</v>
      </c>
    </row>
    <row r="199" spans="1:3">
      <c r="A199" s="56">
        <v>41440</v>
      </c>
      <c r="B199">
        <v>3.83</v>
      </c>
      <c r="C199">
        <v>9.06</v>
      </c>
    </row>
    <row r="200" spans="1:3">
      <c r="A200" s="56">
        <v>41470</v>
      </c>
      <c r="B200">
        <v>3.62</v>
      </c>
      <c r="C200">
        <v>9.56</v>
      </c>
    </row>
    <row r="201" spans="1:3">
      <c r="A201" s="56">
        <v>41501</v>
      </c>
      <c r="B201">
        <v>3.43</v>
      </c>
      <c r="C201">
        <v>10.210000000000001</v>
      </c>
    </row>
    <row r="202" spans="1:3">
      <c r="A202" s="56">
        <v>41532</v>
      </c>
      <c r="B202">
        <v>3.62</v>
      </c>
      <c r="C202">
        <v>10.26</v>
      </c>
    </row>
    <row r="203" spans="1:3">
      <c r="A203" s="56">
        <v>41562</v>
      </c>
      <c r="B203">
        <v>3.68</v>
      </c>
      <c r="C203">
        <v>10.41</v>
      </c>
    </row>
    <row r="204" spans="1:3">
      <c r="A204" s="56">
        <v>41593</v>
      </c>
      <c r="B204">
        <v>3.64</v>
      </c>
      <c r="C204">
        <v>10.42</v>
      </c>
    </row>
    <row r="205" spans="1:3">
      <c r="A205" s="56">
        <v>41623</v>
      </c>
      <c r="B205">
        <v>4.24</v>
      </c>
      <c r="C205">
        <v>10.76</v>
      </c>
    </row>
    <row r="206" spans="1:3">
      <c r="A206" s="56">
        <v>41654</v>
      </c>
      <c r="B206">
        <v>4.71</v>
      </c>
      <c r="C206">
        <v>11.61</v>
      </c>
    </row>
    <row r="207" spans="1:3">
      <c r="A207" s="56">
        <v>41685</v>
      </c>
      <c r="B207">
        <v>6</v>
      </c>
      <c r="C207">
        <v>11.94</v>
      </c>
    </row>
    <row r="208" spans="1:3">
      <c r="A208" s="56">
        <v>41713</v>
      </c>
      <c r="B208">
        <v>4.9000000000000004</v>
      </c>
      <c r="C208">
        <v>10.029999999999999</v>
      </c>
    </row>
    <row r="209" spans="1:3">
      <c r="A209" s="56">
        <v>41744</v>
      </c>
      <c r="B209">
        <v>4.66</v>
      </c>
      <c r="C209">
        <v>10.26</v>
      </c>
    </row>
    <row r="210" spans="1:3">
      <c r="A210" s="56">
        <v>41774</v>
      </c>
      <c r="B210">
        <v>4.58</v>
      </c>
      <c r="C210">
        <v>10.02</v>
      </c>
    </row>
    <row r="211" spans="1:3">
      <c r="A211" s="56">
        <v>41805</v>
      </c>
      <c r="B211">
        <v>4.59</v>
      </c>
      <c r="C211">
        <v>10.17</v>
      </c>
    </row>
    <row r="212" spans="1:3">
      <c r="A212" s="56">
        <v>41835</v>
      </c>
      <c r="B212">
        <v>4.05</v>
      </c>
      <c r="C212">
        <v>9.94</v>
      </c>
    </row>
    <row r="213" spans="1:3">
      <c r="A213" s="56">
        <v>41866</v>
      </c>
      <c r="B213">
        <v>3.91</v>
      </c>
      <c r="C213">
        <v>9.69</v>
      </c>
    </row>
    <row r="214" spans="1:3">
      <c r="A214" s="56">
        <v>41897</v>
      </c>
      <c r="B214">
        <v>3.92</v>
      </c>
      <c r="C214">
        <v>9.86</v>
      </c>
    </row>
    <row r="215" spans="1:3">
      <c r="A215" s="56">
        <v>41927</v>
      </c>
      <c r="B215">
        <v>3.78</v>
      </c>
      <c r="C215">
        <v>8.75</v>
      </c>
    </row>
    <row r="216" spans="1:3">
      <c r="A216" s="56">
        <v>41958</v>
      </c>
      <c r="B216">
        <v>4.12</v>
      </c>
      <c r="C216">
        <v>7.84</v>
      </c>
    </row>
    <row r="217" spans="1:3">
      <c r="A217" s="56">
        <v>41988</v>
      </c>
      <c r="B217">
        <v>3.48</v>
      </c>
      <c r="C217">
        <v>5.63</v>
      </c>
    </row>
    <row r="218" spans="1:3">
      <c r="A218" s="56">
        <v>42019</v>
      </c>
      <c r="B218">
        <v>2.99</v>
      </c>
      <c r="C218">
        <v>5.08</v>
      </c>
    </row>
    <row r="219" spans="1:3">
      <c r="A219" s="56">
        <v>42050</v>
      </c>
      <c r="B219">
        <v>2.87</v>
      </c>
      <c r="C219">
        <v>5.7</v>
      </c>
    </row>
    <row r="220" spans="1:3">
      <c r="A220" s="56">
        <v>42078</v>
      </c>
      <c r="B220">
        <v>2.83</v>
      </c>
      <c r="C220">
        <v>5.52</v>
      </c>
    </row>
    <row r="221" spans="1:3">
      <c r="A221" s="56">
        <v>42109</v>
      </c>
      <c r="B221">
        <v>2.61</v>
      </c>
      <c r="C221">
        <v>5.58</v>
      </c>
    </row>
    <row r="222" spans="1:3">
      <c r="A222" s="56">
        <v>42139</v>
      </c>
      <c r="B222">
        <v>2.85</v>
      </c>
      <c r="C222">
        <v>5.25</v>
      </c>
    </row>
    <row r="223" spans="1:3">
      <c r="A223" s="56">
        <v>42170</v>
      </c>
      <c r="B223">
        <v>2.78</v>
      </c>
      <c r="C223">
        <v>4.78</v>
      </c>
    </row>
    <row r="224" spans="1:3">
      <c r="A224" s="56">
        <v>42200</v>
      </c>
      <c r="B224">
        <v>2.84</v>
      </c>
      <c r="C224">
        <v>4.7300000000000004</v>
      </c>
    </row>
    <row r="225" spans="1:3">
      <c r="A225" s="56">
        <v>42231</v>
      </c>
      <c r="B225">
        <v>2.77</v>
      </c>
      <c r="C225">
        <v>4.42</v>
      </c>
    </row>
    <row r="226" spans="1:3">
      <c r="A226" s="56">
        <v>42262</v>
      </c>
      <c r="B226">
        <v>2.66</v>
      </c>
      <c r="C226">
        <v>4.8899999999999997</v>
      </c>
    </row>
    <row r="227" spans="1:3">
      <c r="A227" s="56">
        <v>42292</v>
      </c>
      <c r="B227">
        <v>2.34</v>
      </c>
      <c r="C227">
        <v>4.95</v>
      </c>
    </row>
    <row r="228" spans="1:3">
      <c r="A228" s="56">
        <v>42323</v>
      </c>
      <c r="B228">
        <v>2.09</v>
      </c>
      <c r="C228">
        <v>4.72</v>
      </c>
    </row>
    <row r="229" spans="1:3">
      <c r="A229" s="56">
        <v>42353</v>
      </c>
      <c r="B229">
        <v>1.93</v>
      </c>
      <c r="C229">
        <v>4.2300000000000004</v>
      </c>
    </row>
    <row r="230" spans="1:3">
      <c r="A230" s="56">
        <v>42384</v>
      </c>
      <c r="B230">
        <v>2.2799999999999998</v>
      </c>
      <c r="C230">
        <v>3.69</v>
      </c>
    </row>
    <row r="231" spans="1:3">
      <c r="A231" s="56">
        <v>42415</v>
      </c>
      <c r="B231">
        <v>1.99</v>
      </c>
      <c r="C231">
        <v>3.89</v>
      </c>
    </row>
    <row r="232" spans="1:3">
      <c r="A232" s="56">
        <v>42444</v>
      </c>
      <c r="B232">
        <v>1.73</v>
      </c>
      <c r="C232">
        <v>4.4800000000000004</v>
      </c>
    </row>
    <row r="233" spans="1:3">
      <c r="A233" s="56">
        <v>42475</v>
      </c>
      <c r="B233">
        <v>1.92</v>
      </c>
      <c r="C233">
        <v>4.6500000000000004</v>
      </c>
    </row>
    <row r="234" spans="1:3">
      <c r="A234" s="56">
        <v>42505</v>
      </c>
      <c r="B234">
        <v>1.92</v>
      </c>
      <c r="C234">
        <v>5.1100000000000003</v>
      </c>
    </row>
    <row r="235" spans="1:3">
      <c r="A235" s="56">
        <v>42536</v>
      </c>
      <c r="B235">
        <v>2.59</v>
      </c>
      <c r="C235">
        <v>5.25</v>
      </c>
    </row>
    <row r="236" spans="1:3">
      <c r="A236" s="56">
        <v>42566</v>
      </c>
      <c r="B236">
        <v>2.82</v>
      </c>
      <c r="C236">
        <v>4.92</v>
      </c>
    </row>
    <row r="237" spans="1:3">
      <c r="A237" s="56">
        <v>42597</v>
      </c>
      <c r="B237">
        <v>2.82</v>
      </c>
      <c r="C237">
        <v>4.9400000000000004</v>
      </c>
    </row>
    <row r="238" spans="1:3">
      <c r="A238" s="56">
        <v>42628</v>
      </c>
      <c r="B238">
        <v>2.99</v>
      </c>
      <c r="C238">
        <v>5.25</v>
      </c>
    </row>
    <row r="239" spans="1:3">
      <c r="A239" s="56">
        <v>42658</v>
      </c>
      <c r="B239">
        <v>2.98</v>
      </c>
      <c r="C239">
        <v>6.05</v>
      </c>
    </row>
    <row r="240" spans="1:3">
      <c r="A240" s="56">
        <v>42689</v>
      </c>
      <c r="B240">
        <v>2.5499999999999998</v>
      </c>
      <c r="C240">
        <v>5.45</v>
      </c>
    </row>
    <row r="241" spans="1:3">
      <c r="A241" s="56">
        <v>42719</v>
      </c>
      <c r="B241">
        <v>3.59</v>
      </c>
      <c r="C241">
        <v>6.66</v>
      </c>
    </row>
    <row r="242" spans="1:3">
      <c r="A242" s="56">
        <v>42750</v>
      </c>
      <c r="B242">
        <v>3.3</v>
      </c>
      <c r="C242">
        <v>6.78</v>
      </c>
    </row>
    <row r="243" spans="1:3">
      <c r="A243" s="56">
        <v>42781</v>
      </c>
      <c r="B243">
        <v>2.85</v>
      </c>
      <c r="C243">
        <v>7.24</v>
      </c>
    </row>
    <row r="244" spans="1:3">
      <c r="A244" s="56">
        <v>42809</v>
      </c>
      <c r="B244">
        <v>2.88</v>
      </c>
      <c r="C244">
        <v>5.91</v>
      </c>
    </row>
    <row r="245" spans="1:3">
      <c r="A245" s="56">
        <v>42840</v>
      </c>
      <c r="B245">
        <v>3.1</v>
      </c>
      <c r="C245">
        <v>6.25</v>
      </c>
    </row>
    <row r="246" spans="1:3">
      <c r="A246" s="56">
        <v>42870</v>
      </c>
      <c r="B246">
        <v>3.15</v>
      </c>
      <c r="C246">
        <v>6.14</v>
      </c>
    </row>
    <row r="247" spans="1:3">
      <c r="A247" s="56">
        <v>42901</v>
      </c>
      <c r="B247">
        <v>2.98</v>
      </c>
      <c r="C247">
        <v>5.73</v>
      </c>
    </row>
    <row r="248" spans="1:3">
      <c r="A248" s="56">
        <v>42931</v>
      </c>
      <c r="B248">
        <v>2.98</v>
      </c>
      <c r="C248">
        <v>6.27</v>
      </c>
    </row>
    <row r="249" spans="1:3">
      <c r="A249" s="56">
        <v>42962</v>
      </c>
      <c r="B249">
        <v>2.9</v>
      </c>
      <c r="C249">
        <v>7.01</v>
      </c>
    </row>
    <row r="250" spans="1:3">
      <c r="A250" s="56">
        <v>42993</v>
      </c>
      <c r="B250">
        <v>2.98</v>
      </c>
      <c r="C250">
        <v>7.8</v>
      </c>
    </row>
    <row r="251" spans="1:3">
      <c r="A251" s="56">
        <v>43023</v>
      </c>
      <c r="B251">
        <v>2.88</v>
      </c>
      <c r="C251">
        <v>7.84</v>
      </c>
    </row>
    <row r="252" spans="1:3">
      <c r="A252" s="56">
        <v>43054</v>
      </c>
      <c r="B252">
        <v>3.01</v>
      </c>
      <c r="C252">
        <v>8.0299999999999994</v>
      </c>
    </row>
    <row r="253" spans="1:3">
      <c r="A253" s="56">
        <v>43084</v>
      </c>
      <c r="B253">
        <v>2.82</v>
      </c>
      <c r="C253">
        <v>7.82</v>
      </c>
    </row>
    <row r="254" spans="1:3">
      <c r="A254" s="56">
        <v>43115</v>
      </c>
      <c r="B254">
        <v>3.87</v>
      </c>
      <c r="C254">
        <v>7.91</v>
      </c>
    </row>
    <row r="255" spans="1:3">
      <c r="A255" s="56">
        <v>43146</v>
      </c>
      <c r="B255">
        <v>2.67</v>
      </c>
      <c r="C255">
        <v>7.43</v>
      </c>
    </row>
    <row r="256" spans="1:3">
      <c r="A256" s="56">
        <v>43174</v>
      </c>
      <c r="B256">
        <v>2.69</v>
      </c>
      <c r="C256">
        <v>7.17</v>
      </c>
    </row>
    <row r="257" spans="1:3">
      <c r="A257" s="56">
        <v>43205</v>
      </c>
      <c r="B257">
        <v>2.8</v>
      </c>
      <c r="C257">
        <v>7.49</v>
      </c>
    </row>
    <row r="258" spans="1:3">
      <c r="A258" s="56">
        <v>43235</v>
      </c>
      <c r="B258">
        <v>2.8</v>
      </c>
      <c r="C258">
        <v>8.4</v>
      </c>
    </row>
    <row r="259" spans="1:3">
      <c r="A259" s="56">
        <v>43266</v>
      </c>
      <c r="B259">
        <v>2.97</v>
      </c>
      <c r="C259">
        <v>8.57</v>
      </c>
    </row>
    <row r="260" spans="1:3">
      <c r="A260" s="56">
        <v>43296</v>
      </c>
      <c r="B260">
        <v>2.83</v>
      </c>
      <c r="C260">
        <v>8.99</v>
      </c>
    </row>
    <row r="261" spans="1:3">
      <c r="A261" s="56">
        <v>43327</v>
      </c>
      <c r="B261">
        <v>2.96</v>
      </c>
      <c r="C261">
        <v>9.18</v>
      </c>
    </row>
    <row r="262" spans="1:3">
      <c r="A262" s="56">
        <v>43358</v>
      </c>
      <c r="B262">
        <v>3</v>
      </c>
      <c r="C262">
        <v>10.46</v>
      </c>
    </row>
    <row r="263" spans="1:3">
      <c r="A263" s="56">
        <v>43388</v>
      </c>
      <c r="B263">
        <v>3.28</v>
      </c>
      <c r="C263">
        <v>9.11</v>
      </c>
    </row>
    <row r="264" spans="1:3">
      <c r="A264" s="56">
        <v>43419</v>
      </c>
      <c r="B264">
        <v>4.09</v>
      </c>
      <c r="C264">
        <v>6.97</v>
      </c>
    </row>
    <row r="265" spans="1:3">
      <c r="A265" s="56">
        <v>43449</v>
      </c>
      <c r="B265">
        <v>4.04</v>
      </c>
      <c r="C265">
        <v>6.38</v>
      </c>
    </row>
    <row r="266" spans="1:3">
      <c r="A266" s="56">
        <v>43480</v>
      </c>
      <c r="B266">
        <v>3.11</v>
      </c>
      <c r="C266">
        <v>6.46</v>
      </c>
    </row>
    <row r="267" spans="1:3">
      <c r="A267" s="56">
        <v>43511</v>
      </c>
      <c r="B267">
        <v>2.69</v>
      </c>
      <c r="C267">
        <v>6.6</v>
      </c>
    </row>
    <row r="268" spans="1:3">
      <c r="A268" s="56">
        <v>43539</v>
      </c>
      <c r="B268">
        <v>2.95</v>
      </c>
      <c r="C268">
        <v>6.58</v>
      </c>
    </row>
    <row r="269" spans="1:3">
      <c r="A269" s="56">
        <v>43570</v>
      </c>
      <c r="B269">
        <v>2.65</v>
      </c>
      <c r="C269">
        <v>6.09</v>
      </c>
    </row>
    <row r="270" spans="1:3">
      <c r="A270" s="56">
        <v>43600</v>
      </c>
      <c r="B270">
        <v>2.64</v>
      </c>
      <c r="C270">
        <v>5.61</v>
      </c>
    </row>
    <row r="271" spans="1:3">
      <c r="A271" s="56">
        <v>43631</v>
      </c>
      <c r="B271">
        <v>2.4</v>
      </c>
      <c r="C271">
        <v>4.5</v>
      </c>
    </row>
    <row r="272" spans="1:3">
      <c r="A272" s="56">
        <v>43661</v>
      </c>
      <c r="B272">
        <v>2.37</v>
      </c>
      <c r="C272">
        <v>4.62</v>
      </c>
    </row>
    <row r="273" spans="1:3">
      <c r="A273" s="56">
        <v>43692</v>
      </c>
      <c r="B273">
        <v>2.2200000000000002</v>
      </c>
      <c r="C273">
        <v>4.4800000000000004</v>
      </c>
    </row>
    <row r="274" spans="1:3">
      <c r="A274" s="56">
        <v>43723</v>
      </c>
      <c r="B274">
        <v>2.56</v>
      </c>
      <c r="C274">
        <v>5.04</v>
      </c>
    </row>
    <row r="275" spans="1:3">
      <c r="A275" s="56">
        <v>43753</v>
      </c>
      <c r="B275">
        <v>2.33</v>
      </c>
      <c r="C275">
        <v>5.12</v>
      </c>
    </row>
    <row r="276" spans="1:3">
      <c r="A276" s="56">
        <v>43784</v>
      </c>
      <c r="B276">
        <v>2.65</v>
      </c>
      <c r="C276">
        <v>5.64</v>
      </c>
    </row>
    <row r="277" spans="1:3">
      <c r="A277" s="56">
        <v>43814</v>
      </c>
      <c r="B277">
        <v>2.2200000000000002</v>
      </c>
      <c r="C277">
        <v>5.33</v>
      </c>
    </row>
    <row r="278" spans="1:3">
      <c r="A278" s="56">
        <v>43845</v>
      </c>
      <c r="B278">
        <v>2.02</v>
      </c>
      <c r="C278">
        <v>4.84</v>
      </c>
    </row>
    <row r="279" spans="1:3">
      <c r="A279" s="56">
        <v>43876</v>
      </c>
      <c r="B279">
        <v>1.91</v>
      </c>
      <c r="C279">
        <v>4.38</v>
      </c>
    </row>
    <row r="280" spans="1:3">
      <c r="A280" s="56">
        <v>43905</v>
      </c>
      <c r="B280">
        <v>1.79</v>
      </c>
      <c r="C280">
        <v>3.06</v>
      </c>
    </row>
    <row r="281" spans="1:3">
      <c r="A281" s="56">
        <v>43936</v>
      </c>
      <c r="B281">
        <v>1.74</v>
      </c>
      <c r="C281">
        <v>2.85</v>
      </c>
    </row>
    <row r="282" spans="1:3">
      <c r="A282" s="56">
        <v>43966</v>
      </c>
      <c r="B282">
        <v>1.75</v>
      </c>
      <c r="C282">
        <v>3.89</v>
      </c>
    </row>
    <row r="283" spans="1:3">
      <c r="A283" s="56">
        <v>43997</v>
      </c>
      <c r="B283">
        <v>1.63</v>
      </c>
      <c r="C283">
        <v>4.21</v>
      </c>
    </row>
    <row r="284" spans="1:3">
      <c r="A284" s="56">
        <v>44027</v>
      </c>
      <c r="B284">
        <v>1.76</v>
      </c>
      <c r="C284">
        <v>4.54</v>
      </c>
    </row>
    <row r="285" spans="1:3">
      <c r="A285" s="56">
        <v>44058</v>
      </c>
      <c r="B285">
        <v>2.2999999999999998</v>
      </c>
      <c r="C285">
        <v>5.01</v>
      </c>
    </row>
    <row r="286" spans="1:3">
      <c r="A286" s="56">
        <v>44089</v>
      </c>
      <c r="B286">
        <v>1.92</v>
      </c>
      <c r="C286">
        <v>4.75</v>
      </c>
    </row>
    <row r="287" spans="1:3">
      <c r="A287" s="56">
        <v>44119</v>
      </c>
      <c r="B287">
        <v>2.39</v>
      </c>
      <c r="C287">
        <v>4.97</v>
      </c>
    </row>
    <row r="288" spans="1:3">
      <c r="A288" s="56">
        <v>44150</v>
      </c>
      <c r="B288">
        <v>2.61</v>
      </c>
      <c r="C288">
        <v>5.24</v>
      </c>
    </row>
    <row r="289" spans="1:3">
      <c r="A289" s="56">
        <v>44180</v>
      </c>
      <c r="B289">
        <v>2.58</v>
      </c>
      <c r="C289">
        <v>5.76</v>
      </c>
    </row>
    <row r="290" spans="1:3">
      <c r="A290" s="56">
        <v>44211</v>
      </c>
      <c r="B290">
        <v>2.71</v>
      </c>
      <c r="C290">
        <v>7.07</v>
      </c>
    </row>
    <row r="291" spans="1:3">
      <c r="A291" s="56">
        <v>44242</v>
      </c>
      <c r="B291">
        <v>5.35</v>
      </c>
      <c r="C291">
        <v>7.75</v>
      </c>
    </row>
    <row r="292" spans="1:3">
      <c r="A292" s="56">
        <v>44270</v>
      </c>
      <c r="B292">
        <v>2.62</v>
      </c>
      <c r="C292">
        <v>7.61</v>
      </c>
    </row>
    <row r="293" spans="1:3">
      <c r="A293" s="56">
        <v>44301</v>
      </c>
      <c r="B293">
        <v>2.66</v>
      </c>
      <c r="C293">
        <v>7.02</v>
      </c>
    </row>
    <row r="294" spans="1:3">
      <c r="A294" s="56">
        <v>44331</v>
      </c>
      <c r="B294">
        <v>2.91</v>
      </c>
      <c r="C294">
        <v>7.38</v>
      </c>
    </row>
    <row r="295" spans="1:3">
      <c r="A295" s="56">
        <v>44362</v>
      </c>
      <c r="B295">
        <v>3.26</v>
      </c>
      <c r="C295">
        <v>8.44</v>
      </c>
    </row>
    <row r="296" spans="1:3">
      <c r="A296" s="56">
        <v>44392</v>
      </c>
      <c r="B296">
        <v>3.84</v>
      </c>
      <c r="C296">
        <v>9.36</v>
      </c>
    </row>
    <row r="297" spans="1:3">
      <c r="A297" s="56">
        <v>44423</v>
      </c>
      <c r="B297">
        <v>4.07</v>
      </c>
      <c r="C297">
        <v>9.59</v>
      </c>
    </row>
    <row r="298" spans="1:3">
      <c r="A298" s="56">
        <v>44454</v>
      </c>
      <c r="B298">
        <v>5.16</v>
      </c>
      <c r="C298">
        <v>10.93</v>
      </c>
    </row>
    <row r="299" spans="1:3">
      <c r="A299" s="56">
        <v>44484</v>
      </c>
      <c r="B299">
        <v>5.51</v>
      </c>
      <c r="C299">
        <v>12.15</v>
      </c>
    </row>
    <row r="300" spans="1:3">
      <c r="A300" s="56">
        <v>44515</v>
      </c>
      <c r="B300">
        <v>5.05</v>
      </c>
      <c r="C300">
        <v>10.88</v>
      </c>
    </row>
    <row r="301" spans="1:3">
      <c r="A301" s="56">
        <v>44545</v>
      </c>
      <c r="B301">
        <v>3.76</v>
      </c>
      <c r="C301">
        <v>9.26</v>
      </c>
    </row>
    <row r="302" spans="1:3">
      <c r="A302" s="56">
        <v>44576</v>
      </c>
      <c r="B302">
        <v>4.38</v>
      </c>
      <c r="C302">
        <v>10.57</v>
      </c>
    </row>
    <row r="303" spans="1:3">
      <c r="A303" s="56">
        <v>44607</v>
      </c>
      <c r="B303">
        <v>4.6900000000000004</v>
      </c>
      <c r="C303">
        <v>11.36</v>
      </c>
    </row>
    <row r="304" spans="1:3">
      <c r="A304" s="56">
        <v>44635</v>
      </c>
      <c r="B304">
        <v>4.9000000000000004</v>
      </c>
      <c r="C304">
        <v>12.62</v>
      </c>
    </row>
    <row r="305" spans="1:3">
      <c r="A305" s="56">
        <v>44666</v>
      </c>
      <c r="B305">
        <v>6.6</v>
      </c>
      <c r="C305">
        <v>12.19</v>
      </c>
    </row>
    <row r="306" spans="1:3">
      <c r="A306" s="56">
        <v>44696</v>
      </c>
      <c r="B306">
        <v>8.14</v>
      </c>
      <c r="C306">
        <v>12.44</v>
      </c>
    </row>
    <row r="307" spans="1:3">
      <c r="A307" s="56">
        <v>44727</v>
      </c>
      <c r="B307">
        <v>7.7</v>
      </c>
      <c r="C307">
        <v>12.48</v>
      </c>
    </row>
    <row r="308" spans="1:3">
      <c r="A308" s="56">
        <v>44757</v>
      </c>
      <c r="B308">
        <v>7.28</v>
      </c>
      <c r="C308">
        <v>11.41</v>
      </c>
    </row>
    <row r="309" spans="1:3">
      <c r="A309" s="56">
        <v>44788</v>
      </c>
      <c r="B309">
        <v>8.81</v>
      </c>
      <c r="C309">
        <v>11.19</v>
      </c>
    </row>
    <row r="310" spans="1:3">
      <c r="A310" s="56">
        <v>44819</v>
      </c>
      <c r="B310">
        <v>7.88</v>
      </c>
      <c r="C310">
        <v>9.7200000000000006</v>
      </c>
    </row>
    <row r="311" spans="1:3">
      <c r="A311" s="56">
        <v>44849</v>
      </c>
      <c r="B311">
        <v>5.66</v>
      </c>
      <c r="C311">
        <v>8.65</v>
      </c>
    </row>
    <row r="312" spans="1:3">
      <c r="A312" s="56">
        <v>44880</v>
      </c>
      <c r="B312">
        <v>5.45</v>
      </c>
      <c r="C312">
        <v>8.4600000000000009</v>
      </c>
    </row>
    <row r="313" spans="1:3">
      <c r="A313" s="56">
        <v>44910</v>
      </c>
      <c r="B313">
        <v>5.53</v>
      </c>
      <c r="C313">
        <v>7.43</v>
      </c>
    </row>
    <row r="314" spans="1:3">
      <c r="A314" s="56">
        <v>44941</v>
      </c>
      <c r="B314">
        <v>3.27</v>
      </c>
      <c r="C314">
        <v>7.96</v>
      </c>
    </row>
    <row r="315" spans="1:3">
      <c r="A315" s="56">
        <v>44972</v>
      </c>
      <c r="B315">
        <v>2.38</v>
      </c>
      <c r="C315">
        <v>7.9</v>
      </c>
    </row>
    <row r="316" spans="1:3">
      <c r="A316" s="56">
        <v>45000</v>
      </c>
      <c r="B316">
        <v>2.31</v>
      </c>
      <c r="C316">
        <v>7.21</v>
      </c>
    </row>
    <row r="317" spans="1:3">
      <c r="A317" s="56">
        <v>45031</v>
      </c>
      <c r="B317">
        <v>2.16</v>
      </c>
      <c r="C317">
        <v>7.13</v>
      </c>
    </row>
    <row r="318" spans="1:3">
      <c r="A318" s="56">
        <v>45061</v>
      </c>
      <c r="B318">
        <v>2.15</v>
      </c>
      <c r="C318">
        <v>6.09</v>
      </c>
    </row>
    <row r="319" spans="1:3">
      <c r="A319" s="56">
        <v>45092</v>
      </c>
      <c r="B319">
        <v>2.1800000000000002</v>
      </c>
      <c r="C319">
        <v>5.69</v>
      </c>
    </row>
    <row r="320" spans="1:3">
      <c r="A320" s="56">
        <v>45122</v>
      </c>
      <c r="B320">
        <v>2.5499999999999998</v>
      </c>
      <c r="C320">
        <v>6.81</v>
      </c>
    </row>
    <row r="321" spans="1:3">
      <c r="A321" s="56">
        <v>45153</v>
      </c>
      <c r="B321">
        <v>2.58</v>
      </c>
      <c r="C321">
        <v>6.96</v>
      </c>
    </row>
    <row r="322" spans="1:3">
      <c r="A322" s="56">
        <v>45184</v>
      </c>
      <c r="B322">
        <v>2.64</v>
      </c>
      <c r="C322">
        <v>7.46</v>
      </c>
    </row>
    <row r="323" spans="1:3">
      <c r="A323" s="56">
        <v>45214</v>
      </c>
      <c r="B323">
        <v>2.98</v>
      </c>
      <c r="C323">
        <v>6.84</v>
      </c>
    </row>
    <row r="324" spans="1:3">
      <c r="A324" s="56">
        <v>45245</v>
      </c>
      <c r="B324">
        <v>2.71</v>
      </c>
      <c r="C324">
        <v>6.53</v>
      </c>
    </row>
    <row r="325" spans="1:3">
      <c r="A325" s="56">
        <v>45275</v>
      </c>
      <c r="B325">
        <v>2.52</v>
      </c>
      <c r="C325">
        <v>6.63</v>
      </c>
    </row>
    <row r="326" spans="1:3">
      <c r="A326" s="56">
        <v>45306</v>
      </c>
      <c r="B326">
        <v>3.18</v>
      </c>
      <c r="C326">
        <v>7.28</v>
      </c>
    </row>
    <row r="327" spans="1:3">
      <c r="A327" s="56">
        <v>45337</v>
      </c>
      <c r="B327">
        <v>1.72</v>
      </c>
      <c r="C327">
        <v>7.47</v>
      </c>
    </row>
    <row r="328" spans="1:3">
      <c r="A328" s="56">
        <v>45366</v>
      </c>
      <c r="B328">
        <v>1.49</v>
      </c>
      <c r="C328">
        <v>7.03</v>
      </c>
    </row>
    <row r="329" spans="1:3">
      <c r="A329" s="56">
        <v>45397</v>
      </c>
      <c r="B329">
        <v>1.6</v>
      </c>
      <c r="C329">
        <v>7.08</v>
      </c>
    </row>
    <row r="330" spans="1:3">
      <c r="A330" s="56">
        <v>45427</v>
      </c>
      <c r="B330">
        <v>2.12</v>
      </c>
      <c r="C330">
        <v>6.65</v>
      </c>
    </row>
    <row r="331" spans="1:3">
      <c r="A331" s="56">
        <v>45458</v>
      </c>
      <c r="B331">
        <v>2.54</v>
      </c>
      <c r="C331">
        <v>6.82</v>
      </c>
    </row>
    <row r="332" spans="1:3">
      <c r="A332" s="56">
        <v>45488</v>
      </c>
      <c r="B332">
        <v>2.0699999999999998</v>
      </c>
      <c r="C332">
        <v>6.92</v>
      </c>
    </row>
    <row r="333" spans="1:3">
      <c r="A333" s="56">
        <v>45519</v>
      </c>
      <c r="B333">
        <v>1.99</v>
      </c>
      <c r="C333">
        <v>6.64</v>
      </c>
    </row>
    <row r="334" spans="1:3">
      <c r="A334" s="56">
        <v>45550</v>
      </c>
      <c r="B334">
        <v>2.2799999999999998</v>
      </c>
      <c r="C334">
        <v>6.35</v>
      </c>
    </row>
    <row r="335" spans="1:3">
      <c r="A335" s="56">
        <v>45580</v>
      </c>
      <c r="B335">
        <v>2.2000000000000002</v>
      </c>
      <c r="C335">
        <v>7.21</v>
      </c>
    </row>
    <row r="336" spans="1:3">
      <c r="A336" s="56">
        <v>45611</v>
      </c>
      <c r="B336">
        <v>2.12</v>
      </c>
      <c r="C336">
        <v>7.09</v>
      </c>
    </row>
    <row r="337" spans="1:3">
      <c r="A337" s="56">
        <v>45641</v>
      </c>
      <c r="B337">
        <v>3.01</v>
      </c>
      <c r="C337">
        <v>7.28</v>
      </c>
    </row>
    <row r="338" spans="1:3">
      <c r="A338" s="56">
        <v>45672</v>
      </c>
      <c r="B338">
        <v>4.13</v>
      </c>
    </row>
    <row r="339" spans="1:3">
      <c r="A339" s="56">
        <v>45703</v>
      </c>
      <c r="B339">
        <v>4.1900000000000004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6A9EB4D-9A5E-4C1D-8CAF-1AA4F3CEE196}">
  <sheetPr codeName="Sheet7"/>
  <dimension ref="A1:S44"/>
  <sheetViews>
    <sheetView topLeftCell="A11" workbookViewId="0">
      <selection activeCell="L25" sqref="L25"/>
    </sheetView>
  </sheetViews>
  <sheetFormatPr defaultRowHeight="14.4"/>
  <cols>
    <col min="1" max="1" width="17.6640625" bestFit="1" customWidth="1"/>
    <col min="2" max="2" width="23.5546875" customWidth="1"/>
    <col min="3" max="3" width="17.33203125" bestFit="1" customWidth="1"/>
    <col min="4" max="4" width="18.109375" bestFit="1" customWidth="1"/>
    <col min="5" max="5" width="21.109375" bestFit="1" customWidth="1"/>
    <col min="6" max="6" width="35.33203125" bestFit="1" customWidth="1"/>
    <col min="7" max="7" width="27.6640625" bestFit="1" customWidth="1"/>
    <col min="8" max="8" width="12" bestFit="1" customWidth="1"/>
    <col min="9" max="9" width="49.33203125" bestFit="1" customWidth="1"/>
    <col min="10" max="10" width="14.33203125" bestFit="1" customWidth="1"/>
    <col min="11" max="11" width="17.5546875" bestFit="1" customWidth="1"/>
    <col min="12" max="12" width="23.6640625" bestFit="1" customWidth="1"/>
    <col min="13" max="13" width="14.5546875" bestFit="1" customWidth="1"/>
    <col min="14" max="14" width="54.33203125" bestFit="1" customWidth="1"/>
    <col min="17" max="17" width="15.33203125" bestFit="1" customWidth="1"/>
  </cols>
  <sheetData>
    <row r="1" spans="1:19">
      <c r="A1" s="316" t="s">
        <v>219</v>
      </c>
      <c r="B1" s="316"/>
      <c r="C1" s="316"/>
      <c r="D1" s="316"/>
      <c r="E1" s="316"/>
      <c r="I1" t="s">
        <v>220</v>
      </c>
      <c r="J1" t="s">
        <v>221</v>
      </c>
      <c r="L1" t="s">
        <v>136</v>
      </c>
      <c r="M1" t="s">
        <v>222</v>
      </c>
      <c r="N1" t="s">
        <v>223</v>
      </c>
      <c r="O1" t="s">
        <v>224</v>
      </c>
      <c r="P1" t="s">
        <v>187</v>
      </c>
      <c r="Q1" t="s">
        <v>225</v>
      </c>
    </row>
    <row r="2" spans="1:19">
      <c r="A2" t="s">
        <v>140</v>
      </c>
      <c r="B2" t="s">
        <v>226</v>
      </c>
      <c r="C2" t="s">
        <v>227</v>
      </c>
      <c r="D2" t="s">
        <v>195</v>
      </c>
      <c r="E2" t="s">
        <v>144</v>
      </c>
      <c r="F2" t="s">
        <v>175</v>
      </c>
      <c r="I2" t="s">
        <v>228</v>
      </c>
      <c r="J2">
        <v>33333.33</v>
      </c>
      <c r="L2" t="s">
        <v>229</v>
      </c>
      <c r="M2">
        <v>55348.63</v>
      </c>
      <c r="N2" s="43">
        <v>0.08</v>
      </c>
    </row>
    <row r="3" spans="1:19">
      <c r="A3" t="s">
        <v>230</v>
      </c>
      <c r="B3">
        <v>12134712.4</v>
      </c>
      <c r="E3" t="s">
        <v>231</v>
      </c>
      <c r="I3" t="s">
        <v>145</v>
      </c>
      <c r="J3">
        <v>50000</v>
      </c>
      <c r="L3" t="s">
        <v>50</v>
      </c>
      <c r="M3">
        <f>0.08*M2</f>
        <v>4427.8904000000002</v>
      </c>
      <c r="N3" t="s">
        <v>232</v>
      </c>
      <c r="O3">
        <v>2</v>
      </c>
      <c r="P3">
        <f>4167*8760*O3</f>
        <v>73005840</v>
      </c>
      <c r="Q3" s="5">
        <f>P3/10^6</f>
        <v>73.005840000000006</v>
      </c>
    </row>
    <row r="4" spans="1:19">
      <c r="A4" t="s">
        <v>233</v>
      </c>
      <c r="B4">
        <v>9011914.25</v>
      </c>
      <c r="E4" t="s">
        <v>231</v>
      </c>
    </row>
    <row r="5" spans="1:19">
      <c r="N5" t="s">
        <v>234</v>
      </c>
    </row>
    <row r="6" spans="1:19">
      <c r="G6" t="s">
        <v>235</v>
      </c>
    </row>
    <row r="7" spans="1:19" ht="19.2">
      <c r="G7" s="91" t="s">
        <v>236</v>
      </c>
      <c r="L7" t="s">
        <v>237</v>
      </c>
      <c r="M7">
        <f>M2-4167</f>
        <v>51181.63</v>
      </c>
      <c r="S7" t="s">
        <v>828</v>
      </c>
    </row>
    <row r="9" spans="1:19">
      <c r="Q9" t="s">
        <v>139</v>
      </c>
    </row>
    <row r="10" spans="1:19">
      <c r="G10" t="s">
        <v>238</v>
      </c>
      <c r="H10" t="s">
        <v>239</v>
      </c>
      <c r="I10" t="s">
        <v>240</v>
      </c>
      <c r="J10" t="s">
        <v>241</v>
      </c>
      <c r="Q10">
        <f>2282/907</f>
        <v>2.5159867695700111</v>
      </c>
      <c r="R10" t="s">
        <v>825</v>
      </c>
    </row>
    <row r="11" spans="1:19">
      <c r="F11" t="s">
        <v>242</v>
      </c>
      <c r="G11">
        <f>SUM(B3:B4)*0.0042</f>
        <v>88815.831929999986</v>
      </c>
      <c r="H11">
        <f>G11*8760</f>
        <v>778026687.70679986</v>
      </c>
      <c r="I11">
        <f>H11*0.003412</f>
        <v>2654627.0584556013</v>
      </c>
      <c r="J11">
        <f>I11*G38</f>
        <v>6941358.1602579793</v>
      </c>
      <c r="Q11">
        <f>Q10*J3</f>
        <v>125799.33847850056</v>
      </c>
      <c r="R11" t="s">
        <v>826</v>
      </c>
    </row>
    <row r="12" spans="1:19">
      <c r="Q12">
        <f>Q11*8760</f>
        <v>1102002205.0716648</v>
      </c>
      <c r="R12" t="s">
        <v>827</v>
      </c>
    </row>
    <row r="13" spans="1:19">
      <c r="G13" t="s">
        <v>243</v>
      </c>
      <c r="H13" t="s">
        <v>239</v>
      </c>
      <c r="Q13">
        <f>Q12/1000</f>
        <v>1102002.2050716649</v>
      </c>
      <c r="R13" t="s">
        <v>829</v>
      </c>
    </row>
    <row r="14" spans="1:19">
      <c r="G14">
        <f>H14/8760</f>
        <v>1712.3287671232877</v>
      </c>
      <c r="H14">
        <f>15*10^6</f>
        <v>15000000</v>
      </c>
      <c r="Q14">
        <f>Q13*3</f>
        <v>3306006.6152149946</v>
      </c>
    </row>
    <row r="16" spans="1:19">
      <c r="K16" t="s">
        <v>244</v>
      </c>
      <c r="L16" t="s">
        <v>646</v>
      </c>
    </row>
    <row r="17" spans="1:13" ht="15" thickBot="1">
      <c r="K17">
        <f>L17/1000</f>
        <v>0</v>
      </c>
      <c r="L17">
        <f>IF('Algorithm Inputs'!B2="Biomass Gasification",'Algorithm Inputs'!J5,0)</f>
        <v>0</v>
      </c>
      <c r="M17">
        <f>K17*J2*8760 + Q14</f>
        <v>3306006.6152149946</v>
      </c>
    </row>
    <row r="18" spans="1:13">
      <c r="A18" s="313" t="s">
        <v>170</v>
      </c>
      <c r="B18" s="314"/>
      <c r="C18" s="314"/>
      <c r="D18" s="314"/>
      <c r="E18" s="315"/>
      <c r="I18" t="s">
        <v>816</v>
      </c>
    </row>
    <row r="19" spans="1:13">
      <c r="A19" t="s">
        <v>117</v>
      </c>
      <c r="B19" t="s">
        <v>245</v>
      </c>
      <c r="C19" t="s">
        <v>246</v>
      </c>
      <c r="D19" t="s">
        <v>247</v>
      </c>
      <c r="E19" t="s">
        <v>175</v>
      </c>
      <c r="G19" t="s">
        <v>815</v>
      </c>
    </row>
    <row r="20" spans="1:13">
      <c r="A20">
        <v>4</v>
      </c>
      <c r="B20" s="44">
        <v>33333.33</v>
      </c>
      <c r="C20" s="19">
        <f>700*Table1[[#This Row],[N]]*(Table1[[#This Row],[Biomass Feed rate (kg/hr)]]*8.76)^0.84 *10^-6</f>
        <v>109.16403753293041</v>
      </c>
      <c r="D20" s="19">
        <f>Table1[[#This Row],[FCI 2020 ($ MM)]]*(G28/F28)</f>
        <v>106.86303085944216</v>
      </c>
      <c r="G20" t="s">
        <v>817</v>
      </c>
      <c r="H20">
        <f>0.16*4*(Table1[[#This Row],[Biomass Feed rate (kg/hr)]]*8.76*10^-3)^0.84</f>
        <v>75.353170960823732</v>
      </c>
    </row>
    <row r="21" spans="1:13">
      <c r="C21" s="19">
        <f>700*Table1[[#This Row],[N]]*(Table1[[#This Row],[Biomass Feed rate (kg/hr)]]*8.76)^0.84 *10^-6</f>
        <v>0</v>
      </c>
      <c r="D21" t="e">
        <f>Table1[[#This Row],[FCI 2020 ($ MM)]]*(G29/F29)</f>
        <v>#VALUE!</v>
      </c>
      <c r="G21" t="s">
        <v>818</v>
      </c>
      <c r="H21">
        <f>H20*(G28/F30)</f>
        <v>100.95959906659843</v>
      </c>
    </row>
    <row r="22" spans="1:13">
      <c r="C22" s="19">
        <f>700*Table1[[#This Row],[N]]*(Table1[[#This Row],[Biomass Feed rate (kg/hr)]]*8.76)^0.84 *10^-6</f>
        <v>0</v>
      </c>
      <c r="D22">
        <f>Table1[[#This Row],[FCI 2020 ($ MM)]]*(G30/F30)</f>
        <v>0</v>
      </c>
    </row>
    <row r="23" spans="1:13">
      <c r="C23" s="19">
        <f>700*Table1[[#This Row],[N]]*(Table1[[#This Row],[Biomass Feed rate (kg/hr)]]*8.76)^0.84 *10^-6</f>
        <v>0</v>
      </c>
      <c r="D23" t="e">
        <f>Table1[[#This Row],[FCI 2020 ($ MM)]]*(G31/F31)</f>
        <v>#DIV/0!</v>
      </c>
    </row>
    <row r="24" spans="1:13">
      <c r="C24" s="19">
        <f>700*Table1[[#This Row],[N]]*(Table1[[#This Row],[Biomass Feed rate (kg/hr)]]*8.76)^0.84 *10^-6</f>
        <v>0</v>
      </c>
      <c r="D24" t="e">
        <f>Table1[[#This Row],[FCI 2020 ($ MM)]]*(G32/F32)</f>
        <v>#DIV/0!</v>
      </c>
    </row>
    <row r="27" spans="1:13">
      <c r="A27" s="316" t="s">
        <v>219</v>
      </c>
      <c r="B27" s="316"/>
      <c r="C27" s="316"/>
      <c r="D27" s="316"/>
      <c r="E27" s="316"/>
      <c r="F27" t="s">
        <v>180</v>
      </c>
      <c r="G27" t="s">
        <v>181</v>
      </c>
      <c r="H27" t="s">
        <v>182</v>
      </c>
      <c r="I27" t="s">
        <v>183</v>
      </c>
    </row>
    <row r="28" spans="1:13">
      <c r="C28" t="s">
        <v>187</v>
      </c>
      <c r="D28" t="s">
        <v>188</v>
      </c>
      <c r="F28">
        <v>816</v>
      </c>
      <c r="G28">
        <v>798.8</v>
      </c>
      <c r="H28" s="45">
        <v>45444</v>
      </c>
      <c r="I28" s="21" t="s">
        <v>185</v>
      </c>
    </row>
    <row r="29" spans="1:13">
      <c r="A29" t="s">
        <v>190</v>
      </c>
      <c r="C29">
        <f>I11*G38</f>
        <v>6941358.1602579793</v>
      </c>
      <c r="D29">
        <f>C29/10^6</f>
        <v>6.9413581602579795</v>
      </c>
      <c r="F29" t="s">
        <v>248</v>
      </c>
    </row>
    <row r="30" spans="1:13">
      <c r="A30" t="s">
        <v>192</v>
      </c>
      <c r="F30">
        <f>596.2</f>
        <v>596.20000000000005</v>
      </c>
    </row>
    <row r="31" spans="1:13">
      <c r="A31" t="s">
        <v>195</v>
      </c>
      <c r="C31">
        <f>H14*H42</f>
        <v>900000</v>
      </c>
      <c r="D31">
        <f>C31/10^6</f>
        <v>0.9</v>
      </c>
    </row>
    <row r="32" spans="1:13">
      <c r="A32" t="s">
        <v>198</v>
      </c>
      <c r="C32">
        <f>M17</f>
        <v>3306006.6152149946</v>
      </c>
      <c r="D32">
        <f>C32/10^6</f>
        <v>3.3060066152149945</v>
      </c>
    </row>
    <row r="33" spans="1:8">
      <c r="A33" t="s">
        <v>249</v>
      </c>
      <c r="C33">
        <f>30*10^5</f>
        <v>3000000</v>
      </c>
      <c r="D33">
        <f>C33/10^6</f>
        <v>3</v>
      </c>
    </row>
    <row r="34" spans="1:8">
      <c r="A34" t="s">
        <v>250</v>
      </c>
      <c r="C34">
        <f>0.025*D20*10^6</f>
        <v>2671575.7714860542</v>
      </c>
      <c r="D34">
        <f>C34/10^6</f>
        <v>2.671575771486054</v>
      </c>
      <c r="F34" t="s">
        <v>251</v>
      </c>
    </row>
    <row r="35" spans="1:8">
      <c r="A35" t="s">
        <v>206</v>
      </c>
      <c r="C35">
        <f>0.1*SUM(C29:C34)</f>
        <v>1681894.0546959029</v>
      </c>
      <c r="D35">
        <f>C35/10^6</f>
        <v>1.6818940546959029</v>
      </c>
    </row>
    <row r="36" spans="1:8">
      <c r="A36" s="3" t="s">
        <v>252</v>
      </c>
      <c r="B36" s="3"/>
      <c r="C36" s="3"/>
      <c r="D36" s="3">
        <f>SUM(D29:D35)</f>
        <v>18.50083460165493</v>
      </c>
    </row>
    <row r="37" spans="1:8">
      <c r="A37" s="105" t="s">
        <v>210</v>
      </c>
      <c r="B37" s="105"/>
      <c r="C37" s="105"/>
      <c r="D37" s="105">
        <f>'H2 storage'!D4</f>
        <v>35.076500000000003</v>
      </c>
      <c r="F37" t="s">
        <v>189</v>
      </c>
    </row>
    <row r="38" spans="1:8">
      <c r="F38" t="s">
        <v>191</v>
      </c>
      <c r="G38">
        <f>'NG Prices'!E5</f>
        <v>2.6148148148148147</v>
      </c>
    </row>
    <row r="39" spans="1:8">
      <c r="A39" t="s">
        <v>208</v>
      </c>
      <c r="D39" s="5">
        <f>D36</f>
        <v>18.50083460165493</v>
      </c>
      <c r="F39" t="s">
        <v>193</v>
      </c>
      <c r="G39">
        <f>'Algorithm Inputs'!C14</f>
        <v>0.5</v>
      </c>
    </row>
    <row r="40" spans="1:8">
      <c r="A40" t="s">
        <v>213</v>
      </c>
      <c r="D40" t="e">
        <f>1.1*(D29+D30+(H14*H44*10^-6)+D32+D33+D34)</f>
        <v>#VALUE!</v>
      </c>
      <c r="F40" t="s">
        <v>196</v>
      </c>
      <c r="G40">
        <f>'Algorithm Inputs'!C13</f>
        <v>3</v>
      </c>
    </row>
    <row r="41" spans="1:8">
      <c r="F41" t="s">
        <v>199</v>
      </c>
      <c r="G41">
        <f>G40</f>
        <v>3</v>
      </c>
    </row>
    <row r="42" spans="1:8">
      <c r="F42" t="s">
        <v>203</v>
      </c>
      <c r="G42" s="89"/>
      <c r="H42" s="14">
        <f>IF('Algorithm Inputs'!B12="Conventional Grid", 'Algorithm Inputs'!C12, "")</f>
        <v>0.06</v>
      </c>
    </row>
    <row r="43" spans="1:8">
      <c r="F43" t="s">
        <v>207</v>
      </c>
    </row>
    <row r="44" spans="1:8">
      <c r="F44" t="s">
        <v>253</v>
      </c>
      <c r="H44" s="14" t="str">
        <f>IF('Algorithm Inputs'!B12="Renewable Grid", 'Algorithm Inputs'!C12, "")</f>
        <v/>
      </c>
    </row>
  </sheetData>
  <mergeCells count="3">
    <mergeCell ref="A18:E18"/>
    <mergeCell ref="A1:E1"/>
    <mergeCell ref="A27:E27"/>
  </mergeCells>
  <hyperlinks>
    <hyperlink ref="I28" r:id="rId1" xr:uid="{36D45FA2-59FD-4762-ADCD-90ED5CCC42F3}"/>
  </hyperlinks>
  <pageMargins left="0.7" right="0.7" top="0.75" bottom="0.75" header="0.3" footer="0.3"/>
  <drawing r:id="rId2"/>
  <tableParts count="2">
    <tablePart r:id="rId3"/>
    <tablePart r:id="rId4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6E3888B-726D-40B9-84DC-6C9BE2BEB1F7}">
  <sheetPr codeName="Sheet8"/>
  <dimension ref="A1:Q52"/>
  <sheetViews>
    <sheetView topLeftCell="A13" workbookViewId="0">
      <selection activeCell="B22" sqref="B22"/>
    </sheetView>
  </sheetViews>
  <sheetFormatPr defaultRowHeight="14.4"/>
  <cols>
    <col min="1" max="1" width="39.5546875" bestFit="1" customWidth="1"/>
    <col min="2" max="2" width="26" bestFit="1" customWidth="1"/>
    <col min="3" max="3" width="25.109375" bestFit="1" customWidth="1"/>
    <col min="4" max="4" width="15.44140625" bestFit="1" customWidth="1"/>
    <col min="5" max="5" width="19.5546875" customWidth="1"/>
    <col min="9" max="9" width="11.109375" bestFit="1" customWidth="1"/>
    <col min="10" max="10" width="18.44140625" bestFit="1" customWidth="1"/>
    <col min="11" max="11" width="14.5546875" bestFit="1" customWidth="1"/>
    <col min="12" max="12" width="19" bestFit="1" customWidth="1"/>
    <col min="13" max="13" width="10" bestFit="1" customWidth="1"/>
    <col min="14" max="14" width="14.5546875" bestFit="1" customWidth="1"/>
    <col min="16" max="16" width="14" bestFit="1" customWidth="1"/>
  </cols>
  <sheetData>
    <row r="1" spans="1:17" ht="15" thickBot="1">
      <c r="A1" s="310" t="s">
        <v>219</v>
      </c>
      <c r="B1" s="311"/>
      <c r="C1" s="311"/>
      <c r="D1" s="311"/>
      <c r="E1" s="312"/>
      <c r="J1" t="s">
        <v>220</v>
      </c>
      <c r="K1" t="s">
        <v>222</v>
      </c>
      <c r="M1" t="s">
        <v>136</v>
      </c>
      <c r="N1" t="s">
        <v>222</v>
      </c>
      <c r="O1" t="s">
        <v>254</v>
      </c>
      <c r="P1" t="s">
        <v>255</v>
      </c>
    </row>
    <row r="2" spans="1:17">
      <c r="A2" t="s">
        <v>140</v>
      </c>
      <c r="B2" t="s">
        <v>256</v>
      </c>
      <c r="C2" t="s">
        <v>257</v>
      </c>
      <c r="D2" t="s">
        <v>258</v>
      </c>
      <c r="E2" t="s">
        <v>144</v>
      </c>
      <c r="J2" t="s">
        <v>47</v>
      </c>
      <c r="K2">
        <v>50129.1</v>
      </c>
      <c r="M2" t="s">
        <v>50</v>
      </c>
      <c r="N2" s="50">
        <v>4163.6699741760767</v>
      </c>
      <c r="O2">
        <v>5</v>
      </c>
      <c r="P2">
        <f>N2*8760*O2</f>
        <v>182368744.86891216</v>
      </c>
    </row>
    <row r="3" spans="1:17">
      <c r="A3" s="46" t="s">
        <v>259</v>
      </c>
      <c r="B3" s="48"/>
      <c r="C3" s="48"/>
      <c r="D3" s="48">
        <v>201490</v>
      </c>
      <c r="E3" s="48" t="s">
        <v>260</v>
      </c>
      <c r="M3" t="s">
        <v>53</v>
      </c>
      <c r="N3" s="47">
        <v>33138.328895197345</v>
      </c>
      <c r="O3">
        <v>0.3</v>
      </c>
      <c r="P3">
        <f>N3*8760*O3</f>
        <v>87087528.336578622</v>
      </c>
    </row>
    <row r="4" spans="1:17">
      <c r="A4" s="46" t="s">
        <v>261</v>
      </c>
      <c r="B4" s="48"/>
      <c r="C4" s="48"/>
      <c r="D4" s="48">
        <v>71.930000000000007</v>
      </c>
      <c r="E4" s="48" t="s">
        <v>260</v>
      </c>
      <c r="G4" t="s">
        <v>262</v>
      </c>
      <c r="K4">
        <f>K2*8.76</f>
        <v>439130.91599999997</v>
      </c>
      <c r="L4" t="s">
        <v>559</v>
      </c>
      <c r="P4">
        <f>SUM(P2:P3)</f>
        <v>269456273.20549077</v>
      </c>
      <c r="Q4" s="5">
        <f>P4/10^6</f>
        <v>269.45627320549079</v>
      </c>
    </row>
    <row r="5" spans="1:17">
      <c r="A5" s="46" t="s">
        <v>263</v>
      </c>
      <c r="B5" s="48"/>
      <c r="C5" s="48"/>
      <c r="D5" s="49">
        <v>28838.944519034387</v>
      </c>
      <c r="E5" s="48" t="s">
        <v>260</v>
      </c>
      <c r="J5" t="s">
        <v>764</v>
      </c>
      <c r="K5">
        <f>IF('Algorithm Inputs'!B2="Water Electrolysis", 'Algorithm Inputs'!J5, 0)</f>
        <v>0</v>
      </c>
    </row>
    <row r="6" spans="1:17">
      <c r="L6" t="s">
        <v>264</v>
      </c>
    </row>
    <row r="7" spans="1:17">
      <c r="J7" t="s">
        <v>765</v>
      </c>
      <c r="K7">
        <v>28.3</v>
      </c>
    </row>
    <row r="8" spans="1:17">
      <c r="H8" t="s">
        <v>265</v>
      </c>
      <c r="J8" t="s">
        <v>266</v>
      </c>
      <c r="K8" t="s">
        <v>267</v>
      </c>
      <c r="L8" t="s">
        <v>268</v>
      </c>
    </row>
    <row r="9" spans="1:17">
      <c r="K9">
        <f>48.35*N2*8760</f>
        <v>1763505762.8823807</v>
      </c>
      <c r="L9">
        <f>K9*K32</f>
        <v>105810345.77294284</v>
      </c>
    </row>
    <row r="11" spans="1:17">
      <c r="O11">
        <f>201.5/250</f>
        <v>0.80600000000000005</v>
      </c>
    </row>
    <row r="15" spans="1:17">
      <c r="A15" t="s">
        <v>269</v>
      </c>
      <c r="D15">
        <f>SUM(D3:D5)*8760</f>
        <v>2018311660.786741</v>
      </c>
    </row>
    <row r="16" spans="1:17">
      <c r="A16" t="s">
        <v>270</v>
      </c>
      <c r="D16">
        <f>D15*K32/10^6</f>
        <v>121.09869964720446</v>
      </c>
      <c r="J16" t="s">
        <v>271</v>
      </c>
      <c r="K16" t="s">
        <v>272</v>
      </c>
    </row>
    <row r="17" spans="1:13" ht="15" thickBot="1"/>
    <row r="18" spans="1:13" ht="15" thickBot="1">
      <c r="A18" s="310" t="s">
        <v>273</v>
      </c>
      <c r="B18" s="311"/>
      <c r="C18" s="311"/>
      <c r="D18" s="311"/>
      <c r="E18" s="312"/>
      <c r="J18" t="s">
        <v>274</v>
      </c>
      <c r="L18" t="s">
        <v>819</v>
      </c>
      <c r="M18" t="s">
        <v>275</v>
      </c>
    </row>
    <row r="19" spans="1:13">
      <c r="B19" s="8" t="s">
        <v>276</v>
      </c>
      <c r="C19" t="s">
        <v>277</v>
      </c>
      <c r="I19" t="s">
        <v>278</v>
      </c>
      <c r="J19">
        <f>1060*D3</f>
        <v>213579400</v>
      </c>
      <c r="K19" t="s">
        <v>279</v>
      </c>
      <c r="L19" t="s">
        <v>280</v>
      </c>
      <c r="M19">
        <f>2000*D3</f>
        <v>402980000</v>
      </c>
    </row>
    <row r="20" spans="1:13">
      <c r="A20" t="s">
        <v>281</v>
      </c>
      <c r="B20">
        <f>(J20/10^6)*(J24/I24)</f>
        <v>336.65612550072018</v>
      </c>
      <c r="C20">
        <f>B20/7</f>
        <v>48.093732214388595</v>
      </c>
      <c r="I20" t="s">
        <v>282</v>
      </c>
      <c r="J20">
        <f>J19/0.85</f>
        <v>251269882.35294119</v>
      </c>
      <c r="K20" t="s">
        <v>283</v>
      </c>
    </row>
    <row r="21" spans="1:13">
      <c r="A21" t="s">
        <v>284</v>
      </c>
      <c r="B21">
        <f>(M19/10^6)*(J24/H24)</f>
        <v>394.48581372549017</v>
      </c>
      <c r="C21">
        <f>B21/7</f>
        <v>56.355116246498596</v>
      </c>
      <c r="I21">
        <v>2020</v>
      </c>
      <c r="J21">
        <f>J20/D3</f>
        <v>1247.0588235294117</v>
      </c>
      <c r="K21" t="s">
        <v>285</v>
      </c>
    </row>
    <row r="23" spans="1:13">
      <c r="H23" t="s">
        <v>180</v>
      </c>
      <c r="I23" t="s">
        <v>248</v>
      </c>
      <c r="J23" t="s">
        <v>181</v>
      </c>
      <c r="K23" t="s">
        <v>182</v>
      </c>
    </row>
    <row r="24" spans="1:13">
      <c r="A24" s="316" t="s">
        <v>219</v>
      </c>
      <c r="B24" s="316"/>
      <c r="C24" s="316"/>
      <c r="D24" s="316"/>
      <c r="E24" s="316"/>
      <c r="F24" t="s">
        <v>286</v>
      </c>
      <c r="H24">
        <v>816</v>
      </c>
      <c r="I24">
        <v>596.20000000000005</v>
      </c>
      <c r="J24">
        <v>798.8</v>
      </c>
      <c r="K24" s="45" t="s">
        <v>184</v>
      </c>
    </row>
    <row r="25" spans="1:13">
      <c r="C25" t="s">
        <v>187</v>
      </c>
      <c r="D25" t="s">
        <v>188</v>
      </c>
    </row>
    <row r="26" spans="1:13">
      <c r="A26" t="s">
        <v>190</v>
      </c>
      <c r="D26" s="99">
        <f>C26/10^6</f>
        <v>0</v>
      </c>
    </row>
    <row r="27" spans="1:13">
      <c r="A27" t="s">
        <v>192</v>
      </c>
    </row>
    <row r="28" spans="1:13">
      <c r="A28" t="s">
        <v>287</v>
      </c>
      <c r="C28">
        <f>D15*K32</f>
        <v>121098699.64720446</v>
      </c>
      <c r="D28">
        <f>C28/10^6</f>
        <v>121.09869964720446</v>
      </c>
    </row>
    <row r="29" spans="1:13">
      <c r="A29" t="s">
        <v>198</v>
      </c>
      <c r="B29">
        <f>(K2/K7)*8760*K5</f>
        <v>0</v>
      </c>
      <c r="C29">
        <v>0</v>
      </c>
      <c r="D29">
        <f>C29/10^6</f>
        <v>0</v>
      </c>
    </row>
    <row r="30" spans="1:13">
      <c r="A30" t="s">
        <v>288</v>
      </c>
      <c r="C30">
        <f>30*10^5</f>
        <v>3000000</v>
      </c>
      <c r="D30">
        <f t="shared" ref="D30:D32" si="0">C30/10^6</f>
        <v>3</v>
      </c>
    </row>
    <row r="31" spans="1:13">
      <c r="A31" t="s">
        <v>202</v>
      </c>
      <c r="C31">
        <f>0.025*C21*10^6</f>
        <v>1408877.906162465</v>
      </c>
      <c r="D31">
        <f t="shared" si="0"/>
        <v>1.408877906162465</v>
      </c>
      <c r="K31" t="s">
        <v>289</v>
      </c>
    </row>
    <row r="32" spans="1:13">
      <c r="A32" t="s">
        <v>206</v>
      </c>
      <c r="C32">
        <f>0.1*SUM(C26:C31)</f>
        <v>12550757.755336694</v>
      </c>
      <c r="D32">
        <f t="shared" si="0"/>
        <v>12.550757755336694</v>
      </c>
      <c r="I32" t="s">
        <v>203</v>
      </c>
      <c r="J32" s="89"/>
      <c r="K32" s="14">
        <f>IF('Algorithm Inputs'!B12="Conventional Grid", 'Algorithm Inputs'!C12, "")</f>
        <v>0.06</v>
      </c>
      <c r="L32">
        <v>0.06</v>
      </c>
    </row>
    <row r="33" spans="1:11">
      <c r="I33" t="s">
        <v>290</v>
      </c>
      <c r="K33" s="14" t="str">
        <f>IF('Algorithm Inputs'!B12="Renewable Grid", 'Algorithm Inputs'!C12, "")</f>
        <v/>
      </c>
    </row>
    <row r="34" spans="1:11">
      <c r="A34" t="s">
        <v>291</v>
      </c>
      <c r="D34">
        <f>SUM(D26:D32)</f>
        <v>138.05833530870362</v>
      </c>
      <c r="I34" t="s">
        <v>292</v>
      </c>
    </row>
    <row r="35" spans="1:11">
      <c r="A35" s="105" t="s">
        <v>210</v>
      </c>
      <c r="B35" s="105"/>
      <c r="C35" s="105">
        <f>D35*10^6</f>
        <v>35076500</v>
      </c>
      <c r="D35" s="105">
        <f>'H2 storage'!D4</f>
        <v>35.076500000000003</v>
      </c>
    </row>
    <row r="36" spans="1:11">
      <c r="I36" t="s">
        <v>293</v>
      </c>
    </row>
    <row r="37" spans="1:11" ht="100.8">
      <c r="A37" t="s">
        <v>294</v>
      </c>
      <c r="D37" s="15">
        <f>D34</f>
        <v>138.05833530870362</v>
      </c>
      <c r="I37" s="6" t="s">
        <v>295</v>
      </c>
      <c r="J37" t="s">
        <v>296</v>
      </c>
      <c r="K37" t="s">
        <v>297</v>
      </c>
    </row>
    <row r="39" spans="1:11">
      <c r="A39" t="s">
        <v>298</v>
      </c>
      <c r="C39" t="e">
        <f>1.1*((D15*K33)+C29+C30+C31)</f>
        <v>#VALUE!</v>
      </c>
      <c r="D39" s="5" t="e">
        <f>C39/10^6</f>
        <v>#VALUE!</v>
      </c>
      <c r="I39" t="s">
        <v>189</v>
      </c>
    </row>
    <row r="40" spans="1:11">
      <c r="I40" t="s">
        <v>191</v>
      </c>
      <c r="J40">
        <v>2.6148099999999999</v>
      </c>
    </row>
    <row r="41" spans="1:11">
      <c r="I41" t="s">
        <v>193</v>
      </c>
      <c r="J41">
        <f>'Algorithm Inputs'!C14</f>
        <v>0.5</v>
      </c>
      <c r="K41" t="s">
        <v>194</v>
      </c>
    </row>
    <row r="42" spans="1:11">
      <c r="I42" t="s">
        <v>196</v>
      </c>
      <c r="J42">
        <f>'Algorithm Inputs'!C13</f>
        <v>3</v>
      </c>
      <c r="K42" t="s">
        <v>197</v>
      </c>
    </row>
    <row r="43" spans="1:11">
      <c r="I43" t="s">
        <v>199</v>
      </c>
      <c r="J43">
        <f>J42</f>
        <v>3</v>
      </c>
      <c r="K43" t="s">
        <v>194</v>
      </c>
    </row>
    <row r="44" spans="1:11">
      <c r="K44" t="s">
        <v>299</v>
      </c>
    </row>
    <row r="45" spans="1:11">
      <c r="J45" s="89"/>
    </row>
    <row r="47" spans="1:11">
      <c r="I47" t="s">
        <v>300</v>
      </c>
      <c r="J47">
        <f>5*J40</f>
        <v>13.07405</v>
      </c>
    </row>
    <row r="48" spans="1:11">
      <c r="I48" t="s">
        <v>211</v>
      </c>
    </row>
    <row r="49" spans="9:11">
      <c r="I49" t="s">
        <v>212</v>
      </c>
    </row>
    <row r="52" spans="9:11">
      <c r="I52" t="s">
        <v>301</v>
      </c>
      <c r="J52">
        <v>0.1</v>
      </c>
      <c r="K52" t="s">
        <v>302</v>
      </c>
    </row>
  </sheetData>
  <mergeCells count="3">
    <mergeCell ref="A1:E1"/>
    <mergeCell ref="A18:E18"/>
    <mergeCell ref="A24:E24"/>
  </mergeCells>
  <pageMargins left="0.7" right="0.7" top="0.75" bottom="0.75" header="0.3" footer="0.3"/>
  <pageSetup orientation="portrait" r:id="rId1"/>
  <drawing r:id="rId2"/>
  <tableParts count="1">
    <tablePart r:id="rId3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F17D672-2F4A-4617-8132-AC1F1A04565F}">
  <sheetPr codeName="Sheet9"/>
  <dimension ref="A1:S100"/>
  <sheetViews>
    <sheetView topLeftCell="D1" workbookViewId="0">
      <selection activeCell="K11" sqref="K11"/>
    </sheetView>
  </sheetViews>
  <sheetFormatPr defaultRowHeight="14.4"/>
  <cols>
    <col min="1" max="1" width="20.88671875" bestFit="1" customWidth="1"/>
    <col min="2" max="2" width="18.33203125" bestFit="1" customWidth="1"/>
    <col min="3" max="3" width="32.44140625" bestFit="1" customWidth="1"/>
    <col min="4" max="4" width="14.109375" bestFit="1" customWidth="1"/>
    <col min="5" max="6" width="13.6640625" bestFit="1" customWidth="1"/>
    <col min="7" max="7" width="14.109375" bestFit="1" customWidth="1"/>
    <col min="8" max="8" width="27.33203125" customWidth="1"/>
    <col min="9" max="9" width="40.88671875" customWidth="1"/>
    <col min="10" max="10" width="11" bestFit="1" customWidth="1"/>
    <col min="11" max="11" width="16.33203125" bestFit="1" customWidth="1"/>
    <col min="12" max="12" width="25.6640625" bestFit="1" customWidth="1"/>
    <col min="13" max="13" width="13.33203125" bestFit="1" customWidth="1"/>
  </cols>
  <sheetData>
    <row r="1" spans="1:19" ht="28.8">
      <c r="A1" s="57"/>
      <c r="B1" s="58" t="s">
        <v>303</v>
      </c>
      <c r="C1" s="58" t="s">
        <v>304</v>
      </c>
      <c r="D1" s="58" t="s">
        <v>305</v>
      </c>
      <c r="E1" s="58" t="s">
        <v>306</v>
      </c>
      <c r="F1" s="58" t="s">
        <v>307</v>
      </c>
      <c r="G1" s="58" t="s">
        <v>308</v>
      </c>
      <c r="H1" s="59" t="s">
        <v>309</v>
      </c>
      <c r="L1" s="72" t="s">
        <v>310</v>
      </c>
      <c r="M1" s="73" t="s">
        <v>311</v>
      </c>
      <c r="N1" s="73" t="s">
        <v>312</v>
      </c>
      <c r="O1" s="73" t="s">
        <v>313</v>
      </c>
      <c r="P1" s="73" t="s">
        <v>314</v>
      </c>
      <c r="Q1" s="73" t="s">
        <v>312</v>
      </c>
      <c r="R1" s="73" t="s">
        <v>313</v>
      </c>
      <c r="S1" s="74" t="s">
        <v>314</v>
      </c>
    </row>
    <row r="2" spans="1:19" ht="37.200000000000003">
      <c r="A2" s="60" t="s">
        <v>315</v>
      </c>
      <c r="B2" s="61"/>
      <c r="C2" s="62"/>
      <c r="D2" s="63"/>
      <c r="E2" s="63"/>
      <c r="F2" s="64"/>
      <c r="G2" s="64"/>
      <c r="H2" s="65"/>
      <c r="L2" s="57"/>
      <c r="M2" s="75" t="s">
        <v>316</v>
      </c>
      <c r="N2" s="75" t="s">
        <v>304</v>
      </c>
      <c r="O2" s="75" t="s">
        <v>305</v>
      </c>
      <c r="P2" s="75" t="s">
        <v>306</v>
      </c>
      <c r="Q2" s="75" t="s">
        <v>317</v>
      </c>
      <c r="R2" s="75" t="s">
        <v>318</v>
      </c>
      <c r="S2" s="76" t="s">
        <v>319</v>
      </c>
    </row>
    <row r="3" spans="1:19">
      <c r="A3" s="66" t="s">
        <v>315</v>
      </c>
      <c r="B3" s="67">
        <v>1.026E-3</v>
      </c>
      <c r="C3" s="68">
        <v>53.06</v>
      </c>
      <c r="D3" s="69">
        <v>1</v>
      </c>
      <c r="E3" s="68">
        <v>0.1</v>
      </c>
      <c r="F3" s="70">
        <v>5.4440000000000002E-2</v>
      </c>
      <c r="G3" s="70">
        <v>1.0300000000000001E-3</v>
      </c>
      <c r="H3" s="71">
        <v>1E-4</v>
      </c>
      <c r="L3" s="77" t="s">
        <v>320</v>
      </c>
      <c r="M3" s="78"/>
      <c r="N3" s="78"/>
      <c r="O3" s="78"/>
      <c r="P3" s="78"/>
      <c r="Q3" s="78"/>
      <c r="R3" s="78"/>
      <c r="S3" s="79"/>
    </row>
    <row r="4" spans="1:19">
      <c r="L4" s="66" t="s">
        <v>321</v>
      </c>
      <c r="M4" s="68">
        <v>25.09</v>
      </c>
      <c r="N4" s="68">
        <v>103.69</v>
      </c>
      <c r="O4" s="80">
        <v>11</v>
      </c>
      <c r="P4" s="69">
        <v>1.6</v>
      </c>
      <c r="Q4" s="80">
        <v>2602</v>
      </c>
      <c r="R4" s="80">
        <v>276</v>
      </c>
      <c r="S4" s="81">
        <v>40</v>
      </c>
    </row>
    <row r="5" spans="1:19">
      <c r="L5" s="66" t="s">
        <v>322</v>
      </c>
      <c r="M5" s="68">
        <v>24.93</v>
      </c>
      <c r="N5" s="68">
        <v>93.28</v>
      </c>
      <c r="O5" s="80">
        <v>11</v>
      </c>
      <c r="P5" s="69">
        <v>1.6</v>
      </c>
      <c r="Q5" s="80">
        <v>2325</v>
      </c>
      <c r="R5" s="80">
        <v>274</v>
      </c>
      <c r="S5" s="81">
        <v>40</v>
      </c>
    </row>
    <row r="6" spans="1:19">
      <c r="L6" s="66" t="s">
        <v>323</v>
      </c>
      <c r="M6" s="68">
        <v>17.25</v>
      </c>
      <c r="N6" s="68">
        <v>97.17</v>
      </c>
      <c r="O6" s="80">
        <v>11</v>
      </c>
      <c r="P6" s="69">
        <v>1.6</v>
      </c>
      <c r="Q6" s="80">
        <v>1676</v>
      </c>
      <c r="R6" s="80">
        <v>190</v>
      </c>
      <c r="S6" s="81">
        <v>28</v>
      </c>
    </row>
    <row r="7" spans="1:19">
      <c r="L7" s="66" t="s">
        <v>324</v>
      </c>
      <c r="M7" s="68">
        <v>14.21</v>
      </c>
      <c r="N7" s="68">
        <v>97.72</v>
      </c>
      <c r="O7" s="80">
        <v>11</v>
      </c>
      <c r="P7" s="69">
        <v>1.6</v>
      </c>
      <c r="Q7" s="80">
        <v>1389</v>
      </c>
      <c r="R7" s="80">
        <v>156</v>
      </c>
      <c r="S7" s="81">
        <v>23</v>
      </c>
    </row>
    <row r="8" spans="1:19">
      <c r="A8" t="s">
        <v>325</v>
      </c>
      <c r="D8" t="s">
        <v>326</v>
      </c>
      <c r="I8" t="s">
        <v>327</v>
      </c>
      <c r="L8" s="66" t="s">
        <v>328</v>
      </c>
      <c r="M8" s="68">
        <v>21.39</v>
      </c>
      <c r="N8" s="68">
        <v>94.27</v>
      </c>
      <c r="O8" s="80">
        <v>11</v>
      </c>
      <c r="P8" s="69">
        <v>1.6</v>
      </c>
      <c r="Q8" s="80">
        <v>2016</v>
      </c>
      <c r="R8" s="80">
        <v>235</v>
      </c>
      <c r="S8" s="81">
        <v>34</v>
      </c>
    </row>
    <row r="9" spans="1:19">
      <c r="A9" t="s">
        <v>329</v>
      </c>
      <c r="D9" t="s">
        <v>330</v>
      </c>
      <c r="I9" t="s">
        <v>331</v>
      </c>
      <c r="J9" s="104">
        <f>C3</f>
        <v>53.06</v>
      </c>
      <c r="L9" s="66" t="s">
        <v>332</v>
      </c>
      <c r="M9" s="68">
        <v>19.73</v>
      </c>
      <c r="N9" s="68">
        <v>95.52</v>
      </c>
      <c r="O9" s="80">
        <v>11</v>
      </c>
      <c r="P9" s="69">
        <v>1.6</v>
      </c>
      <c r="Q9" s="80">
        <v>1885</v>
      </c>
      <c r="R9" s="80">
        <v>217</v>
      </c>
      <c r="S9" s="81">
        <v>32</v>
      </c>
    </row>
    <row r="10" spans="1:19">
      <c r="A10" t="s">
        <v>333</v>
      </c>
      <c r="I10" t="s">
        <v>334</v>
      </c>
      <c r="J10">
        <v>823.1</v>
      </c>
      <c r="K10" t="s">
        <v>824</v>
      </c>
      <c r="L10" s="66" t="s">
        <v>335</v>
      </c>
      <c r="M10" s="68">
        <v>26.28</v>
      </c>
      <c r="N10" s="68">
        <v>93.9</v>
      </c>
      <c r="O10" s="80">
        <v>11</v>
      </c>
      <c r="P10" s="69">
        <v>1.6</v>
      </c>
      <c r="Q10" s="80">
        <v>2468</v>
      </c>
      <c r="R10" s="80">
        <v>289</v>
      </c>
      <c r="S10" s="81">
        <v>42</v>
      </c>
    </row>
    <row r="11" spans="1:19" ht="43.2">
      <c r="A11" t="s">
        <v>336</v>
      </c>
      <c r="I11" t="s">
        <v>337</v>
      </c>
      <c r="J11">
        <v>2.5000000000000001E-2</v>
      </c>
      <c r="K11" s="6" t="s">
        <v>338</v>
      </c>
      <c r="L11" s="66" t="s">
        <v>339</v>
      </c>
      <c r="M11" s="68">
        <v>22.35</v>
      </c>
      <c r="N11" s="68">
        <v>94.67</v>
      </c>
      <c r="O11" s="80">
        <v>11</v>
      </c>
      <c r="P11" s="69">
        <v>1.6</v>
      </c>
      <c r="Q11" s="80">
        <v>2116</v>
      </c>
      <c r="R11" s="80">
        <v>246</v>
      </c>
      <c r="S11" s="81">
        <v>36</v>
      </c>
    </row>
    <row r="12" spans="1:19">
      <c r="I12" t="s">
        <v>340</v>
      </c>
      <c r="L12" s="66" t="s">
        <v>341</v>
      </c>
      <c r="M12" s="68">
        <v>24.8</v>
      </c>
      <c r="N12" s="68">
        <v>113.67</v>
      </c>
      <c r="O12" s="80">
        <v>11</v>
      </c>
      <c r="P12" s="69">
        <v>1.6</v>
      </c>
      <c r="Q12" s="80">
        <v>2819</v>
      </c>
      <c r="R12" s="80">
        <v>273</v>
      </c>
      <c r="S12" s="81">
        <v>40</v>
      </c>
    </row>
    <row r="13" spans="1:19">
      <c r="L13" s="82" t="s">
        <v>342</v>
      </c>
      <c r="M13" s="83"/>
      <c r="N13" s="83"/>
      <c r="O13" s="84"/>
      <c r="P13" s="85"/>
      <c r="Q13" s="84"/>
      <c r="R13" s="84"/>
      <c r="S13" s="86"/>
    </row>
    <row r="14" spans="1:19">
      <c r="L14" s="66" t="s">
        <v>343</v>
      </c>
      <c r="M14" s="68">
        <v>9.9499999999999993</v>
      </c>
      <c r="N14" s="68">
        <v>90.7</v>
      </c>
      <c r="O14" s="80">
        <v>32</v>
      </c>
      <c r="P14" s="69">
        <v>4.2</v>
      </c>
      <c r="Q14" s="80">
        <v>902</v>
      </c>
      <c r="R14" s="80">
        <v>318</v>
      </c>
      <c r="S14" s="81">
        <v>42</v>
      </c>
    </row>
    <row r="15" spans="1:19">
      <c r="L15" s="66" t="s">
        <v>344</v>
      </c>
      <c r="M15" s="68">
        <v>30</v>
      </c>
      <c r="N15" s="68">
        <v>102.41</v>
      </c>
      <c r="O15" s="80">
        <v>32</v>
      </c>
      <c r="P15" s="69">
        <v>4.2</v>
      </c>
      <c r="Q15" s="80">
        <v>3072</v>
      </c>
      <c r="R15" s="80">
        <v>960</v>
      </c>
      <c r="S15" s="81">
        <v>126</v>
      </c>
    </row>
    <row r="16" spans="1:19">
      <c r="L16" s="66" t="s">
        <v>345</v>
      </c>
      <c r="M16" s="68">
        <v>38</v>
      </c>
      <c r="N16" s="68">
        <v>75</v>
      </c>
      <c r="O16" s="80">
        <v>32</v>
      </c>
      <c r="P16" s="69">
        <v>4.2</v>
      </c>
      <c r="Q16" s="80">
        <v>2850</v>
      </c>
      <c r="R16" s="80">
        <v>1216</v>
      </c>
      <c r="S16" s="81">
        <v>160</v>
      </c>
    </row>
    <row r="17" spans="1:19">
      <c r="L17" s="66" t="s">
        <v>346</v>
      </c>
      <c r="M17" s="68">
        <v>28</v>
      </c>
      <c r="N17" s="68">
        <v>85.97</v>
      </c>
      <c r="O17" s="80">
        <v>32</v>
      </c>
      <c r="P17" s="69">
        <v>4.2</v>
      </c>
      <c r="Q17" s="80">
        <v>2407</v>
      </c>
      <c r="R17" s="80">
        <v>896</v>
      </c>
      <c r="S17" s="81">
        <v>118</v>
      </c>
    </row>
    <row r="18" spans="1:19">
      <c r="L18" s="82" t="s">
        <v>347</v>
      </c>
      <c r="M18" s="83"/>
      <c r="N18" s="83"/>
      <c r="O18" s="84"/>
      <c r="P18" s="85"/>
      <c r="Q18" s="87"/>
      <c r="R18" s="87"/>
      <c r="S18" s="88"/>
    </row>
    <row r="19" spans="1:19">
      <c r="L19" s="66" t="s">
        <v>348</v>
      </c>
      <c r="M19" s="68">
        <v>8.25</v>
      </c>
      <c r="N19" s="68">
        <v>118.17</v>
      </c>
      <c r="O19" s="80">
        <v>32</v>
      </c>
      <c r="P19" s="69">
        <v>4.2</v>
      </c>
      <c r="Q19" s="80">
        <v>975</v>
      </c>
      <c r="R19" s="80">
        <v>264</v>
      </c>
      <c r="S19" s="81">
        <v>35</v>
      </c>
    </row>
    <row r="20" spans="1:19">
      <c r="L20" s="66" t="s">
        <v>349</v>
      </c>
      <c r="M20" s="68">
        <v>8</v>
      </c>
      <c r="N20" s="68">
        <v>111.84</v>
      </c>
      <c r="O20" s="80">
        <v>32</v>
      </c>
      <c r="P20" s="69">
        <v>4.2</v>
      </c>
      <c r="Q20" s="80">
        <v>895</v>
      </c>
      <c r="R20" s="80">
        <v>256</v>
      </c>
      <c r="S20" s="81">
        <v>34</v>
      </c>
    </row>
    <row r="21" spans="1:19">
      <c r="L21" s="66" t="s">
        <v>350</v>
      </c>
      <c r="M21" s="68">
        <v>10.39</v>
      </c>
      <c r="N21" s="68">
        <v>105.51</v>
      </c>
      <c r="O21" s="80">
        <v>32</v>
      </c>
      <c r="P21" s="69">
        <v>4.2</v>
      </c>
      <c r="Q21" s="80">
        <v>1096</v>
      </c>
      <c r="R21" s="80">
        <v>332</v>
      </c>
      <c r="S21" s="81">
        <v>44</v>
      </c>
    </row>
    <row r="22" spans="1:19">
      <c r="L22" s="66" t="s">
        <v>351</v>
      </c>
      <c r="M22" s="68">
        <v>17.48</v>
      </c>
      <c r="N22" s="68">
        <v>93.8</v>
      </c>
      <c r="O22" s="69">
        <v>7.2</v>
      </c>
      <c r="P22" s="69">
        <v>3.6</v>
      </c>
      <c r="Q22" s="80">
        <v>1640</v>
      </c>
      <c r="R22" s="80">
        <v>126</v>
      </c>
      <c r="S22" s="81">
        <v>63</v>
      </c>
    </row>
    <row r="25" spans="1:19" ht="15" thickBot="1">
      <c r="A25" s="309" t="s">
        <v>352</v>
      </c>
      <c r="B25" s="309"/>
      <c r="C25" s="309"/>
      <c r="D25" s="309"/>
      <c r="E25" s="309"/>
      <c r="F25" s="309"/>
      <c r="G25" s="309"/>
      <c r="H25" s="309"/>
      <c r="I25" s="309"/>
      <c r="J25" s="309"/>
      <c r="K25" s="309"/>
    </row>
    <row r="26" spans="1:19">
      <c r="A26" s="109" t="s">
        <v>353</v>
      </c>
      <c r="B26" s="11" t="s">
        <v>354</v>
      </c>
      <c r="C26" s="11"/>
      <c r="D26" s="11"/>
      <c r="E26" s="11"/>
      <c r="F26" s="11"/>
      <c r="G26" s="11"/>
      <c r="H26" s="11"/>
      <c r="I26" s="11" t="s">
        <v>355</v>
      </c>
      <c r="J26" t="s">
        <v>356</v>
      </c>
      <c r="K26" t="s">
        <v>357</v>
      </c>
    </row>
    <row r="27" spans="1:19">
      <c r="A27" s="110" t="s">
        <v>358</v>
      </c>
      <c r="B27" s="11" t="s">
        <v>359</v>
      </c>
      <c r="C27" s="11"/>
      <c r="D27" s="11"/>
      <c r="E27" s="11" t="s">
        <v>360</v>
      </c>
      <c r="F27" s="11" t="s">
        <v>361</v>
      </c>
      <c r="G27" s="11" t="s">
        <v>362</v>
      </c>
      <c r="H27" s="11"/>
      <c r="I27" s="11"/>
      <c r="L27" t="s">
        <v>363</v>
      </c>
    </row>
    <row r="28" spans="1:19">
      <c r="A28" s="110"/>
      <c r="B28" s="11"/>
      <c r="C28" s="116" t="s">
        <v>364</v>
      </c>
      <c r="D28" s="117">
        <f>'SMR Economics'!H11</f>
        <v>3428926.8</v>
      </c>
      <c r="E28" s="118">
        <f>J9</f>
        <v>53.06</v>
      </c>
      <c r="F28" s="116"/>
      <c r="G28" s="116"/>
      <c r="H28" s="116"/>
      <c r="I28" s="197">
        <f>D28*E28</f>
        <v>181938856.00799999</v>
      </c>
      <c r="J28" s="4"/>
      <c r="K28" s="119">
        <f>(I28/J39) +I29/J39</f>
        <v>6.951906186705064</v>
      </c>
      <c r="L28" s="119">
        <f>I28/8760</f>
        <v>20769.275799999999</v>
      </c>
      <c r="M28" s="4"/>
    </row>
    <row r="29" spans="1:19">
      <c r="A29" s="110"/>
      <c r="B29" s="11"/>
      <c r="C29" s="11" t="s">
        <v>365</v>
      </c>
      <c r="D29" s="11">
        <f>'SMR Economics'!S14</f>
        <v>1319361120</v>
      </c>
      <c r="E29" s="11"/>
      <c r="F29" s="113">
        <f>F3</f>
        <v>5.4440000000000002E-2</v>
      </c>
      <c r="G29" s="11"/>
      <c r="H29" s="11"/>
      <c r="I29" s="198">
        <f>D29*F29</f>
        <v>71826019.372800007</v>
      </c>
    </row>
    <row r="30" spans="1:19">
      <c r="A30" s="110"/>
      <c r="B30" s="11"/>
      <c r="C30" s="11"/>
      <c r="D30" s="11"/>
      <c r="E30" s="11"/>
      <c r="F30" s="11"/>
      <c r="G30" s="11"/>
      <c r="H30" s="11"/>
      <c r="I30" s="11"/>
      <c r="K30" s="115">
        <f>0.4*SUM(I28:I29)/J39</f>
        <v>2.7807624746820259</v>
      </c>
      <c r="L30" t="s">
        <v>366</v>
      </c>
    </row>
    <row r="31" spans="1:19">
      <c r="A31" s="110"/>
      <c r="B31" s="11" t="s">
        <v>367</v>
      </c>
      <c r="C31" s="11"/>
      <c r="D31" s="11"/>
      <c r="E31" s="11"/>
      <c r="F31" s="11"/>
      <c r="G31" s="11"/>
      <c r="H31" s="11"/>
      <c r="I31" s="11"/>
    </row>
    <row r="32" spans="1:19">
      <c r="A32" s="110"/>
      <c r="B32" s="11" t="s">
        <v>368</v>
      </c>
      <c r="C32" s="11" t="s">
        <v>369</v>
      </c>
      <c r="D32" s="11">
        <f>'SMR Economics'!H12</f>
        <v>322260540.99240005</v>
      </c>
      <c r="E32" s="11"/>
      <c r="F32" s="11"/>
      <c r="G32" s="11">
        <f>(J10/2.2)*10^-3</f>
        <v>0.37413636363636366</v>
      </c>
      <c r="H32" s="11">
        <f>J11</f>
        <v>2.5000000000000001E-2</v>
      </c>
      <c r="I32" s="11">
        <f>D32*G32</f>
        <v>120569386.95038386</v>
      </c>
      <c r="K32">
        <f>I32/J39</f>
        <v>3.3030066348221965</v>
      </c>
      <c r="L32" t="s">
        <v>370</v>
      </c>
    </row>
    <row r="33" spans="1:13">
      <c r="A33" s="110"/>
      <c r="B33" s="11"/>
      <c r="C33" s="11"/>
      <c r="D33" s="11"/>
      <c r="E33" s="11"/>
      <c r="F33" s="11"/>
      <c r="G33" s="11"/>
      <c r="H33" s="11"/>
      <c r="I33" s="11">
        <f>D32*H32</f>
        <v>8056513.5248100013</v>
      </c>
      <c r="K33">
        <f>I33/J39</f>
        <v>0.22070874124070078</v>
      </c>
      <c r="L33" t="s">
        <v>383</v>
      </c>
    </row>
    <row r="34" spans="1:13">
      <c r="A34" s="110"/>
      <c r="B34" s="11"/>
      <c r="C34" s="11"/>
      <c r="D34" s="11"/>
      <c r="E34" s="11"/>
      <c r="F34" s="11"/>
      <c r="G34" s="11"/>
      <c r="H34" s="11"/>
      <c r="I34" s="11"/>
    </row>
    <row r="35" spans="1:13">
      <c r="A35" s="110"/>
      <c r="B35" s="11"/>
      <c r="C35" s="11"/>
      <c r="D35" s="11"/>
      <c r="E35" s="11"/>
      <c r="F35" s="11"/>
      <c r="G35" s="11"/>
      <c r="H35" s="11"/>
      <c r="I35" s="11"/>
    </row>
    <row r="36" spans="1:13">
      <c r="A36" s="110"/>
      <c r="B36" s="11"/>
      <c r="C36" s="11"/>
      <c r="D36" s="11"/>
      <c r="E36" s="11"/>
      <c r="F36" s="11"/>
      <c r="G36" s="11"/>
      <c r="H36" s="11"/>
      <c r="I36" s="11"/>
    </row>
    <row r="37" spans="1:13">
      <c r="A37" s="110"/>
      <c r="B37" s="11"/>
      <c r="C37" s="11"/>
      <c r="D37" s="11"/>
      <c r="E37" s="11"/>
      <c r="F37" s="11"/>
      <c r="G37" s="11"/>
      <c r="H37" s="11"/>
      <c r="I37" s="11"/>
    </row>
    <row r="38" spans="1:13">
      <c r="A38" s="110"/>
      <c r="B38" s="11"/>
      <c r="C38" s="11"/>
      <c r="D38" s="11"/>
      <c r="E38" s="11"/>
      <c r="F38" s="11"/>
      <c r="G38" s="11"/>
      <c r="H38" s="11"/>
      <c r="I38" s="11"/>
    </row>
    <row r="39" spans="1:13" ht="15" thickBot="1">
      <c r="A39" s="111"/>
      <c r="B39" s="11"/>
      <c r="C39" s="11"/>
      <c r="D39" s="11"/>
      <c r="E39" s="11"/>
      <c r="F39" s="11"/>
      <c r="G39" s="11"/>
      <c r="H39" s="11" t="s">
        <v>371</v>
      </c>
      <c r="I39" s="114">
        <f>I29+I32</f>
        <v>192395406.32318386</v>
      </c>
      <c r="J39">
        <f>'SMR Economics'!L2*8760</f>
        <v>36502920</v>
      </c>
      <c r="K39">
        <f>I39/J39</f>
        <v>5.2706853677235648</v>
      </c>
      <c r="L39" t="s">
        <v>372</v>
      </c>
    </row>
    <row r="41" spans="1:13">
      <c r="A41" t="s">
        <v>373</v>
      </c>
      <c r="B41" s="11" t="s">
        <v>366</v>
      </c>
      <c r="C41" s="11"/>
      <c r="D41" s="11"/>
      <c r="E41" s="11" t="s">
        <v>360</v>
      </c>
      <c r="F41" s="11" t="s">
        <v>361</v>
      </c>
      <c r="G41" s="11" t="s">
        <v>374</v>
      </c>
      <c r="H41" s="11"/>
      <c r="I41" s="11" t="s">
        <v>355</v>
      </c>
      <c r="J41" s="11" t="s">
        <v>356</v>
      </c>
      <c r="K41" s="120" t="s">
        <v>357</v>
      </c>
    </row>
    <row r="42" spans="1:13">
      <c r="B42" s="11" t="s">
        <v>375</v>
      </c>
      <c r="C42" s="11"/>
      <c r="D42" s="11"/>
      <c r="E42" s="11"/>
      <c r="F42" s="11"/>
      <c r="G42" s="11"/>
      <c r="H42" s="11"/>
      <c r="I42" s="11"/>
      <c r="J42" s="11"/>
    </row>
    <row r="43" spans="1:13">
      <c r="B43" s="11"/>
      <c r="C43" s="11" t="s">
        <v>364</v>
      </c>
      <c r="D43" s="11">
        <f>'BM-H2 Economics'!I11</f>
        <v>2654627.0584556013</v>
      </c>
      <c r="E43" s="112">
        <f>E28</f>
        <v>53.06</v>
      </c>
      <c r="F43" s="11"/>
      <c r="G43" s="11"/>
      <c r="H43" s="11"/>
      <c r="I43" s="114">
        <f>D43*E43</f>
        <v>140854511.72165421</v>
      </c>
      <c r="J43" s="114"/>
      <c r="K43" s="128">
        <f>I43/J53</f>
        <v>3.8590277184014852</v>
      </c>
      <c r="L43" s="15" t="s">
        <v>366</v>
      </c>
      <c r="M43" s="15" t="s">
        <v>376</v>
      </c>
    </row>
    <row r="44" spans="1:13">
      <c r="B44" s="11"/>
      <c r="C44" s="11" t="s">
        <v>365</v>
      </c>
      <c r="D44" s="11">
        <f>'BM-H2 Economics'!Q13 *1000</f>
        <v>1102002205.0716648</v>
      </c>
      <c r="E44" s="11"/>
      <c r="F44" s="113">
        <f>F29</f>
        <v>5.4440000000000002E-2</v>
      </c>
      <c r="G44" s="11"/>
      <c r="H44" s="11"/>
      <c r="I44" s="114">
        <f>D44*F44</f>
        <v>59993000.044101432</v>
      </c>
      <c r="J44" s="11"/>
      <c r="K44" s="115">
        <f>I44/J53</f>
        <v>1.6436438368246968</v>
      </c>
      <c r="M44" s="115">
        <f>SUM(K43:K44)</f>
        <v>5.5026715552261818</v>
      </c>
    </row>
    <row r="45" spans="1:13">
      <c r="B45" s="11"/>
      <c r="C45" s="11"/>
      <c r="D45" s="11"/>
      <c r="E45" s="11"/>
      <c r="F45" s="11"/>
      <c r="G45" s="11"/>
      <c r="H45" s="11"/>
      <c r="I45" s="11"/>
      <c r="J45" s="11"/>
    </row>
    <row r="46" spans="1:13">
      <c r="B46" s="11" t="s">
        <v>370</v>
      </c>
      <c r="C46" s="11"/>
      <c r="D46" s="11"/>
      <c r="E46" s="11"/>
      <c r="F46" s="11"/>
      <c r="G46" s="11"/>
      <c r="H46" s="11"/>
      <c r="I46" s="11"/>
      <c r="J46" s="11"/>
    </row>
    <row r="47" spans="1:13">
      <c r="B47" s="11"/>
      <c r="C47" s="11" t="s">
        <v>377</v>
      </c>
      <c r="D47" s="11">
        <f>'BM-H2 Economics'!H14</f>
        <v>15000000</v>
      </c>
      <c r="E47" s="11"/>
      <c r="F47" s="11"/>
      <c r="G47" s="11">
        <f>G32</f>
        <v>0.37413636363636366</v>
      </c>
      <c r="H47" s="11">
        <f>J11</f>
        <v>2.5000000000000001E-2</v>
      </c>
      <c r="I47" s="11">
        <f>D47*G47</f>
        <v>5612045.4545454551</v>
      </c>
      <c r="J47" s="11"/>
      <c r="K47">
        <f>I47/J53</f>
        <v>0.15375466998754672</v>
      </c>
      <c r="L47" t="s">
        <v>382</v>
      </c>
    </row>
    <row r="48" spans="1:13">
      <c r="B48" s="11"/>
      <c r="C48" s="11"/>
      <c r="D48" s="11"/>
      <c r="E48" s="11"/>
      <c r="F48" s="11"/>
      <c r="G48" s="11"/>
      <c r="H48" s="11"/>
      <c r="I48" s="11">
        <f>D47*H47</f>
        <v>375000</v>
      </c>
      <c r="J48" s="11"/>
      <c r="K48">
        <f>I48/J53</f>
        <v>1.0273972602739725E-2</v>
      </c>
      <c r="L48" t="s">
        <v>383</v>
      </c>
    </row>
    <row r="49" spans="1:13">
      <c r="B49" s="11"/>
      <c r="C49" s="11"/>
      <c r="D49" s="11"/>
      <c r="E49" s="11"/>
      <c r="F49" s="11"/>
      <c r="G49" s="11"/>
      <c r="H49" s="11"/>
      <c r="I49" s="11"/>
      <c r="J49" s="11"/>
    </row>
    <row r="50" spans="1:13">
      <c r="B50" s="11"/>
      <c r="C50" s="11"/>
      <c r="D50" s="11"/>
      <c r="E50" s="11"/>
      <c r="F50" s="11"/>
      <c r="G50" s="11"/>
      <c r="H50" s="11"/>
      <c r="I50" s="11"/>
      <c r="J50" s="11"/>
    </row>
    <row r="51" spans="1:13">
      <c r="B51" s="11"/>
      <c r="C51" s="11"/>
      <c r="D51" s="11"/>
      <c r="E51" s="11"/>
      <c r="F51" s="11"/>
      <c r="G51" s="11"/>
      <c r="H51" s="11"/>
      <c r="I51" s="11"/>
      <c r="J51" s="11"/>
    </row>
    <row r="52" spans="1:13">
      <c r="B52" s="11"/>
      <c r="C52" s="11"/>
      <c r="D52" s="11"/>
      <c r="E52" s="11"/>
      <c r="F52" s="11"/>
      <c r="G52" s="11"/>
      <c r="H52" s="11"/>
      <c r="I52" s="11"/>
      <c r="J52" s="11"/>
    </row>
    <row r="53" spans="1:13">
      <c r="B53" s="11"/>
      <c r="C53" s="11"/>
      <c r="D53" s="11"/>
      <c r="E53" s="11"/>
      <c r="F53" s="11"/>
      <c r="G53" s="11"/>
      <c r="H53" s="11"/>
      <c r="I53" s="11"/>
      <c r="J53" s="11">
        <f>36500*10^3</f>
        <v>36500000</v>
      </c>
      <c r="K53" s="115">
        <f>K43+K44+K47</f>
        <v>5.6564262252137283</v>
      </c>
      <c r="L53" t="s">
        <v>372</v>
      </c>
    </row>
    <row r="55" spans="1:13">
      <c r="A55" s="11" t="s">
        <v>378</v>
      </c>
      <c r="B55" s="11" t="s">
        <v>366</v>
      </c>
      <c r="C55" s="11"/>
      <c r="D55" s="11"/>
      <c r="E55" s="11"/>
      <c r="F55" s="11"/>
      <c r="G55" s="11" t="s">
        <v>374</v>
      </c>
      <c r="H55" s="11" t="s">
        <v>379</v>
      </c>
      <c r="I55" s="11" t="s">
        <v>355</v>
      </c>
      <c r="J55" s="11"/>
      <c r="K55" s="11"/>
    </row>
    <row r="56" spans="1:13">
      <c r="A56" s="11"/>
      <c r="B56" s="11" t="s">
        <v>380</v>
      </c>
      <c r="C56" s="11"/>
      <c r="D56" s="11"/>
      <c r="E56" s="11"/>
      <c r="F56" s="11"/>
      <c r="G56" s="11"/>
      <c r="H56" s="11"/>
      <c r="I56" s="11"/>
      <c r="J56" s="11"/>
      <c r="K56" s="11">
        <v>0</v>
      </c>
      <c r="L56" t="s">
        <v>366</v>
      </c>
    </row>
    <row r="57" spans="1:13">
      <c r="A57" s="11"/>
      <c r="B57" s="11"/>
      <c r="C57" s="11"/>
      <c r="D57" s="11"/>
      <c r="E57" s="11"/>
      <c r="F57" s="11"/>
      <c r="G57" s="11"/>
      <c r="H57" s="11"/>
      <c r="I57" s="11"/>
      <c r="J57" s="11"/>
      <c r="K57" s="11"/>
    </row>
    <row r="58" spans="1:13">
      <c r="A58" s="11"/>
      <c r="B58" s="11"/>
      <c r="C58" s="11"/>
      <c r="D58" s="11"/>
      <c r="E58" s="11"/>
      <c r="F58" s="11"/>
      <c r="G58" s="11"/>
      <c r="H58" s="11"/>
      <c r="I58" s="11"/>
      <c r="J58" s="11"/>
      <c r="K58" s="11"/>
    </row>
    <row r="59" spans="1:13">
      <c r="A59" s="11"/>
      <c r="B59" s="11"/>
      <c r="C59" s="11"/>
      <c r="D59" s="11"/>
      <c r="E59" s="11"/>
      <c r="F59" s="11"/>
      <c r="G59" s="11"/>
      <c r="H59" s="11"/>
      <c r="I59" s="11"/>
      <c r="J59" s="11"/>
      <c r="K59" s="11"/>
    </row>
    <row r="60" spans="1:13">
      <c r="A60" s="11"/>
      <c r="B60" s="11" t="s">
        <v>370</v>
      </c>
      <c r="C60" s="11"/>
      <c r="D60" s="11"/>
      <c r="E60" s="11"/>
      <c r="F60" s="11"/>
      <c r="G60" s="11"/>
      <c r="H60" s="11"/>
      <c r="I60" s="11"/>
      <c r="J60" s="11"/>
      <c r="K60" s="11"/>
    </row>
    <row r="61" spans="1:13">
      <c r="A61" s="11"/>
      <c r="B61" s="11" t="s">
        <v>368</v>
      </c>
      <c r="C61" s="11" t="s">
        <v>381</v>
      </c>
      <c r="D61" s="11">
        <f>'WE Economics'!D15</f>
        <v>2018311660.786741</v>
      </c>
      <c r="E61" s="11"/>
      <c r="F61" s="11"/>
      <c r="G61" s="11">
        <f>G47</f>
        <v>0.37413636363636366</v>
      </c>
      <c r="H61" s="11">
        <f>J11</f>
        <v>2.5000000000000001E-2</v>
      </c>
      <c r="I61" s="11">
        <f>D61*G61</f>
        <v>755123785.45162117</v>
      </c>
      <c r="J61" s="11"/>
      <c r="K61" s="122">
        <f>I61/J69</f>
        <v>20.688322889085512</v>
      </c>
      <c r="L61" t="s">
        <v>382</v>
      </c>
    </row>
    <row r="62" spans="1:13">
      <c r="A62" s="11"/>
      <c r="B62" s="11"/>
      <c r="C62" s="11"/>
      <c r="D62" s="11"/>
      <c r="E62" s="11"/>
      <c r="F62" s="11"/>
      <c r="G62" s="11"/>
      <c r="H62" s="11"/>
      <c r="I62" s="11">
        <f>D61*H61</f>
        <v>50457791.519668527</v>
      </c>
      <c r="J62" s="11"/>
      <c r="K62" s="11">
        <f>I62/J69</f>
        <v>1.3824052471142063</v>
      </c>
      <c r="L62" t="s">
        <v>383</v>
      </c>
      <c r="M62" s="121" t="s">
        <v>384</v>
      </c>
    </row>
    <row r="63" spans="1:13">
      <c r="A63" s="11"/>
      <c r="B63" s="11"/>
      <c r="C63" s="11"/>
      <c r="D63" s="11"/>
      <c r="E63" s="11"/>
      <c r="F63" s="11"/>
      <c r="G63" s="11"/>
      <c r="H63" s="11"/>
      <c r="I63" s="11"/>
      <c r="J63" s="11"/>
      <c r="K63" s="11"/>
    </row>
    <row r="64" spans="1:13">
      <c r="A64" s="11"/>
      <c r="B64" s="11"/>
      <c r="C64" s="11"/>
      <c r="D64" s="11"/>
      <c r="E64" s="11"/>
      <c r="F64" s="11"/>
      <c r="G64" s="11"/>
      <c r="H64" s="11"/>
      <c r="I64" s="11"/>
      <c r="J64" s="11"/>
      <c r="K64" s="11"/>
    </row>
    <row r="65" spans="1:13">
      <c r="A65" s="11"/>
      <c r="B65" s="11"/>
      <c r="C65" s="11"/>
      <c r="D65" s="11"/>
      <c r="E65" s="11"/>
      <c r="F65" s="11"/>
      <c r="G65" s="11"/>
      <c r="H65" s="11"/>
      <c r="I65" s="11"/>
      <c r="J65" s="11"/>
      <c r="K65" s="11"/>
    </row>
    <row r="66" spans="1:13">
      <c r="A66" s="11"/>
      <c r="B66" s="11"/>
      <c r="C66" s="11"/>
      <c r="D66" s="11"/>
      <c r="E66" s="11"/>
      <c r="F66" s="11"/>
      <c r="G66" s="11"/>
      <c r="H66" s="11"/>
      <c r="I66" s="11"/>
      <c r="J66" s="11"/>
      <c r="K66" s="11"/>
    </row>
    <row r="67" spans="1:13">
      <c r="A67" s="11"/>
      <c r="B67" s="11"/>
      <c r="C67" s="11"/>
      <c r="D67" s="11"/>
      <c r="E67" s="11"/>
      <c r="F67" s="11"/>
      <c r="G67" s="11"/>
      <c r="H67" s="11"/>
      <c r="I67" s="11"/>
      <c r="J67" s="11"/>
      <c r="K67" s="11"/>
    </row>
    <row r="68" spans="1:13">
      <c r="A68" s="11"/>
      <c r="B68" s="11"/>
      <c r="C68" s="11"/>
      <c r="D68" s="11"/>
      <c r="E68" s="11"/>
      <c r="F68" s="11"/>
      <c r="G68" s="11"/>
      <c r="H68" s="11"/>
      <c r="I68" s="11"/>
      <c r="J68" s="11"/>
      <c r="K68" s="11"/>
    </row>
    <row r="69" spans="1:13">
      <c r="A69" s="11"/>
      <c r="B69" s="11"/>
      <c r="C69" s="11"/>
      <c r="D69" s="11"/>
      <c r="E69" s="11"/>
      <c r="F69" s="11"/>
      <c r="G69" s="11"/>
      <c r="H69" s="11"/>
      <c r="I69" s="11"/>
      <c r="J69" s="11">
        <f>36500*1000</f>
        <v>36500000</v>
      </c>
      <c r="K69" s="11">
        <f>K62</f>
        <v>1.3824052471142063</v>
      </c>
      <c r="L69" t="s">
        <v>385</v>
      </c>
    </row>
    <row r="71" spans="1:13">
      <c r="A71" s="11" t="s">
        <v>386</v>
      </c>
      <c r="B71" s="11" t="s">
        <v>366</v>
      </c>
      <c r="C71" s="11"/>
      <c r="D71" s="11"/>
      <c r="E71" s="11" t="s">
        <v>360</v>
      </c>
      <c r="F71" s="11" t="s">
        <v>387</v>
      </c>
      <c r="G71" s="11" t="s">
        <v>379</v>
      </c>
      <c r="H71" s="11"/>
      <c r="I71" s="11" t="s">
        <v>355</v>
      </c>
      <c r="J71" s="11"/>
      <c r="K71" s="11" t="s">
        <v>357</v>
      </c>
      <c r="M71" t="s">
        <v>388</v>
      </c>
    </row>
    <row r="72" spans="1:13">
      <c r="A72" s="11"/>
      <c r="B72" s="11" t="s">
        <v>389</v>
      </c>
      <c r="C72" s="11" t="s">
        <v>390</v>
      </c>
      <c r="D72" s="11">
        <f>'H2-Ammonia'!L18</f>
        <v>3543637.4490580382</v>
      </c>
      <c r="E72" s="11">
        <v>53.06</v>
      </c>
      <c r="F72" s="11"/>
      <c r="G72" s="11"/>
      <c r="H72" s="11"/>
      <c r="I72" s="11">
        <f>D72*E72</f>
        <v>188025403.04701951</v>
      </c>
      <c r="J72" s="11"/>
      <c r="K72" s="11">
        <f>I72/J83</f>
        <v>5.1513809053977946</v>
      </c>
      <c r="L72" t="s">
        <v>366</v>
      </c>
      <c r="M72">
        <f>I72/J84</f>
        <v>0.91824602334859984</v>
      </c>
    </row>
    <row r="73" spans="1:13">
      <c r="A73" s="11"/>
      <c r="B73" s="11"/>
      <c r="C73" s="11"/>
      <c r="D73" s="11"/>
      <c r="E73" s="11"/>
      <c r="F73" s="11"/>
      <c r="G73" s="11"/>
      <c r="H73" s="11"/>
      <c r="I73" s="11"/>
      <c r="J73" s="11"/>
      <c r="K73" s="11"/>
    </row>
    <row r="74" spans="1:13">
      <c r="A74" s="11"/>
      <c r="B74" s="11"/>
      <c r="C74" s="11"/>
      <c r="D74" s="11"/>
      <c r="E74" s="11"/>
      <c r="F74" s="11"/>
      <c r="G74" s="11"/>
      <c r="H74" s="11"/>
      <c r="I74" s="11"/>
      <c r="J74" s="11"/>
      <c r="K74" s="11"/>
    </row>
    <row r="75" spans="1:13">
      <c r="A75" s="11"/>
      <c r="B75" s="11"/>
      <c r="C75" s="11"/>
      <c r="D75" s="11"/>
      <c r="E75" s="11"/>
      <c r="F75" s="11"/>
      <c r="G75" s="11"/>
      <c r="H75" s="11"/>
      <c r="I75" s="11"/>
      <c r="J75" s="11"/>
      <c r="K75" s="11"/>
    </row>
    <row r="76" spans="1:13">
      <c r="A76" s="11"/>
      <c r="B76" s="11"/>
      <c r="C76" s="11"/>
      <c r="D76" s="11"/>
      <c r="E76" s="11"/>
      <c r="F76" s="11"/>
      <c r="G76" s="11"/>
      <c r="H76" s="11"/>
      <c r="I76" s="11"/>
      <c r="J76" s="11"/>
      <c r="K76" s="11"/>
    </row>
    <row r="77" spans="1:13">
      <c r="A77" s="11"/>
      <c r="B77" s="11" t="s">
        <v>370</v>
      </c>
      <c r="C77" s="11"/>
      <c r="D77" s="11"/>
      <c r="E77" s="11"/>
      <c r="F77" s="11"/>
      <c r="G77" s="11"/>
      <c r="H77" s="11"/>
      <c r="I77" s="11"/>
      <c r="J77" s="11"/>
      <c r="K77" s="11"/>
    </row>
    <row r="78" spans="1:13">
      <c r="A78" s="11"/>
      <c r="B78" s="11" t="s">
        <v>368</v>
      </c>
      <c r="C78" s="11" t="s">
        <v>239</v>
      </c>
      <c r="D78" s="112">
        <f>'H2-Ammonia'!N9</f>
        <v>59701855.315268785</v>
      </c>
      <c r="E78" s="11"/>
      <c r="F78" s="11">
        <f>G32</f>
        <v>0.37413636363636366</v>
      </c>
      <c r="G78" s="11">
        <f>0.025</f>
        <v>2.5000000000000001E-2</v>
      </c>
      <c r="H78" s="11" t="s">
        <v>391</v>
      </c>
      <c r="I78" s="114">
        <f>D78*F78</f>
        <v>22336635.049998973</v>
      </c>
      <c r="J78" s="11"/>
      <c r="K78" s="114">
        <f>I78/J83</f>
        <v>0.61196260410956094</v>
      </c>
      <c r="L78" t="s">
        <v>382</v>
      </c>
      <c r="M78" s="115">
        <f>I78/J84</f>
        <v>0.10908380451401795</v>
      </c>
    </row>
    <row r="79" spans="1:13">
      <c r="A79" s="11"/>
      <c r="B79" s="11"/>
      <c r="C79" s="11"/>
      <c r="D79" s="11"/>
      <c r="E79" s="11"/>
      <c r="F79" s="11"/>
      <c r="G79" s="11"/>
      <c r="H79" s="11" t="s">
        <v>392</v>
      </c>
      <c r="I79" s="114">
        <f>D78*G78</f>
        <v>1492546.3828817196</v>
      </c>
      <c r="J79" s="11"/>
      <c r="K79" s="114">
        <f>I79/J83</f>
        <v>4.0891681722786836E-2</v>
      </c>
      <c r="L79" t="s">
        <v>383</v>
      </c>
      <c r="M79" s="115">
        <f>I79/J84</f>
        <v>7.2890405154549713E-3</v>
      </c>
    </row>
    <row r="80" spans="1:13">
      <c r="A80" s="11"/>
      <c r="B80" s="11"/>
      <c r="C80" s="11"/>
      <c r="D80" s="11"/>
      <c r="E80" s="11"/>
      <c r="F80" s="11"/>
      <c r="G80" s="11"/>
      <c r="H80" s="11"/>
      <c r="I80" s="11"/>
      <c r="J80" s="11"/>
      <c r="K80" s="11"/>
    </row>
    <row r="81" spans="1:13">
      <c r="A81" s="11"/>
      <c r="B81" s="11"/>
      <c r="C81" s="11"/>
      <c r="D81" s="11"/>
      <c r="E81" s="11"/>
      <c r="F81" s="11"/>
      <c r="G81" s="11"/>
      <c r="H81" s="11"/>
      <c r="I81" s="11"/>
      <c r="J81" s="11"/>
      <c r="K81" s="11"/>
    </row>
    <row r="82" spans="1:13">
      <c r="A82" s="11"/>
      <c r="B82" s="11"/>
      <c r="C82" s="11"/>
      <c r="D82" s="11"/>
      <c r="E82" s="11"/>
      <c r="F82" s="11"/>
      <c r="G82" s="11"/>
      <c r="H82" s="11"/>
      <c r="I82" s="11"/>
      <c r="J82" s="11"/>
      <c r="K82" s="11"/>
    </row>
    <row r="83" spans="1:13">
      <c r="A83" s="11"/>
      <c r="B83" s="11"/>
      <c r="C83" s="11"/>
      <c r="D83" s="11"/>
      <c r="E83" s="11"/>
      <c r="F83" s="11"/>
      <c r="G83" s="11"/>
      <c r="H83" s="11"/>
      <c r="I83" s="11" t="s">
        <v>393</v>
      </c>
      <c r="J83" s="11">
        <f>36500*1000</f>
        <v>36500000</v>
      </c>
      <c r="K83" s="11"/>
    </row>
    <row r="84" spans="1:13">
      <c r="I84" t="s">
        <v>394</v>
      </c>
      <c r="J84">
        <f>'H2-Ammonia'!Q2*8760</f>
        <v>204765823.39157942</v>
      </c>
    </row>
    <row r="85" spans="1:13">
      <c r="A85" s="11" t="s">
        <v>395</v>
      </c>
      <c r="B85" s="11" t="s">
        <v>366</v>
      </c>
      <c r="C85" s="11"/>
      <c r="D85" s="11"/>
      <c r="E85" s="11" t="s">
        <v>360</v>
      </c>
      <c r="F85" s="11" t="s">
        <v>396</v>
      </c>
      <c r="G85" s="11" t="s">
        <v>379</v>
      </c>
      <c r="H85" s="11"/>
      <c r="I85" s="11" t="s">
        <v>355</v>
      </c>
      <c r="J85" s="11"/>
      <c r="K85" s="11" t="s">
        <v>357</v>
      </c>
      <c r="M85" t="s">
        <v>397</v>
      </c>
    </row>
    <row r="86" spans="1:13">
      <c r="A86" s="11"/>
      <c r="B86" s="11" t="s">
        <v>389</v>
      </c>
      <c r="C86" s="11" t="s">
        <v>240</v>
      </c>
      <c r="D86" s="124">
        <f>'H2-MeOH'!K10</f>
        <v>3561680.1954720002</v>
      </c>
      <c r="E86" s="11">
        <f>E72</f>
        <v>53.06</v>
      </c>
      <c r="F86" s="11"/>
      <c r="G86" s="11"/>
      <c r="H86" s="11"/>
      <c r="I86" s="124">
        <f>D86*E86</f>
        <v>188982751.17174435</v>
      </c>
      <c r="J86" s="11"/>
      <c r="K86" s="124">
        <f>I86/J99</f>
        <v>5.1776096211436808</v>
      </c>
      <c r="L86" t="s">
        <v>366</v>
      </c>
      <c r="M86" s="42">
        <f>I86/J100</f>
        <v>0.91103772894560819</v>
      </c>
    </row>
    <row r="87" spans="1:13">
      <c r="A87" s="11"/>
      <c r="B87" s="11"/>
      <c r="C87" s="11"/>
      <c r="D87" s="11"/>
      <c r="E87" s="11"/>
      <c r="F87" s="11"/>
      <c r="G87" s="11"/>
      <c r="H87" s="11"/>
      <c r="I87" s="11"/>
      <c r="J87" s="11"/>
      <c r="K87" s="11"/>
    </row>
    <row r="88" spans="1:13">
      <c r="A88" s="11"/>
      <c r="B88" s="11"/>
      <c r="C88" s="11"/>
      <c r="D88" s="11"/>
      <c r="E88" s="11"/>
      <c r="F88" s="11"/>
      <c r="G88" s="11"/>
      <c r="H88" s="11"/>
      <c r="I88" s="11"/>
      <c r="J88" s="11"/>
      <c r="K88" s="11"/>
    </row>
    <row r="89" spans="1:13">
      <c r="A89" s="11"/>
      <c r="B89" s="11"/>
      <c r="C89" s="11"/>
      <c r="D89" s="11"/>
      <c r="E89" s="11"/>
      <c r="F89" s="11"/>
      <c r="G89" s="11"/>
      <c r="H89" s="11"/>
      <c r="I89" s="11"/>
      <c r="J89" s="11"/>
      <c r="K89" s="11"/>
    </row>
    <row r="90" spans="1:13">
      <c r="A90" s="11"/>
      <c r="B90" s="11" t="s">
        <v>370</v>
      </c>
      <c r="C90" s="11"/>
      <c r="D90" s="11"/>
      <c r="E90" s="11"/>
      <c r="F90" s="11"/>
      <c r="G90" s="11"/>
      <c r="H90" s="11"/>
      <c r="I90" s="11"/>
      <c r="J90" s="11"/>
      <c r="K90" s="11"/>
    </row>
    <row r="91" spans="1:13">
      <c r="A91" s="11"/>
      <c r="B91" s="11" t="s">
        <v>368</v>
      </c>
      <c r="C91" s="11" t="s">
        <v>239</v>
      </c>
      <c r="D91" s="11">
        <f>'H2-MeOH'!D3*8760</f>
        <v>24519240</v>
      </c>
      <c r="E91" s="11"/>
      <c r="F91" s="11">
        <f>F78</f>
        <v>0.37413636363636366</v>
      </c>
      <c r="G91" s="11">
        <f>G78</f>
        <v>2.5000000000000001E-2</v>
      </c>
      <c r="H91" s="11" t="s">
        <v>391</v>
      </c>
      <c r="I91" s="11">
        <f>D91*F91</f>
        <v>9173539.292727273</v>
      </c>
      <c r="J91" s="11"/>
      <c r="K91" s="11">
        <f>I91/J99</f>
        <v>0.25132984363636363</v>
      </c>
      <c r="L91" t="s">
        <v>382</v>
      </c>
      <c r="M91">
        <f>I91/J100</f>
        <v>4.4223297374078624E-2</v>
      </c>
    </row>
    <row r="92" spans="1:13">
      <c r="A92" s="11"/>
      <c r="B92" s="11"/>
      <c r="C92" s="11"/>
      <c r="D92" s="11"/>
      <c r="E92" s="11"/>
      <c r="F92" s="11"/>
      <c r="G92" s="11"/>
      <c r="H92" s="11" t="s">
        <v>392</v>
      </c>
      <c r="I92" s="11">
        <f>D91*G91</f>
        <v>612981</v>
      </c>
      <c r="J92" s="11"/>
      <c r="K92" s="11">
        <f>I92/J99</f>
        <v>1.6794E-2</v>
      </c>
      <c r="L92" t="s">
        <v>398</v>
      </c>
      <c r="M92">
        <f>I92/J100</f>
        <v>2.955025337837838E-3</v>
      </c>
    </row>
    <row r="93" spans="1:13">
      <c r="A93" s="11"/>
      <c r="B93" s="11"/>
      <c r="C93" s="11"/>
      <c r="D93" s="11"/>
      <c r="E93" s="11"/>
      <c r="F93" s="11"/>
      <c r="G93" s="11"/>
      <c r="H93" s="11"/>
      <c r="I93" s="11"/>
      <c r="J93" s="11"/>
      <c r="K93" s="11"/>
    </row>
    <row r="94" spans="1:13">
      <c r="A94" s="11"/>
      <c r="B94" s="11"/>
      <c r="C94" s="11"/>
      <c r="D94" s="11"/>
      <c r="E94" s="11"/>
      <c r="F94" s="11"/>
      <c r="G94" s="11"/>
      <c r="H94" s="11"/>
      <c r="I94" s="11"/>
      <c r="J94" s="11"/>
      <c r="K94" s="11"/>
    </row>
    <row r="95" spans="1:13">
      <c r="A95" s="11"/>
      <c r="B95" s="11"/>
      <c r="C95" s="11"/>
      <c r="D95" s="11"/>
      <c r="E95" s="11"/>
      <c r="F95" s="11"/>
      <c r="G95" s="11"/>
      <c r="H95" s="11"/>
      <c r="I95" s="11"/>
      <c r="J95" s="11"/>
      <c r="K95" s="11"/>
    </row>
    <row r="96" spans="1:13">
      <c r="A96" s="11"/>
      <c r="B96" s="11"/>
      <c r="C96" s="11"/>
      <c r="D96" s="11"/>
      <c r="E96" s="11"/>
      <c r="F96" s="11"/>
      <c r="G96" s="11"/>
      <c r="H96" s="11"/>
      <c r="I96" s="11"/>
      <c r="J96" s="11"/>
      <c r="K96" s="11"/>
    </row>
    <row r="97" spans="1:11">
      <c r="A97" s="11"/>
      <c r="B97" s="11"/>
      <c r="C97" s="11"/>
      <c r="D97" s="11"/>
      <c r="E97" s="11"/>
      <c r="F97" s="11"/>
      <c r="G97" s="11"/>
      <c r="H97" s="11"/>
      <c r="I97" s="11"/>
      <c r="J97" s="11"/>
      <c r="K97" s="11"/>
    </row>
    <row r="98" spans="1:11">
      <c r="A98" s="11"/>
      <c r="B98" s="11"/>
      <c r="C98" s="11"/>
      <c r="D98" s="11"/>
      <c r="E98" s="11"/>
      <c r="F98" s="11"/>
      <c r="G98" s="11"/>
      <c r="H98" s="11"/>
      <c r="I98" s="11"/>
      <c r="J98" s="11"/>
      <c r="K98" s="11"/>
    </row>
    <row r="99" spans="1:11">
      <c r="A99" s="11"/>
      <c r="B99" s="11"/>
      <c r="C99" s="11"/>
      <c r="D99" s="11"/>
      <c r="E99" s="11"/>
      <c r="F99" s="11"/>
      <c r="G99" s="11"/>
      <c r="H99" s="11"/>
      <c r="I99" s="11" t="s">
        <v>399</v>
      </c>
      <c r="J99" s="11">
        <f>J83</f>
        <v>36500000</v>
      </c>
      <c r="K99" s="11"/>
    </row>
    <row r="100" spans="1:11">
      <c r="I100" t="s">
        <v>400</v>
      </c>
      <c r="J100">
        <f>'H2-MeOH'!S8*8760</f>
        <v>207436800</v>
      </c>
    </row>
  </sheetData>
  <mergeCells count="1">
    <mergeCell ref="A25:K25"/>
  </mergeCells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7994007-5D83-490B-BFA2-8B40881A38AA}">
  <sheetPr codeName="Sheet10"/>
  <dimension ref="A1:T39"/>
  <sheetViews>
    <sheetView topLeftCell="F13" workbookViewId="0">
      <selection activeCell="T15" sqref="T15"/>
    </sheetView>
  </sheetViews>
  <sheetFormatPr defaultRowHeight="14.4"/>
  <cols>
    <col min="1" max="1" width="37.6640625" bestFit="1" customWidth="1"/>
    <col min="2" max="2" width="16" customWidth="1"/>
    <col min="3" max="3" width="14.6640625" customWidth="1"/>
    <col min="4" max="4" width="16.44140625" bestFit="1" customWidth="1"/>
    <col min="5" max="5" width="20.5546875" customWidth="1"/>
    <col min="7" max="7" width="10.21875" bestFit="1" customWidth="1"/>
    <col min="8" max="8" width="10.77734375" bestFit="1" customWidth="1"/>
    <col min="11" max="11" width="19.6640625" bestFit="1" customWidth="1"/>
    <col min="12" max="12" width="21.5546875" bestFit="1" customWidth="1"/>
    <col min="13" max="13" width="14.6640625" bestFit="1" customWidth="1"/>
    <col min="14" max="14" width="13.44140625" bestFit="1" customWidth="1"/>
    <col min="17" max="17" width="13.88671875" bestFit="1" customWidth="1"/>
    <col min="19" max="19" width="21.109375" bestFit="1" customWidth="1"/>
  </cols>
  <sheetData>
    <row r="1" spans="1:20">
      <c r="A1" s="316" t="s">
        <v>219</v>
      </c>
      <c r="B1" s="316"/>
      <c r="C1" s="316"/>
      <c r="D1" s="316"/>
      <c r="E1" s="316"/>
      <c r="M1" t="s">
        <v>220</v>
      </c>
      <c r="N1" t="s">
        <v>401</v>
      </c>
      <c r="P1" t="s">
        <v>402</v>
      </c>
      <c r="Q1" t="s">
        <v>403</v>
      </c>
      <c r="R1" t="s">
        <v>224</v>
      </c>
      <c r="S1" t="s">
        <v>404</v>
      </c>
    </row>
    <row r="2" spans="1:20">
      <c r="A2" s="51" t="s">
        <v>140</v>
      </c>
      <c r="B2" s="51" t="s">
        <v>256</v>
      </c>
      <c r="C2" s="51" t="s">
        <v>257</v>
      </c>
      <c r="D2" s="51" t="s">
        <v>258</v>
      </c>
      <c r="E2" s="51" t="s">
        <v>144</v>
      </c>
      <c r="F2" s="51" t="s">
        <v>175</v>
      </c>
      <c r="M2" t="s">
        <v>50</v>
      </c>
      <c r="N2">
        <v>4167</v>
      </c>
      <c r="P2" t="s">
        <v>405</v>
      </c>
      <c r="Q2" s="47">
        <v>23375.093994472536</v>
      </c>
      <c r="R2">
        <v>0.53</v>
      </c>
      <c r="S2" s="5">
        <f>Q2*8760*R2/10^6</f>
        <v>108.52588639753709</v>
      </c>
    </row>
    <row r="3" spans="1:20">
      <c r="A3" t="s">
        <v>406</v>
      </c>
      <c r="D3" s="50">
        <v>4972.7602871311392</v>
      </c>
      <c r="E3" t="s">
        <v>260</v>
      </c>
      <c r="M3" t="s">
        <v>407</v>
      </c>
      <c r="N3">
        <v>19284.400000000001</v>
      </c>
    </row>
    <row r="4" spans="1:20">
      <c r="A4" t="s">
        <v>408</v>
      </c>
      <c r="B4" s="52">
        <v>426803991.29756367</v>
      </c>
      <c r="E4" t="s">
        <v>161</v>
      </c>
    </row>
    <row r="5" spans="1:20">
      <c r="A5" t="s">
        <v>409</v>
      </c>
      <c r="C5" s="42">
        <v>14815200</v>
      </c>
      <c r="E5" t="s">
        <v>410</v>
      </c>
      <c r="M5" t="s">
        <v>411</v>
      </c>
      <c r="N5">
        <f>N3/0.79</f>
        <v>24410.632911392408</v>
      </c>
    </row>
    <row r="6" spans="1:20">
      <c r="A6" t="s">
        <v>412</v>
      </c>
      <c r="C6" s="42">
        <v>4753370</v>
      </c>
      <c r="E6" t="s">
        <v>413</v>
      </c>
      <c r="Q6">
        <f>Q2*8760</f>
        <v>204765823.39157942</v>
      </c>
    </row>
    <row r="7" spans="1:20">
      <c r="A7" t="s">
        <v>414</v>
      </c>
      <c r="C7" s="42">
        <v>487126000</v>
      </c>
      <c r="E7" t="s">
        <v>415</v>
      </c>
    </row>
    <row r="8" spans="1:20">
      <c r="A8" t="s">
        <v>416</v>
      </c>
      <c r="D8">
        <v>1842.52</v>
      </c>
      <c r="E8" t="s">
        <v>260</v>
      </c>
      <c r="N8" t="s">
        <v>417</v>
      </c>
      <c r="O8" t="s">
        <v>138</v>
      </c>
    </row>
    <row r="9" spans="1:20">
      <c r="A9" t="s">
        <v>418</v>
      </c>
      <c r="C9" s="42">
        <v>49018200</v>
      </c>
      <c r="D9" s="132">
        <v>13616.2</v>
      </c>
      <c r="E9" t="s">
        <v>419</v>
      </c>
      <c r="F9" t="s">
        <v>420</v>
      </c>
      <c r="M9" t="s">
        <v>287</v>
      </c>
      <c r="N9">
        <f>SUM(D3:D8)*8760</f>
        <v>59701855.315268785</v>
      </c>
      <c r="O9">
        <f>N9*N38/10^6</f>
        <v>3.5821113189161271</v>
      </c>
    </row>
    <row r="10" spans="1:20">
      <c r="A10" t="s">
        <v>421</v>
      </c>
    </row>
    <row r="14" spans="1:20">
      <c r="Q14" t="s">
        <v>422</v>
      </c>
      <c r="S14" t="s">
        <v>423</v>
      </c>
    </row>
    <row r="15" spans="1:20">
      <c r="P15" t="s">
        <v>424</v>
      </c>
      <c r="Q15" t="s">
        <v>425</v>
      </c>
      <c r="S15">
        <f>3300*Q2/10^6</f>
        <v>77.137810181759377</v>
      </c>
      <c r="T15" s="21" t="s">
        <v>426</v>
      </c>
    </row>
    <row r="16" spans="1:20">
      <c r="P16" t="s">
        <v>427</v>
      </c>
      <c r="Q16" t="s">
        <v>428</v>
      </c>
      <c r="S16">
        <f>1450*N3/10^6</f>
        <v>27.962380000000003</v>
      </c>
    </row>
    <row r="17" spans="1:19">
      <c r="L17" t="s">
        <v>429</v>
      </c>
      <c r="M17" t="s">
        <v>430</v>
      </c>
      <c r="S17">
        <f>S15+S16</f>
        <v>105.10019018175939</v>
      </c>
    </row>
    <row r="18" spans="1:19">
      <c r="D18" s="19">
        <f>SUM(D3:D9)</f>
        <v>20431.48028713114</v>
      </c>
      <c r="K18" t="s">
        <v>431</v>
      </c>
      <c r="L18" s="123">
        <f>B4*8760*0.0000009478</f>
        <v>3543637.4490580382</v>
      </c>
      <c r="M18" s="123">
        <f>L18*293.07</f>
        <v>1038533827.1954392</v>
      </c>
    </row>
    <row r="19" spans="1:19">
      <c r="K19" t="s">
        <v>432</v>
      </c>
      <c r="L19">
        <f>SUM(C3:C9)*8760*0.0000009478</f>
        <v>4613931.9754365599</v>
      </c>
      <c r="M19">
        <f>L19*293.07</f>
        <v>1352205044.0411925</v>
      </c>
    </row>
    <row r="20" spans="1:19">
      <c r="A20" s="316" t="s">
        <v>273</v>
      </c>
      <c r="B20" s="316"/>
      <c r="C20" s="316"/>
      <c r="D20" s="316"/>
      <c r="E20" s="316"/>
      <c r="F20" s="316"/>
      <c r="K20" t="s">
        <v>169</v>
      </c>
    </row>
    <row r="21" spans="1:19">
      <c r="C21" t="s">
        <v>187</v>
      </c>
      <c r="D21" t="s">
        <v>433</v>
      </c>
    </row>
    <row r="22" spans="1:19">
      <c r="C22">
        <f>D22*10^6</f>
        <v>140815216.23144814</v>
      </c>
      <c r="D22">
        <f>S17*(H23/G23)</f>
        <v>140.81521623144815</v>
      </c>
      <c r="G22" t="s">
        <v>248</v>
      </c>
      <c r="H22" t="s">
        <v>820</v>
      </c>
    </row>
    <row r="23" spans="1:19">
      <c r="G23">
        <v>596.20000000000005</v>
      </c>
      <c r="H23">
        <v>798.8</v>
      </c>
    </row>
    <row r="24" spans="1:19">
      <c r="L24" t="s">
        <v>189</v>
      </c>
    </row>
    <row r="25" spans="1:19">
      <c r="L25" t="s">
        <v>191</v>
      </c>
      <c r="M25">
        <v>2.6148099999999999</v>
      </c>
    </row>
    <row r="26" spans="1:19">
      <c r="L26" t="s">
        <v>193</v>
      </c>
      <c r="M26">
        <f>'Algorithm Inputs'!C14</f>
        <v>0.5</v>
      </c>
      <c r="N26" t="s">
        <v>194</v>
      </c>
    </row>
    <row r="27" spans="1:19">
      <c r="L27" t="s">
        <v>196</v>
      </c>
      <c r="M27">
        <f>'Algorithm Inputs'!C13</f>
        <v>3</v>
      </c>
      <c r="N27" t="s">
        <v>197</v>
      </c>
    </row>
    <row r="28" spans="1:19">
      <c r="A28" s="316" t="s">
        <v>186</v>
      </c>
      <c r="B28" s="316"/>
      <c r="C28" s="316"/>
      <c r="D28" s="316"/>
      <c r="E28" s="316"/>
      <c r="L28" t="s">
        <v>199</v>
      </c>
      <c r="M28">
        <f>M27</f>
        <v>3</v>
      </c>
      <c r="N28" t="s">
        <v>194</v>
      </c>
    </row>
    <row r="29" spans="1:19">
      <c r="B29" t="s">
        <v>187</v>
      </c>
      <c r="C29" t="s">
        <v>188</v>
      </c>
      <c r="N29" t="s">
        <v>299</v>
      </c>
    </row>
    <row r="30" spans="1:19">
      <c r="A30" t="s">
        <v>190</v>
      </c>
      <c r="B30" s="42">
        <f>B4*8760*9.478*10^-7*M28</f>
        <v>10630912.347174115</v>
      </c>
      <c r="C30" s="90">
        <f>B30/10^6</f>
        <v>10.630912347174116</v>
      </c>
      <c r="L30" t="s">
        <v>203</v>
      </c>
      <c r="M30" s="89">
        <v>8.6</v>
      </c>
      <c r="N30">
        <f>M30/100</f>
        <v>8.5999999999999993E-2</v>
      </c>
    </row>
    <row r="31" spans="1:19">
      <c r="A31" t="s">
        <v>192</v>
      </c>
      <c r="B31" s="42">
        <f>(SUM(C5:C7)*8760*0.0000009478*M26)+ (C9*8760*0.0000009478*M32)</f>
        <v>7424412.981419432</v>
      </c>
      <c r="C31" s="90">
        <f>B31/10^6</f>
        <v>7.4244129814194322</v>
      </c>
      <c r="L31" t="s">
        <v>207</v>
      </c>
    </row>
    <row r="32" spans="1:19">
      <c r="A32" t="s">
        <v>195</v>
      </c>
      <c r="C32" s="90">
        <f>O9</f>
        <v>3.5821113189161271</v>
      </c>
      <c r="L32" t="s">
        <v>300</v>
      </c>
      <c r="M32">
        <f>5*M25</f>
        <v>13.07405</v>
      </c>
    </row>
    <row r="33" spans="1:14">
      <c r="A33" t="s">
        <v>198</v>
      </c>
      <c r="B33">
        <v>0</v>
      </c>
      <c r="C33" s="90">
        <f>B33/10^6</f>
        <v>0</v>
      </c>
      <c r="L33" t="s">
        <v>211</v>
      </c>
    </row>
    <row r="34" spans="1:14">
      <c r="A34" t="s">
        <v>434</v>
      </c>
      <c r="B34">
        <f>30*10^5</f>
        <v>3000000</v>
      </c>
      <c r="C34" s="90">
        <f t="shared" ref="C34:C36" si="0">B34/10^6</f>
        <v>3</v>
      </c>
      <c r="L34" t="s">
        <v>212</v>
      </c>
    </row>
    <row r="35" spans="1:14">
      <c r="A35" t="s">
        <v>435</v>
      </c>
      <c r="B35">
        <f>2.5*C22/100</f>
        <v>3520380.4057862037</v>
      </c>
      <c r="C35" s="90">
        <f t="shared" si="0"/>
        <v>3.5203804057862036</v>
      </c>
    </row>
    <row r="36" spans="1:14">
      <c r="A36" t="s">
        <v>206</v>
      </c>
      <c r="B36" s="42">
        <f>0.1*SUM(B30:B35)</f>
        <v>2457570.5734379753</v>
      </c>
      <c r="C36" s="90">
        <f t="shared" si="0"/>
        <v>2.4575705734379754</v>
      </c>
    </row>
    <row r="37" spans="1:14">
      <c r="N37" t="s">
        <v>289</v>
      </c>
    </row>
    <row r="38" spans="1:14">
      <c r="A38" t="s">
        <v>436</v>
      </c>
      <c r="C38" s="108">
        <f>SUM(C30:C36)</f>
        <v>30.615387626733852</v>
      </c>
      <c r="L38" t="s">
        <v>203</v>
      </c>
      <c r="M38" s="89">
        <v>6</v>
      </c>
      <c r="N38" s="14">
        <f>IF('Algorithm Inputs'!B12="Conventional Grid", 'Algorithm Inputs'!C12, 0)</f>
        <v>0.06</v>
      </c>
    </row>
    <row r="39" spans="1:14">
      <c r="A39" t="s">
        <v>213</v>
      </c>
      <c r="C39" s="90">
        <f>1.1*(C30+C31+(N9*N39/10^6)+C33+C34+C35)</f>
        <v>27.033276307817726</v>
      </c>
      <c r="L39" t="s">
        <v>290</v>
      </c>
      <c r="N39" s="14">
        <f>IF('Algorithm Inputs'!B12="Renewable Grid", 'Algorithm Inputs'!C12, 0)</f>
        <v>0</v>
      </c>
    </row>
  </sheetData>
  <mergeCells count="3">
    <mergeCell ref="A1:E1"/>
    <mergeCell ref="A20:F20"/>
    <mergeCell ref="A28:E28"/>
  </mergeCells>
  <hyperlinks>
    <hyperlink ref="T15" r:id="rId1" xr:uid="{00CB14A7-23EB-480E-987F-899773327B4C}"/>
  </hyperlinks>
  <pageMargins left="0.7" right="0.7" top="0.75" bottom="0.75" header="0.3" footer="0.3"/>
  <tableParts count="1">
    <tablePart r:id="rId2"/>
  </tableParts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C94E5BD-7F21-4B5D-A7FB-E48BD785D44D}">
  <sheetPr codeName="Sheet11"/>
  <dimension ref="A1:K4"/>
  <sheetViews>
    <sheetView workbookViewId="0">
      <selection activeCell="K3" sqref="K3"/>
    </sheetView>
  </sheetViews>
  <sheetFormatPr defaultRowHeight="14.4"/>
  <cols>
    <col min="3" max="3" width="12" bestFit="1" customWidth="1"/>
  </cols>
  <sheetData>
    <row r="1" spans="1:11">
      <c r="A1" t="s">
        <v>437</v>
      </c>
    </row>
    <row r="2" spans="1:11">
      <c r="A2" t="s">
        <v>438</v>
      </c>
    </row>
    <row r="3" spans="1:11">
      <c r="K3" s="21" t="s">
        <v>426</v>
      </c>
    </row>
    <row r="4" spans="1:11" ht="43.2">
      <c r="B4" s="6" t="s">
        <v>439</v>
      </c>
      <c r="C4">
        <f>961*36500</f>
        <v>35076500</v>
      </c>
      <c r="D4">
        <f>C4/10^6</f>
        <v>35.076500000000003</v>
      </c>
    </row>
  </sheetData>
  <hyperlinks>
    <hyperlink ref="K3" r:id="rId1" xr:uid="{F655163E-3545-4226-89EF-E95E5366FA93}"/>
  </hyperlinks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0B3CAE9-EF64-4A5D-8FBF-4E24707319E9}">
  <sheetPr codeName="Sheet12"/>
  <dimension ref="A1:Z121"/>
  <sheetViews>
    <sheetView topLeftCell="B1" zoomScale="85" zoomScaleNormal="85" workbookViewId="0">
      <selection activeCell="B24" sqref="B24"/>
    </sheetView>
  </sheetViews>
  <sheetFormatPr defaultRowHeight="14.4"/>
  <cols>
    <col min="1" max="1" width="39.44140625" bestFit="1" customWidth="1"/>
    <col min="2" max="2" width="16" bestFit="1" customWidth="1"/>
    <col min="3" max="3" width="15.88671875" bestFit="1" customWidth="1"/>
    <col min="4" max="4" width="16.88671875" bestFit="1" customWidth="1"/>
    <col min="5" max="5" width="20.5546875" customWidth="1"/>
    <col min="10" max="10" width="44.109375" bestFit="1" customWidth="1"/>
    <col min="11" max="11" width="12.44140625" bestFit="1" customWidth="1"/>
    <col min="12" max="12" width="15" bestFit="1" customWidth="1"/>
    <col min="14" max="14" width="19.44140625" bestFit="1" customWidth="1"/>
    <col min="15" max="15" width="13.88671875" bestFit="1" customWidth="1"/>
    <col min="16" max="16" width="14.5546875" bestFit="1" customWidth="1"/>
    <col min="19" max="19" width="14.5546875" bestFit="1" customWidth="1"/>
    <col min="21" max="21" width="23.109375" bestFit="1" customWidth="1"/>
    <col min="24" max="24" width="20.33203125" bestFit="1" customWidth="1"/>
    <col min="25" max="25" width="9.33203125" bestFit="1" customWidth="1"/>
  </cols>
  <sheetData>
    <row r="1" spans="1:26">
      <c r="A1" s="316" t="s">
        <v>219</v>
      </c>
      <c r="B1" s="316"/>
      <c r="C1" s="316"/>
      <c r="D1" s="316"/>
      <c r="E1" s="316"/>
      <c r="O1" t="s">
        <v>220</v>
      </c>
      <c r="P1" t="s">
        <v>222</v>
      </c>
      <c r="R1" t="s">
        <v>402</v>
      </c>
      <c r="S1" t="s">
        <v>222</v>
      </c>
      <c r="T1" t="s">
        <v>224</v>
      </c>
      <c r="U1" t="s">
        <v>440</v>
      </c>
    </row>
    <row r="2" spans="1:26">
      <c r="A2" s="51" t="s">
        <v>140</v>
      </c>
      <c r="B2" s="51" t="s">
        <v>441</v>
      </c>
      <c r="C2" s="51" t="s">
        <v>442</v>
      </c>
      <c r="D2" s="51" t="s">
        <v>443</v>
      </c>
      <c r="E2" s="51" t="s">
        <v>144</v>
      </c>
      <c r="F2" s="51" t="s">
        <v>175</v>
      </c>
      <c r="J2" t="s">
        <v>444</v>
      </c>
      <c r="O2" s="100" t="s">
        <v>50</v>
      </c>
      <c r="P2" s="100">
        <v>4167</v>
      </c>
      <c r="Q2" s="100"/>
      <c r="R2" s="100" t="s">
        <v>445</v>
      </c>
      <c r="S2" s="101">
        <v>83962.499251339497</v>
      </c>
      <c r="T2" s="100">
        <v>0.4</v>
      </c>
      <c r="U2" s="100">
        <f>S2*8760*T2/10^6</f>
        <v>294.20459737669358</v>
      </c>
    </row>
    <row r="3" spans="1:26">
      <c r="A3" t="s">
        <v>446</v>
      </c>
      <c r="D3">
        <v>2799</v>
      </c>
      <c r="E3" t="s">
        <v>159</v>
      </c>
      <c r="O3" s="100" t="s">
        <v>229</v>
      </c>
      <c r="P3" s="102">
        <v>100157.16959183769</v>
      </c>
      <c r="Q3" s="100"/>
      <c r="R3" s="100"/>
      <c r="S3" s="100"/>
      <c r="T3" s="100"/>
      <c r="U3" s="100"/>
    </row>
    <row r="4" spans="1:26">
      <c r="A4" t="s">
        <v>447</v>
      </c>
      <c r="B4" s="42">
        <v>82650000</v>
      </c>
      <c r="E4" t="s">
        <v>145</v>
      </c>
      <c r="O4" s="100"/>
      <c r="P4" s="100"/>
      <c r="Q4" s="100"/>
      <c r="R4" s="100"/>
      <c r="S4" s="100">
        <f>S2*8760/10^3</f>
        <v>735511.493441734</v>
      </c>
      <c r="T4" s="100"/>
      <c r="U4" s="100"/>
    </row>
    <row r="5" spans="1:26">
      <c r="A5" s="15" t="s">
        <v>448</v>
      </c>
      <c r="B5" s="15"/>
      <c r="C5" s="15">
        <v>19599</v>
      </c>
      <c r="D5" s="15"/>
      <c r="E5" s="15" t="s">
        <v>449</v>
      </c>
      <c r="F5" s="15" t="s">
        <v>450</v>
      </c>
      <c r="O5" s="18"/>
      <c r="P5" s="18"/>
      <c r="Q5" s="18"/>
      <c r="R5" s="18"/>
      <c r="S5" s="18"/>
      <c r="T5" s="18"/>
      <c r="U5" s="18"/>
    </row>
    <row r="6" spans="1:26">
      <c r="A6" t="s">
        <v>451</v>
      </c>
      <c r="C6" s="52">
        <v>109600000</v>
      </c>
      <c r="E6" t="s">
        <v>449</v>
      </c>
      <c r="Y6" t="s">
        <v>452</v>
      </c>
    </row>
    <row r="7" spans="1:26" ht="19.2">
      <c r="A7" t="s">
        <v>453</v>
      </c>
      <c r="C7" s="52">
        <v>18800000</v>
      </c>
      <c r="E7" t="s">
        <v>449</v>
      </c>
      <c r="J7" s="91" t="s">
        <v>236</v>
      </c>
      <c r="N7" t="s">
        <v>454</v>
      </c>
      <c r="O7" t="s">
        <v>455</v>
      </c>
    </row>
    <row r="8" spans="1:26">
      <c r="A8" t="s">
        <v>456</v>
      </c>
      <c r="B8" s="42">
        <v>19900000</v>
      </c>
      <c r="E8" t="s">
        <v>145</v>
      </c>
      <c r="O8" t="s">
        <v>457</v>
      </c>
      <c r="P8">
        <v>55350</v>
      </c>
      <c r="R8" t="s">
        <v>458</v>
      </c>
      <c r="S8">
        <v>23680</v>
      </c>
      <c r="U8" s="5">
        <f>S8*8760*0.4/10^6</f>
        <v>82.974720000000005</v>
      </c>
      <c r="Y8" t="s">
        <v>459</v>
      </c>
      <c r="Z8" t="s">
        <v>460</v>
      </c>
    </row>
    <row r="9" spans="1:26">
      <c r="B9" s="52"/>
      <c r="J9" t="s">
        <v>461</v>
      </c>
      <c r="K9" s="42">
        <f>SUM(B4:B15)</f>
        <v>102550000</v>
      </c>
      <c r="O9" t="s">
        <v>462</v>
      </c>
      <c r="P9">
        <v>4428</v>
      </c>
      <c r="X9" t="s">
        <v>463</v>
      </c>
      <c r="Y9">
        <v>405932</v>
      </c>
      <c r="Z9">
        <v>405932</v>
      </c>
    </row>
    <row r="10" spans="1:26">
      <c r="C10" s="52"/>
      <c r="J10" t="s">
        <v>464</v>
      </c>
      <c r="K10" s="42">
        <f>K9*0.001162*8760*0.003412</f>
        <v>3561680.1954720002</v>
      </c>
      <c r="O10" s="103" t="s">
        <v>465</v>
      </c>
      <c r="X10" t="s">
        <v>466</v>
      </c>
      <c r="Y10" s="42">
        <v>-645300000</v>
      </c>
    </row>
    <row r="11" spans="1:26">
      <c r="J11" t="s">
        <v>467</v>
      </c>
      <c r="K11" s="42">
        <f>K10*297.03</f>
        <v>1057925868.4610481</v>
      </c>
      <c r="S11">
        <f>S8*8760/10^3</f>
        <v>207436.79999999999</v>
      </c>
    </row>
    <row r="13" spans="1:26">
      <c r="J13" t="s">
        <v>468</v>
      </c>
      <c r="K13">
        <f>SUM(C3:C8)*8760*3.966*10^-6</f>
        <v>4461574.25559384</v>
      </c>
    </row>
    <row r="14" spans="1:26">
      <c r="J14" t="s">
        <v>239</v>
      </c>
      <c r="K14">
        <f>K13*293.07</f>
        <v>1307553567.0868866</v>
      </c>
    </row>
    <row r="15" spans="1:26">
      <c r="L15" t="s">
        <v>469</v>
      </c>
      <c r="M15" t="s">
        <v>117</v>
      </c>
      <c r="N15" t="s">
        <v>470</v>
      </c>
      <c r="O15" t="s">
        <v>471</v>
      </c>
    </row>
    <row r="16" spans="1:26">
      <c r="Q16" t="s">
        <v>472</v>
      </c>
      <c r="S16" s="48"/>
      <c r="X16" t="s">
        <v>473</v>
      </c>
      <c r="Y16" t="s">
        <v>474</v>
      </c>
      <c r="Z16" t="s">
        <v>475</v>
      </c>
    </row>
    <row r="17" spans="1:26">
      <c r="X17" t="s">
        <v>476</v>
      </c>
      <c r="Y17">
        <v>-81996</v>
      </c>
      <c r="Z17">
        <f>Y17*0.000278</f>
        <v>-22.794887999999997</v>
      </c>
    </row>
    <row r="20" spans="1:26">
      <c r="A20" s="316" t="s">
        <v>273</v>
      </c>
      <c r="B20" s="316"/>
      <c r="C20" s="316"/>
      <c r="D20" s="316"/>
      <c r="E20" s="316"/>
    </row>
    <row r="21" spans="1:26" ht="57.6">
      <c r="A21" s="6" t="s">
        <v>477</v>
      </c>
      <c r="B21" s="6" t="s">
        <v>478</v>
      </c>
      <c r="E21" t="s">
        <v>479</v>
      </c>
    </row>
    <row r="22" spans="1:26" ht="19.8" thickBot="1">
      <c r="A22">
        <f>226*(L33/K33)</f>
        <v>302.79906071787985</v>
      </c>
      <c r="B22">
        <f>A22*(S4/74000)^0.6</f>
        <v>1201.0723522715816</v>
      </c>
      <c r="C22" t="s">
        <v>480</v>
      </c>
      <c r="X22" s="91" t="s">
        <v>481</v>
      </c>
    </row>
    <row r="23" spans="1:26" ht="45.6" thickBot="1">
      <c r="A23">
        <f>226*(L33/K33)</f>
        <v>302.79906071787985</v>
      </c>
      <c r="B23">
        <f>A23*(33333*8.76*0.001/178)^0.6</f>
        <v>407.50189000762884</v>
      </c>
      <c r="C23" t="s">
        <v>482</v>
      </c>
      <c r="E23" s="193">
        <f>B23-'BM-H2 Economics'!D20</f>
        <v>300.63885914818667</v>
      </c>
      <c r="X23" s="97" t="s">
        <v>483</v>
      </c>
      <c r="Y23" s="98" t="s">
        <v>484</v>
      </c>
    </row>
    <row r="26" spans="1:26">
      <c r="R26" t="s">
        <v>485</v>
      </c>
    </row>
    <row r="27" spans="1:26">
      <c r="A27" s="316" t="s">
        <v>186</v>
      </c>
      <c r="B27" s="316"/>
      <c r="C27" s="316"/>
      <c r="D27" s="316"/>
      <c r="E27" s="316"/>
    </row>
    <row r="28" spans="1:26">
      <c r="B28" t="s">
        <v>187</v>
      </c>
      <c r="C28" t="s">
        <v>188</v>
      </c>
    </row>
    <row r="29" spans="1:26">
      <c r="A29" t="s">
        <v>190</v>
      </c>
      <c r="B29" s="42">
        <f>SUM(B3:B11)*0.001162*8760*0.003412*L45</f>
        <v>10685040.586416001</v>
      </c>
      <c r="C29" s="90">
        <f>B29/10^6</f>
        <v>10.685040586416001</v>
      </c>
      <c r="K29" t="s">
        <v>486</v>
      </c>
    </row>
    <row r="30" spans="1:26" ht="18">
      <c r="A30" t="s">
        <v>192</v>
      </c>
      <c r="B30" s="42">
        <f>SUM(C3:C16)*0.001162*8760*0.003412*L43</f>
        <v>2230080.655625334</v>
      </c>
      <c r="C30" s="90">
        <f>B30/10^6</f>
        <v>2.2300806556253341</v>
      </c>
      <c r="R30" s="93" t="s">
        <v>487</v>
      </c>
    </row>
    <row r="31" spans="1:26">
      <c r="A31" t="s">
        <v>195</v>
      </c>
      <c r="B31">
        <f>SUM(D3:D17)*8760*M53</f>
        <v>1471154.4</v>
      </c>
      <c r="C31" s="90">
        <f>B31/10^6</f>
        <v>1.4711543999999999</v>
      </c>
    </row>
    <row r="32" spans="1:26" ht="43.2">
      <c r="A32" t="s">
        <v>198</v>
      </c>
      <c r="B32">
        <v>0</v>
      </c>
      <c r="C32" s="90">
        <f>B32/10^6</f>
        <v>0</v>
      </c>
      <c r="K32" t="s">
        <v>248</v>
      </c>
      <c r="L32" t="s">
        <v>181</v>
      </c>
      <c r="M32" t="s">
        <v>182</v>
      </c>
      <c r="R32" s="94" t="s">
        <v>488</v>
      </c>
      <c r="S32" s="94" t="s">
        <v>489</v>
      </c>
      <c r="T32" s="94" t="s">
        <v>490</v>
      </c>
      <c r="U32" s="94" t="s">
        <v>491</v>
      </c>
    </row>
    <row r="33" spans="1:21">
      <c r="A33" t="s">
        <v>492</v>
      </c>
      <c r="B33">
        <f>30*10^5</f>
        <v>3000000</v>
      </c>
      <c r="C33" s="90">
        <f t="shared" ref="C33:C35" si="0">B33/10^6</f>
        <v>3</v>
      </c>
      <c r="K33">
        <v>596.20000000000005</v>
      </c>
      <c r="L33">
        <v>798.8</v>
      </c>
      <c r="M33" s="45" t="s">
        <v>184</v>
      </c>
      <c r="R33" s="95" t="s">
        <v>493</v>
      </c>
      <c r="S33" s="95">
        <v>2731.22</v>
      </c>
      <c r="T33" s="95">
        <v>1921.67</v>
      </c>
      <c r="U33" s="95" t="s">
        <v>494</v>
      </c>
    </row>
    <row r="34" spans="1:21">
      <c r="A34" t="s">
        <v>250</v>
      </c>
      <c r="B34">
        <f>0.025*E23*10^6</f>
        <v>7515971.4787046677</v>
      </c>
      <c r="C34" s="90">
        <f t="shared" si="0"/>
        <v>7.5159714787046674</v>
      </c>
      <c r="R34" s="95" t="s">
        <v>495</v>
      </c>
      <c r="S34" s="95">
        <v>5358.76</v>
      </c>
      <c r="T34" s="95">
        <v>5191.74</v>
      </c>
      <c r="U34" s="95" t="s">
        <v>496</v>
      </c>
    </row>
    <row r="35" spans="1:21" ht="83.4">
      <c r="A35" t="s">
        <v>206</v>
      </c>
      <c r="B35" s="42">
        <f>0.1*SUM(B29:B34)</f>
        <v>2490224.7120746002</v>
      </c>
      <c r="C35" s="90">
        <f t="shared" si="0"/>
        <v>2.4902247120746002</v>
      </c>
      <c r="K35" s="92" t="s">
        <v>497</v>
      </c>
      <c r="R35" s="95" t="s">
        <v>498</v>
      </c>
      <c r="S35" s="95">
        <v>8457.3799999999992</v>
      </c>
      <c r="T35" s="95">
        <v>6337.19</v>
      </c>
      <c r="U35" s="95" t="s">
        <v>499</v>
      </c>
    </row>
    <row r="36" spans="1:21">
      <c r="R36" s="95" t="s">
        <v>500</v>
      </c>
      <c r="S36" s="95" t="s">
        <v>501</v>
      </c>
      <c r="T36" s="95">
        <v>167.24</v>
      </c>
      <c r="U36" s="95">
        <v>167.24</v>
      </c>
    </row>
    <row r="37" spans="1:21">
      <c r="A37" t="s">
        <v>436</v>
      </c>
      <c r="C37" s="108">
        <f>SUM(C29:C35)</f>
        <v>27.3924718328206</v>
      </c>
      <c r="R37" s="95" t="s">
        <v>502</v>
      </c>
      <c r="S37" s="95" t="s">
        <v>501</v>
      </c>
      <c r="T37" s="95">
        <v>980.14</v>
      </c>
      <c r="U37" s="95">
        <v>980.14</v>
      </c>
    </row>
    <row r="38" spans="1:21">
      <c r="A38" t="s">
        <v>213</v>
      </c>
      <c r="C38">
        <f>1.1*((D3*8760*M54*10^-6)+C29+C30+C32+C33+C34)</f>
        <v>25.774201992820604</v>
      </c>
    </row>
    <row r="40" spans="1:21" ht="18">
      <c r="R40" s="93" t="s">
        <v>503</v>
      </c>
    </row>
    <row r="41" spans="1:21">
      <c r="K41" t="s">
        <v>189</v>
      </c>
    </row>
    <row r="42" spans="1:21">
      <c r="K42" t="s">
        <v>191</v>
      </c>
      <c r="L42">
        <v>2.6148099999999999</v>
      </c>
      <c r="R42" t="s">
        <v>504</v>
      </c>
    </row>
    <row r="43" spans="1:21">
      <c r="K43" t="s">
        <v>193</v>
      </c>
      <c r="L43">
        <f>'Algorithm Inputs'!C14</f>
        <v>0.5</v>
      </c>
      <c r="M43" t="s">
        <v>194</v>
      </c>
      <c r="R43" s="96"/>
    </row>
    <row r="44" spans="1:21">
      <c r="K44" t="s">
        <v>196</v>
      </c>
      <c r="L44">
        <f>L45</f>
        <v>3</v>
      </c>
      <c r="M44" t="s">
        <v>197</v>
      </c>
      <c r="R44" s="96" t="s">
        <v>505</v>
      </c>
    </row>
    <row r="45" spans="1:21">
      <c r="K45" t="s">
        <v>199</v>
      </c>
      <c r="L45">
        <f>'Algorithm Inputs'!C13</f>
        <v>3</v>
      </c>
      <c r="M45" t="s">
        <v>194</v>
      </c>
      <c r="R45" s="96"/>
    </row>
    <row r="46" spans="1:21">
      <c r="M46" t="s">
        <v>299</v>
      </c>
      <c r="R46" s="96" t="s">
        <v>506</v>
      </c>
    </row>
    <row r="47" spans="1:21">
      <c r="K47" t="s">
        <v>203</v>
      </c>
      <c r="L47" s="89">
        <v>8.6</v>
      </c>
      <c r="M47">
        <f>L47/100</f>
        <v>8.5999999999999993E-2</v>
      </c>
      <c r="R47" s="96"/>
    </row>
    <row r="48" spans="1:21">
      <c r="K48" t="s">
        <v>207</v>
      </c>
      <c r="R48" s="96" t="s">
        <v>507</v>
      </c>
    </row>
    <row r="49" spans="11:18">
      <c r="K49" t="s">
        <v>300</v>
      </c>
      <c r="L49">
        <f>5*L42</f>
        <v>13.07405</v>
      </c>
    </row>
    <row r="50" spans="11:18">
      <c r="K50" t="s">
        <v>211</v>
      </c>
      <c r="R50" t="s">
        <v>508</v>
      </c>
    </row>
    <row r="51" spans="11:18">
      <c r="K51" t="s">
        <v>212</v>
      </c>
    </row>
    <row r="52" spans="11:18">
      <c r="M52" t="s">
        <v>289</v>
      </c>
      <c r="R52" t="s">
        <v>509</v>
      </c>
    </row>
    <row r="53" spans="11:18">
      <c r="K53" t="s">
        <v>203</v>
      </c>
      <c r="L53" s="89">
        <v>6</v>
      </c>
      <c r="M53" s="14">
        <f>IF('Algorithm Inputs'!B12="Conventional Grid", 'Algorithm Inputs'!C12, 0)</f>
        <v>0.06</v>
      </c>
    </row>
    <row r="54" spans="11:18">
      <c r="K54" t="s">
        <v>290</v>
      </c>
      <c r="M54" s="14">
        <f>IF('Algorithm Inputs'!B12="Renewable Grid", 'Algorithm Inputs'!C12, 0)</f>
        <v>0</v>
      </c>
      <c r="R54" t="s">
        <v>510</v>
      </c>
    </row>
    <row r="58" spans="11:18" ht="18">
      <c r="R58" s="93" t="s">
        <v>511</v>
      </c>
    </row>
    <row r="60" spans="11:18">
      <c r="R60" t="s">
        <v>512</v>
      </c>
    </row>
    <row r="62" spans="11:18">
      <c r="R62" t="s">
        <v>513</v>
      </c>
    </row>
    <row r="64" spans="11:18">
      <c r="R64" t="s">
        <v>514</v>
      </c>
    </row>
    <row r="66" spans="18:18">
      <c r="R66" t="s">
        <v>515</v>
      </c>
    </row>
    <row r="68" spans="18:18">
      <c r="R68" t="s">
        <v>516</v>
      </c>
    </row>
    <row r="70" spans="18:18">
      <c r="R70" t="s">
        <v>517</v>
      </c>
    </row>
    <row r="72" spans="18:18">
      <c r="R72" t="s">
        <v>518</v>
      </c>
    </row>
    <row r="74" spans="18:18">
      <c r="R74" t="s">
        <v>519</v>
      </c>
    </row>
    <row r="76" spans="18:18">
      <c r="R76" t="s">
        <v>520</v>
      </c>
    </row>
    <row r="78" spans="18:18">
      <c r="R78" t="s">
        <v>521</v>
      </c>
    </row>
    <row r="80" spans="18:18">
      <c r="R80" t="s">
        <v>522</v>
      </c>
    </row>
    <row r="82" spans="18:18">
      <c r="R82" t="s">
        <v>523</v>
      </c>
    </row>
    <row r="83" spans="18:18">
      <c r="R83" s="96"/>
    </row>
    <row r="84" spans="18:18">
      <c r="R84" s="96" t="s">
        <v>524</v>
      </c>
    </row>
    <row r="85" spans="18:18">
      <c r="R85" s="96"/>
    </row>
    <row r="86" spans="18:18">
      <c r="R86" s="96" t="s">
        <v>525</v>
      </c>
    </row>
    <row r="87" spans="18:18">
      <c r="R87" s="96"/>
    </row>
    <row r="88" spans="18:18">
      <c r="R88" s="96" t="s">
        <v>526</v>
      </c>
    </row>
    <row r="90" spans="18:18">
      <c r="R90" t="s">
        <v>527</v>
      </c>
    </row>
    <row r="91" spans="18:18">
      <c r="R91" s="96"/>
    </row>
    <row r="92" spans="18:18">
      <c r="R92" s="96" t="s">
        <v>528</v>
      </c>
    </row>
    <row r="93" spans="18:18">
      <c r="R93" s="96"/>
    </row>
    <row r="94" spans="18:18">
      <c r="R94" s="96" t="s">
        <v>529</v>
      </c>
    </row>
    <row r="95" spans="18:18">
      <c r="R95" s="96"/>
    </row>
    <row r="96" spans="18:18">
      <c r="R96" s="96" t="s">
        <v>530</v>
      </c>
    </row>
    <row r="97" spans="18:18">
      <c r="R97" s="96"/>
    </row>
    <row r="98" spans="18:18">
      <c r="R98" s="96" t="s">
        <v>531</v>
      </c>
    </row>
    <row r="99" spans="18:18">
      <c r="R99" s="96"/>
    </row>
    <row r="100" spans="18:18">
      <c r="R100" s="96" t="s">
        <v>532</v>
      </c>
    </row>
    <row r="102" spans="18:18">
      <c r="R102" t="s">
        <v>533</v>
      </c>
    </row>
    <row r="103" spans="18:18">
      <c r="R103" s="96"/>
    </row>
    <row r="104" spans="18:18">
      <c r="R104" s="96" t="s">
        <v>534</v>
      </c>
    </row>
    <row r="105" spans="18:18">
      <c r="R105" s="96"/>
    </row>
    <row r="106" spans="18:18">
      <c r="R106" s="96" t="s">
        <v>535</v>
      </c>
    </row>
    <row r="107" spans="18:18">
      <c r="R107" s="96"/>
    </row>
    <row r="108" spans="18:18">
      <c r="R108" s="96" t="s">
        <v>536</v>
      </c>
    </row>
    <row r="112" spans="18:18" ht="18">
      <c r="R112" s="93" t="s">
        <v>537</v>
      </c>
    </row>
    <row r="114" spans="18:18">
      <c r="R114" t="s">
        <v>538</v>
      </c>
    </row>
    <row r="117" spans="18:18" ht="18">
      <c r="R117" s="93" t="s">
        <v>539</v>
      </c>
    </row>
    <row r="119" spans="18:18">
      <c r="R119" t="s">
        <v>540</v>
      </c>
    </row>
    <row r="121" spans="18:18">
      <c r="R121" t="s">
        <v>541</v>
      </c>
    </row>
  </sheetData>
  <mergeCells count="3">
    <mergeCell ref="A1:E1"/>
    <mergeCell ref="A20:E20"/>
    <mergeCell ref="A27:E27"/>
  </mergeCells>
  <pageMargins left="0.7" right="0.7" top="0.75" bottom="0.75" header="0.3" footer="0.3"/>
  <pageSetup orientation="portrait" r:id="rId1"/>
  <drawing r:id="rId2"/>
  <tableParts count="1">
    <tablePart r:id="rId3"/>
  </tableParts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C587CF6-9D04-4A08-BE7C-D045CD013EDB}">
  <sheetPr codeName="Sheet13"/>
  <dimension ref="A1:AK132"/>
  <sheetViews>
    <sheetView zoomScale="70" zoomScaleNormal="70" workbookViewId="0">
      <selection activeCell="H128" sqref="H128"/>
    </sheetView>
  </sheetViews>
  <sheetFormatPr defaultRowHeight="14.4"/>
  <cols>
    <col min="1" max="1" width="14.109375" bestFit="1" customWidth="1"/>
    <col min="2" max="2" width="26.109375" customWidth="1"/>
    <col min="3" max="3" width="27.6640625" customWidth="1"/>
    <col min="4" max="4" width="30.33203125" customWidth="1"/>
    <col min="5" max="5" width="30" customWidth="1"/>
    <col min="6" max="6" width="30.6640625" customWidth="1"/>
    <col min="7" max="7" width="25.88671875" customWidth="1"/>
    <col min="8" max="8" width="30.6640625" customWidth="1"/>
    <col min="9" max="9" width="27.88671875" customWidth="1"/>
    <col min="10" max="10" width="26.33203125" customWidth="1"/>
    <col min="14" max="14" width="26" customWidth="1"/>
    <col min="19" max="19" width="20.6640625" bestFit="1" customWidth="1"/>
    <col min="20" max="20" width="12.44140625" bestFit="1" customWidth="1"/>
    <col min="22" max="22" width="21.88671875" bestFit="1" customWidth="1"/>
    <col min="23" max="23" width="12.44140625" bestFit="1" customWidth="1"/>
    <col min="24" max="24" width="10.109375" bestFit="1" customWidth="1"/>
    <col min="25" max="25" width="14.77734375" customWidth="1"/>
    <col min="26" max="26" width="17" bestFit="1" customWidth="1"/>
    <col min="27" max="27" width="9.88671875" customWidth="1"/>
    <col min="28" max="28" width="20.6640625" customWidth="1"/>
    <col min="33" max="33" width="31.77734375" customWidth="1"/>
    <col min="34" max="34" width="20" customWidth="1"/>
    <col min="36" max="37" width="10" bestFit="1" customWidth="1"/>
  </cols>
  <sheetData>
    <row r="1" spans="1:37">
      <c r="A1" s="320"/>
      <c r="B1" s="321"/>
      <c r="C1" s="321"/>
      <c r="D1" s="321"/>
      <c r="E1" s="321"/>
      <c r="F1" s="321"/>
      <c r="G1" s="321"/>
      <c r="H1" s="321"/>
      <c r="I1" s="322"/>
      <c r="N1" t="s">
        <v>543</v>
      </c>
      <c r="O1">
        <v>0.15</v>
      </c>
    </row>
    <row r="2" spans="1:37">
      <c r="A2" s="159" t="s">
        <v>544</v>
      </c>
      <c r="B2" s="126" t="s">
        <v>545</v>
      </c>
      <c r="C2" s="126" t="s">
        <v>546</v>
      </c>
      <c r="D2" s="126" t="s">
        <v>547</v>
      </c>
      <c r="E2" s="126" t="s">
        <v>548</v>
      </c>
      <c r="F2" s="126" t="s">
        <v>549</v>
      </c>
      <c r="G2" s="126" t="s">
        <v>550</v>
      </c>
      <c r="H2" s="126" t="s">
        <v>551</v>
      </c>
      <c r="I2" s="165" t="s">
        <v>686</v>
      </c>
      <c r="J2" s="126" t="s">
        <v>689</v>
      </c>
      <c r="N2" t="s">
        <v>741</v>
      </c>
      <c r="O2">
        <v>0.06</v>
      </c>
    </row>
    <row r="3" spans="1:37" ht="15" thickBot="1">
      <c r="A3" s="156" t="s">
        <v>0</v>
      </c>
      <c r="B3" s="11" t="s">
        <v>552</v>
      </c>
      <c r="C3" s="130">
        <f>'SMR Economics'!I3*8760*10^-3</f>
        <v>131400</v>
      </c>
      <c r="D3" s="130">
        <f>C3/T5</f>
        <v>3.6</v>
      </c>
      <c r="E3" s="125" t="s">
        <v>553</v>
      </c>
      <c r="F3" s="11" t="s">
        <v>554</v>
      </c>
      <c r="G3" s="130">
        <v>36500</v>
      </c>
      <c r="H3" s="130">
        <v>1</v>
      </c>
      <c r="I3" s="162"/>
      <c r="J3" s="127">
        <f>IF(A4='Algorithm Inputs'!$Z$2, 1, 0)</f>
        <v>1</v>
      </c>
      <c r="N3" t="s">
        <v>742</v>
      </c>
      <c r="O3">
        <v>0.1</v>
      </c>
    </row>
    <row r="4" spans="1:37">
      <c r="A4" s="177" t="s">
        <v>0</v>
      </c>
      <c r="B4" s="12" t="s">
        <v>555</v>
      </c>
      <c r="C4" s="147">
        <f>'SMR Economics'!I2*8760*10^-3</f>
        <v>262800</v>
      </c>
      <c r="D4" s="147">
        <f>C4/T5</f>
        <v>7.2</v>
      </c>
      <c r="E4" s="146" t="s">
        <v>556</v>
      </c>
      <c r="F4" s="12" t="s">
        <v>557</v>
      </c>
      <c r="G4" s="147">
        <f>'SMR Economics'!L4*8.76</f>
        <v>208777.08</v>
      </c>
      <c r="H4" s="147">
        <f>G4/T5</f>
        <v>5.7199199999999992</v>
      </c>
      <c r="I4" s="163" t="s">
        <v>558</v>
      </c>
      <c r="J4" s="11">
        <f>IF(A5='Algorithm Inputs'!$Z$2, 1, 0)</f>
        <v>0</v>
      </c>
      <c r="N4" t="s">
        <v>770</v>
      </c>
      <c r="O4">
        <f>200*10^-6</f>
        <v>1.9999999999999998E-4</v>
      </c>
      <c r="S4" s="135"/>
      <c r="T4" s="141"/>
      <c r="U4" s="141"/>
      <c r="V4" s="141"/>
      <c r="W4" s="136" t="s">
        <v>559</v>
      </c>
    </row>
    <row r="5" spans="1:37">
      <c r="A5" s="158"/>
      <c r="B5" s="129"/>
      <c r="C5" s="148"/>
      <c r="D5" s="148"/>
      <c r="E5" s="129"/>
      <c r="F5" s="129"/>
      <c r="G5" s="148"/>
      <c r="H5" s="148"/>
      <c r="I5" s="164"/>
      <c r="J5" s="11">
        <f>IF(A6='Algorithm Inputs'!$Z$2, 1, 0)</f>
        <v>0</v>
      </c>
      <c r="N5" t="s">
        <v>774</v>
      </c>
      <c r="O5">
        <v>0.06</v>
      </c>
      <c r="S5" s="137" t="s">
        <v>560</v>
      </c>
      <c r="T5" s="14">
        <v>36500</v>
      </c>
      <c r="U5" s="14"/>
      <c r="V5" s="14" t="s">
        <v>561</v>
      </c>
      <c r="W5" s="138">
        <f>'H2-Ammonia'!Q2*8760/1000</f>
        <v>204765.82339157941</v>
      </c>
    </row>
    <row r="6" spans="1:37" ht="72" customHeight="1">
      <c r="A6" s="159" t="s">
        <v>562</v>
      </c>
      <c r="B6" s="127" t="s">
        <v>563</v>
      </c>
      <c r="C6" s="149">
        <f>'BM-H2 Economics'!J2*8.76</f>
        <v>291999.97080000001</v>
      </c>
      <c r="D6" s="149">
        <f>C6/T5</f>
        <v>7.9999992000000004</v>
      </c>
      <c r="E6" s="126" t="s">
        <v>564</v>
      </c>
      <c r="F6" s="127" t="s">
        <v>554</v>
      </c>
      <c r="G6" s="149">
        <v>36500</v>
      </c>
      <c r="H6" s="149">
        <v>1</v>
      </c>
      <c r="I6" s="165"/>
      <c r="J6" s="11">
        <f>IF(A7='Algorithm Inputs'!$Z$2, 1, 0)</f>
        <v>0</v>
      </c>
      <c r="S6" s="137" t="s">
        <v>565</v>
      </c>
      <c r="T6" s="14">
        <v>1</v>
      </c>
      <c r="U6" s="14"/>
      <c r="V6" s="14" t="s">
        <v>566</v>
      </c>
      <c r="W6" s="138">
        <f>'H2-MeOH'!S11</f>
        <v>207436.79999999999</v>
      </c>
      <c r="Y6" s="94" t="s">
        <v>661</v>
      </c>
      <c r="Z6" s="94" t="s">
        <v>662</v>
      </c>
      <c r="AA6" s="94" t="s">
        <v>402</v>
      </c>
      <c r="AB6" s="94" t="s">
        <v>663</v>
      </c>
      <c r="AC6" s="94" t="s">
        <v>666</v>
      </c>
      <c r="AD6" s="94" t="s">
        <v>175</v>
      </c>
      <c r="AE6" s="94" t="s">
        <v>667</v>
      </c>
      <c r="AG6" s="94" t="s">
        <v>717</v>
      </c>
      <c r="AH6" s="94" t="s">
        <v>718</v>
      </c>
      <c r="AJ6" s="94" t="s">
        <v>720</v>
      </c>
      <c r="AK6" s="94" t="s">
        <v>721</v>
      </c>
    </row>
    <row r="7" spans="1:37" ht="29.4" thickBot="1">
      <c r="A7" s="160"/>
      <c r="B7" s="11" t="s">
        <v>555</v>
      </c>
      <c r="C7" s="130">
        <f>'BM-H2 Economics'!J3*8.76</f>
        <v>438000</v>
      </c>
      <c r="D7" s="130">
        <f>C7/T5</f>
        <v>12</v>
      </c>
      <c r="E7" s="125" t="s">
        <v>556</v>
      </c>
      <c r="F7" s="11" t="s">
        <v>567</v>
      </c>
      <c r="G7" s="130">
        <f>'BM-H2 Economics'!M7*8.76</f>
        <v>448351.07879999996</v>
      </c>
      <c r="H7" s="130">
        <f>G7/T5</f>
        <v>12.283591199999998</v>
      </c>
      <c r="I7" s="161" t="s">
        <v>568</v>
      </c>
      <c r="J7" s="11">
        <f>IF(A8='Algorithm Inputs'!$Z$2, 1, 0)</f>
        <v>0</v>
      </c>
      <c r="S7" s="139" t="s">
        <v>569</v>
      </c>
      <c r="T7" s="142">
        <v>0.6</v>
      </c>
      <c r="U7" s="142"/>
      <c r="V7" s="142"/>
      <c r="W7" s="140"/>
      <c r="Y7" s="95" t="s">
        <v>650</v>
      </c>
      <c r="Z7" s="95" t="s">
        <v>659</v>
      </c>
      <c r="AA7" s="95" t="s">
        <v>50</v>
      </c>
      <c r="AB7" s="95">
        <f>H2_DefaultPrice_SMR</f>
        <v>2500</v>
      </c>
      <c r="AC7" s="95">
        <f>IF(
  AND(
    Y7 = 'Algorithm Inputs'!$B$2,
    Z7 = 'Algorithm Inputs'!$B$4,
    OR(
      'Algorithm Inputs'!$B$4 = "For Sale",
      'Algorithm Inputs'!$B$5 = AA7,
      AND('Algorithm Inputs'!$B$2 = "Water Electrolysis", 'Algorithm Inputs'!$B$5 = "Ammonia", AA7 = "O₂"),
      AND('Algorithm Inputs'!$B$2 &lt;&gt; "Water Electrolysis", 'Algorithm Inputs'!$B$5 = "Ammonia", AA7 = "CO₂"),
      AND('Algorithm Inputs'!$B$2 = "Steam Methane Reforming", 'Algorithm Inputs'!$B$5 = "Methanol", AA7 = "Hydrogen")
    )
  ),
  ROW(),
  ""
)</f>
        <v>7</v>
      </c>
      <c r="AD7" s="95" t="str">
        <f t="shared" ref="AD7:AD21" si="0">IF(AC7&lt;&gt;"", AA7, "")</f>
        <v>Hydrogen</v>
      </c>
      <c r="AE7" s="95" t="str">
        <f t="array" ref="AE7">IFERROR(INDEX(AD$7:AD$21, SMALL(IF(AD$7:AD$21&lt;&gt;"", ROW(AD$7:AD$21)-ROW(AD$7)+1), ROW(1:1))), "")</f>
        <v>Hydrogen</v>
      </c>
      <c r="AG7" s="95" t="s">
        <v>50</v>
      </c>
      <c r="AH7" s="95" t="s">
        <v>554</v>
      </c>
      <c r="AJ7" s="95" t="s">
        <v>405</v>
      </c>
      <c r="AK7" s="95" t="s">
        <v>584</v>
      </c>
    </row>
    <row r="8" spans="1:37" ht="28.8">
      <c r="A8" s="158"/>
      <c r="B8" s="129"/>
      <c r="C8" s="148"/>
      <c r="D8" s="148"/>
      <c r="E8" s="129"/>
      <c r="F8" s="129"/>
      <c r="G8" s="148"/>
      <c r="H8" s="148"/>
      <c r="I8" s="164"/>
      <c r="J8" s="11">
        <f>IF(A9='Algorithm Inputs'!$Z$2, 1, 0)</f>
        <v>0</v>
      </c>
      <c r="Y8" s="95" t="s">
        <v>650</v>
      </c>
      <c r="Z8" s="95" t="s">
        <v>659</v>
      </c>
      <c r="AA8" s="95" t="s">
        <v>495</v>
      </c>
      <c r="AB8" s="95">
        <f>CO2_DefaultPrice</f>
        <v>0</v>
      </c>
      <c r="AC8" s="95">
        <f>IF(
  AND(
    Y8 = 'Algorithm Inputs'!$B$2,
    Z8 = 'Algorithm Inputs'!$B$4,
    OR(
      'Algorithm Inputs'!$B$4 = "For Sale",
      'Algorithm Inputs'!$B$5 = AA8,
      AND('Algorithm Inputs'!$B$2 = "Water Electrolysis", 'Algorithm Inputs'!$B$5 = "Ammonia", AA8 = "O₂"),
      AND('Algorithm Inputs'!$B$2 &lt;&gt; "Water Electrolysis", 'Algorithm Inputs'!$B$5 = "Ammonia", AA8 = "CO₂"),
      AND('Algorithm Inputs'!$B$2 = "Steam Methane Reforming", 'Algorithm Inputs'!$B$5 = "Methanol", AA8 = "Hydrogen")
    )
  ),
  ROW(),
  ""
)</f>
        <v>8</v>
      </c>
      <c r="AD8" s="95" t="str">
        <f t="shared" si="0"/>
        <v>CO₂</v>
      </c>
      <c r="AE8" s="95" t="str">
        <f t="array" ref="AE8">IFERROR(INDEX(AD$7:AD$21, SMALL(IF(AD$7:AD$21&lt;&gt;"", ROW(AD$7:AD$21)-ROW(AD$7)+1), ROW(2:2))), "")</f>
        <v>CO₂</v>
      </c>
      <c r="AG8" s="95" t="s">
        <v>495</v>
      </c>
      <c r="AH8" t="s">
        <v>557</v>
      </c>
      <c r="AJ8" s="95" t="s">
        <v>445</v>
      </c>
      <c r="AK8" s="95" t="s">
        <v>593</v>
      </c>
    </row>
    <row r="9" spans="1:37" ht="28.8">
      <c r="A9" s="156" t="s">
        <v>570</v>
      </c>
      <c r="B9" s="11"/>
      <c r="C9" s="130"/>
      <c r="D9" s="130"/>
      <c r="E9" s="11"/>
      <c r="F9" s="11"/>
      <c r="G9" s="130"/>
      <c r="H9" s="130"/>
      <c r="I9" s="161"/>
      <c r="J9" s="11">
        <f>IF(A10='Algorithm Inputs'!$Z$2, 1, 0)</f>
        <v>0</v>
      </c>
      <c r="Y9" s="95" t="s">
        <v>651</v>
      </c>
      <c r="Z9" s="95" t="s">
        <v>659</v>
      </c>
      <c r="AA9" s="95" t="s">
        <v>50</v>
      </c>
      <c r="AB9" s="95">
        <f>H2_DefaultPrice_BMG</f>
        <v>3000</v>
      </c>
      <c r="AC9" s="95" t="str">
        <f>IF(
  AND(
    Y9 = 'Algorithm Inputs'!$B$2,
    Z9 = 'Algorithm Inputs'!$B$4,
    OR(
      'Algorithm Inputs'!$B$4 = "For Sale",
      'Algorithm Inputs'!$B$5 = AA9,
      AND('Algorithm Inputs'!$B$2 = "Water Electrolysis", 'Algorithm Inputs'!$B$5 = "Ammonia", AA9 = "O₂"),
      AND('Algorithm Inputs'!$B$2 &lt;&gt; "Water Electrolysis", 'Algorithm Inputs'!$B$5 = "Ammonia", AA9 = "CO₂"),
      AND('Algorithm Inputs'!$B$2 = "Steam Methane Reforming", 'Algorithm Inputs'!$B$5 = "Methanol", AA9 = "Hydrogen")
    )
  ),
  ROW(),
  ""
)</f>
        <v/>
      </c>
      <c r="AD9" s="95" t="str">
        <f t="shared" si="0"/>
        <v/>
      </c>
      <c r="AE9" s="95" t="str">
        <f t="array" ref="AE9">IFERROR(INDEX(AD$7:AD$21, SMALL(IF(AD$7:AD$21&lt;&gt;"", ROW(AD$7:AD$21)-ROW(AD$7)+1), ROW(3:3))), "")</f>
        <v/>
      </c>
      <c r="AG9" s="95" t="s">
        <v>664</v>
      </c>
      <c r="AH9" s="95" t="s">
        <v>572</v>
      </c>
    </row>
    <row r="10" spans="1:37" ht="15" thickBot="1">
      <c r="A10" s="160"/>
      <c r="B10" s="11" t="s">
        <v>571</v>
      </c>
      <c r="C10" s="130">
        <f>'WE Economics'!K2*8.76</f>
        <v>439130.91599999997</v>
      </c>
      <c r="D10" s="130">
        <f>C10/T5</f>
        <v>12.030983999999998</v>
      </c>
      <c r="E10" s="125" t="s">
        <v>556</v>
      </c>
      <c r="F10" s="11" t="s">
        <v>554</v>
      </c>
      <c r="G10" s="130">
        <v>36500</v>
      </c>
      <c r="H10" s="130">
        <v>1</v>
      </c>
      <c r="I10" s="161"/>
      <c r="J10" s="11">
        <f>IF(A11='Algorithm Inputs'!$Z$2, 1, 0)</f>
        <v>0</v>
      </c>
      <c r="Y10" s="95"/>
      <c r="Z10" s="95"/>
      <c r="AA10" s="95"/>
      <c r="AB10" s="95"/>
      <c r="AC10" s="95" t="str">
        <f>IF(
  AND(
    Y10 = 'Algorithm Inputs'!$B$2,
    Z10 = 'Algorithm Inputs'!$B$4,
    OR(
      'Algorithm Inputs'!$B$4 = "For Sale",
      'Algorithm Inputs'!$B$5 = AA10,
      AND('Algorithm Inputs'!$B$2 = "Water Electrolysis", 'Algorithm Inputs'!$B$5 = "Ammonia", AA10 = "O₂"),
      AND('Algorithm Inputs'!$B$2 &lt;&gt; "Water Electrolysis", 'Algorithm Inputs'!$B$5 = "Ammonia", AA10 = "CO₂"),
      AND('Algorithm Inputs'!$B$2 = "Steam Methane Reforming", 'Algorithm Inputs'!$B$5 = "Methanol", AA10 = "Hydrogen")
    )
  ),
  ROW(),
  ""
)</f>
        <v/>
      </c>
      <c r="AD10" s="95" t="str">
        <f t="shared" si="0"/>
        <v/>
      </c>
      <c r="AE10" s="95" t="str">
        <f t="array" ref="AE10">IFERROR(INDEX(AD$7:AD$21, SMALL(IF(AD$7:AD$21&lt;&gt;"", ROW(AD$7:AD$21)-ROW(AD$7)+1), ROW(4:4))), "")</f>
        <v/>
      </c>
      <c r="AG10" s="95" t="s">
        <v>405</v>
      </c>
      <c r="AH10" s="95" t="s">
        <v>584</v>
      </c>
    </row>
    <row r="11" spans="1:37" ht="28.8">
      <c r="A11" s="160"/>
      <c r="B11" s="11"/>
      <c r="C11" s="130"/>
      <c r="D11" s="130"/>
      <c r="E11" s="11"/>
      <c r="F11" s="11" t="s">
        <v>572</v>
      </c>
      <c r="G11" s="130">
        <f>'WE Economics'!N3*8.76</f>
        <v>290291.76112192875</v>
      </c>
      <c r="H11" s="130">
        <f>G11/T5</f>
        <v>7.9531989348473626</v>
      </c>
      <c r="I11" s="161" t="s">
        <v>573</v>
      </c>
      <c r="J11" s="11">
        <f>IF(A12='Algorithm Inputs'!$Z$2, 1, 0)</f>
        <v>0</v>
      </c>
      <c r="S11" s="135" t="s">
        <v>574</v>
      </c>
      <c r="T11" s="136">
        <v>1</v>
      </c>
      <c r="V11" t="s">
        <v>575</v>
      </c>
      <c r="W11">
        <v>20</v>
      </c>
      <c r="X11" t="s">
        <v>576</v>
      </c>
      <c r="Y11" s="95" t="s">
        <v>34</v>
      </c>
      <c r="Z11" s="95" t="s">
        <v>659</v>
      </c>
      <c r="AA11" s="95" t="s">
        <v>50</v>
      </c>
      <c r="AB11" s="95">
        <f>H2_Default_Price_WE</f>
        <v>5000</v>
      </c>
      <c r="AC11" s="95" t="str">
        <f>IF(
  AND(
    Y11 = 'Algorithm Inputs'!$B$2,
    Z11 = 'Algorithm Inputs'!$B$4,
    OR(
      'Algorithm Inputs'!$B$4 = "For Sale",
      'Algorithm Inputs'!$B$5 = AA11,
      AND('Algorithm Inputs'!$B$2 = "Water Electrolysis", 'Algorithm Inputs'!$B$5 = "Ammonia", AA11 = "O₂"),
      AND('Algorithm Inputs'!$B$2 &lt;&gt; "Water Electrolysis", 'Algorithm Inputs'!$B$5 = "Ammonia", AA11 = "CO₂"),
      AND('Algorithm Inputs'!$B$2 = "Steam Methane Reforming", 'Algorithm Inputs'!$B$5 = "Methanol", AA11 = "Hydrogen")
    )
  ),
  ROW(),
  ""
)</f>
        <v/>
      </c>
      <c r="AD11" s="95" t="str">
        <f t="shared" si="0"/>
        <v/>
      </c>
      <c r="AE11" s="95" t="str">
        <f t="array" ref="AE11">IFERROR(INDEX(AD$7:AD$21, SMALL(IF(AD$7:AD$21&lt;&gt;"", ROW(AD$7:AD$21)-ROW(AD$7)+1), ROW(5:5))), "")</f>
        <v/>
      </c>
      <c r="AG11" s="95" t="s">
        <v>445</v>
      </c>
      <c r="AH11" s="95" t="s">
        <v>593</v>
      </c>
    </row>
    <row r="12" spans="1:37" ht="28.8">
      <c r="A12" s="158"/>
      <c r="B12" s="129"/>
      <c r="C12" s="148"/>
      <c r="D12" s="148"/>
      <c r="E12" s="129"/>
      <c r="F12" s="129"/>
      <c r="G12" s="148"/>
      <c r="H12" s="148"/>
      <c r="I12" s="164"/>
      <c r="J12" s="11">
        <f>IF(A13='Algorithm Inputs'!$Z$2, 1, 0)</f>
        <v>0</v>
      </c>
      <c r="S12" s="14" t="s">
        <v>577</v>
      </c>
      <c r="T12" s="14" t="s">
        <v>578</v>
      </c>
      <c r="V12" t="s">
        <v>579</v>
      </c>
      <c r="W12">
        <v>0.21</v>
      </c>
      <c r="X12" t="s">
        <v>580</v>
      </c>
      <c r="Y12" s="95" t="s">
        <v>34</v>
      </c>
      <c r="Z12" s="95" t="s">
        <v>659</v>
      </c>
      <c r="AA12" s="95" t="s">
        <v>664</v>
      </c>
      <c r="AB12" s="95">
        <f>O2_DefaultPrice</f>
        <v>300</v>
      </c>
      <c r="AC12" s="95" t="str">
        <f>IF(
  AND(
    Y12 = 'Algorithm Inputs'!$B$2,
    Z12 = 'Algorithm Inputs'!$B$4,
    OR(
      'Algorithm Inputs'!$B$4 = "For Sale",
      'Algorithm Inputs'!$B$5 = AA12,
      AND('Algorithm Inputs'!$B$2 = "Water Electrolysis", 'Algorithm Inputs'!$B$5 = "Ammonia", AA12 = "O₂"),
      AND('Algorithm Inputs'!$B$2 &lt;&gt; "Water Electrolysis", 'Algorithm Inputs'!$B$5 = "Ammonia", AA12 = "CO₂"),
      AND('Algorithm Inputs'!$B$2 = "Steam Methane Reforming", 'Algorithm Inputs'!$B$5 = "Methanol", AA12 = "Hydrogen")
    )
  ),
  ROW(),
  ""
)</f>
        <v/>
      </c>
      <c r="AD12" s="95" t="str">
        <f t="shared" si="0"/>
        <v/>
      </c>
      <c r="AE12" s="95" t="str">
        <f t="array" ref="AE12">IFERROR(INDEX(AD$7:AD$21, SMALL(IF(AD$7:AD$21&lt;&gt;"", ROW(AD$7:AD$21)-ROW(AD$7)+1), ROW(6:6))), "")</f>
        <v/>
      </c>
      <c r="AG12" s="95" t="s">
        <v>719</v>
      </c>
      <c r="AH12" s="95" t="s">
        <v>719</v>
      </c>
    </row>
    <row r="13" spans="1:37" ht="28.8">
      <c r="A13" s="156" t="s">
        <v>581</v>
      </c>
      <c r="B13" s="11" t="s">
        <v>582</v>
      </c>
      <c r="C13" s="130">
        <f>'H2-Ammonia'!N3*8.76</f>
        <v>168931.34400000001</v>
      </c>
      <c r="D13" s="130">
        <f>C13/C14</f>
        <v>4.6282560000000004</v>
      </c>
      <c r="E13" s="125" t="s">
        <v>583</v>
      </c>
      <c r="F13" s="11" t="s">
        <v>584</v>
      </c>
      <c r="G13" s="130">
        <f>'H2-Ammonia'!Q2*8.76</f>
        <v>204765.82339157941</v>
      </c>
      <c r="H13" s="130">
        <f>G13/C14</f>
        <v>5.6100225586734087</v>
      </c>
      <c r="I13" s="161" t="s">
        <v>585</v>
      </c>
      <c r="J13" s="11">
        <f>IF(A14='Algorithm Inputs'!$Z$2, 1, 0)</f>
        <v>0</v>
      </c>
      <c r="S13" s="14" t="s">
        <v>586</v>
      </c>
      <c r="T13" s="143">
        <f>'SMR Economics'!D15</f>
        <v>90.419237794986358</v>
      </c>
      <c r="V13" t="s">
        <v>587</v>
      </c>
      <c r="W13">
        <v>1100</v>
      </c>
      <c r="X13" t="s">
        <v>588</v>
      </c>
      <c r="Y13" s="95" t="s">
        <v>650</v>
      </c>
      <c r="Z13" s="95" t="s">
        <v>665</v>
      </c>
      <c r="AA13" s="95" t="s">
        <v>405</v>
      </c>
      <c r="AB13" s="95">
        <f>NH3_DefaultPrice</f>
        <v>600</v>
      </c>
      <c r="AC13" s="95" t="str">
        <f>IF(
  AND(
    Y13 = 'Algorithm Inputs'!$B$2,
    Z13 = 'Algorithm Inputs'!$B$4,
    OR(
      'Algorithm Inputs'!$B$4 = "For Sale",
      'Algorithm Inputs'!$B$5 = AA13,
      AND('Algorithm Inputs'!$B$2 = "Water Electrolysis", 'Algorithm Inputs'!$B$5 = "Ammonia", AA13 = "O₂"),
      AND('Algorithm Inputs'!$B$2 &lt;&gt; "Water Electrolysis", 'Algorithm Inputs'!$B$5 = "Ammonia", AA13 = "CO₂"),
      AND('Algorithm Inputs'!$B$2 = "Steam Methane Reforming", 'Algorithm Inputs'!$B$5 = "Methanol", AA13 = "Hydrogen")
    )
  ),
  ROW(),
  ""
)</f>
        <v/>
      </c>
      <c r="AD13" s="95" t="str">
        <f t="shared" si="0"/>
        <v/>
      </c>
      <c r="AE13" s="95" t="str">
        <f t="array" ref="AE13">IFERROR(INDEX(AD$7:AD$21, SMALL(IF(AD$7:AD$21&lt;&gt;"", ROW(AD$7:AD$21)-ROW(AD$7)+1), ROW(7:7))), "")</f>
        <v/>
      </c>
    </row>
    <row r="14" spans="1:37" ht="28.8">
      <c r="A14" s="160"/>
      <c r="B14" s="11" t="s">
        <v>589</v>
      </c>
      <c r="C14" s="130">
        <f>T5</f>
        <v>36500</v>
      </c>
      <c r="D14" s="130">
        <v>1</v>
      </c>
      <c r="E14" s="11"/>
      <c r="F14" s="11"/>
      <c r="G14" s="130"/>
      <c r="H14" s="130"/>
      <c r="I14" s="162"/>
      <c r="J14" s="11">
        <f>IF(A15='Algorithm Inputs'!$Z$2, 1, 0)</f>
        <v>0</v>
      </c>
      <c r="S14" s="14" t="s">
        <v>590</v>
      </c>
      <c r="T14" s="143">
        <f>'BM-H2 Economics'!D20</f>
        <v>106.86303085944216</v>
      </c>
      <c r="Y14" s="95" t="s">
        <v>650</v>
      </c>
      <c r="Z14" s="95" t="s">
        <v>665</v>
      </c>
      <c r="AA14" s="95" t="s">
        <v>495</v>
      </c>
      <c r="AB14" s="95">
        <f>CO2_DefaultPrice</f>
        <v>0</v>
      </c>
      <c r="AC14" s="95" t="str">
        <f>IF(
  AND(
    Y14 = 'Algorithm Inputs'!$B$2,
    Z14 = 'Algorithm Inputs'!$B$4,
    OR(
      'Algorithm Inputs'!$B$4 = "For Sale",
      'Algorithm Inputs'!$B$5 = AA14,
      AND('Algorithm Inputs'!$B$2 = "Water Electrolysis", 'Algorithm Inputs'!$B$5 = "Ammonia", AA14 = "O₂"),
      AND('Algorithm Inputs'!$B$2 &lt;&gt; "Water Electrolysis", 'Algorithm Inputs'!$B$5 = "Ammonia", AA14 = "CO₂"),
      AND('Algorithm Inputs'!$B$2 = "Steam Methane Reforming", 'Algorithm Inputs'!$B$5 = "Methanol", AA14 = "Hydrogen")
    )
  ),
  ROW(),
  ""
)</f>
        <v/>
      </c>
      <c r="AD14" s="95" t="str">
        <f t="shared" si="0"/>
        <v/>
      </c>
      <c r="AE14" s="95" t="str">
        <f t="array" ref="AE14">IFERROR(INDEX(AD$7:AD$21, SMALL(IF(AD$7:AD$21&lt;&gt;"", ROW(AD$7:AD$21)-ROW(AD$7)+1), ROW(8:8))), "")</f>
        <v/>
      </c>
    </row>
    <row r="15" spans="1:37" ht="28.8">
      <c r="A15" s="158"/>
      <c r="B15" s="129"/>
      <c r="C15" s="148"/>
      <c r="D15" s="148"/>
      <c r="E15" s="129"/>
      <c r="F15" s="129"/>
      <c r="G15" s="148"/>
      <c r="H15" s="148"/>
      <c r="I15" s="166"/>
      <c r="J15" s="11">
        <f>IF(A16='Algorithm Inputs'!$Z$2, 1, 0)</f>
        <v>0</v>
      </c>
      <c r="S15" s="14" t="s">
        <v>591</v>
      </c>
      <c r="T15" s="14">
        <f>'WE Economics'!B21</f>
        <v>394.48581372549017</v>
      </c>
      <c r="V15" s="8" t="s">
        <v>645</v>
      </c>
      <c r="W15" s="8" t="s">
        <v>646</v>
      </c>
      <c r="Y15" s="95" t="s">
        <v>650</v>
      </c>
      <c r="Z15" s="95" t="s">
        <v>665</v>
      </c>
      <c r="AA15" s="95" t="s">
        <v>445</v>
      </c>
      <c r="AB15" s="95">
        <f>MeOH_DefaultPrice</f>
        <v>700</v>
      </c>
      <c r="AC15" s="95" t="str">
        <f>IF(
  AND(
    Y15 = 'Algorithm Inputs'!$B$2,
    Z15 = 'Algorithm Inputs'!$B$4,
    OR(
      'Algorithm Inputs'!$B$4 = "For Sale",
      'Algorithm Inputs'!$B$5 = AA15,
      AND('Algorithm Inputs'!$B$2 = "Water Electrolysis", 'Algorithm Inputs'!$B$5 = "Ammonia", AA15 = "O₂"),
      AND('Algorithm Inputs'!$B$2 &lt;&gt; "Water Electrolysis", 'Algorithm Inputs'!$B$5 = "Ammonia", AA15 = "CO₂"),
      AND('Algorithm Inputs'!$B$2 = "Steam Methane Reforming", 'Algorithm Inputs'!$B$5 = "Methanol", AA15 = "Hydrogen")
    )
  ),
  ROW(),
  ""
)</f>
        <v/>
      </c>
      <c r="AD15" s="95" t="str">
        <f t="shared" si="0"/>
        <v/>
      </c>
      <c r="AE15" s="95" t="str">
        <f t="array" ref="AE15">IFERROR(INDEX(AD$7:AD$21, SMALL(IF(AD$7:AD$21&lt;&gt;"", ROW(AD$7:AD$21)-ROW(AD$7)+1), ROW(9:9))), "")</f>
        <v/>
      </c>
    </row>
    <row r="16" spans="1:37" ht="28.8">
      <c r="A16" s="156" t="s">
        <v>502</v>
      </c>
      <c r="B16" s="11" t="s">
        <v>592</v>
      </c>
      <c r="C16" s="130">
        <f>'H2-MeOH'!P8*8.76</f>
        <v>484866</v>
      </c>
      <c r="D16" s="130">
        <f>(C16-C17)/Base_Capacity</f>
        <v>12.284000000000001</v>
      </c>
      <c r="E16" s="125" t="s">
        <v>700</v>
      </c>
      <c r="F16" s="11" t="s">
        <v>593</v>
      </c>
      <c r="G16" s="130">
        <f>'H2-MeOH'!S8*8.76</f>
        <v>207436.79999999999</v>
      </c>
      <c r="H16" s="130">
        <f>G16/T5</f>
        <v>5.6831999999999994</v>
      </c>
      <c r="I16" s="161" t="s">
        <v>594</v>
      </c>
      <c r="J16" s="11">
        <f>IF(A17='Algorithm Inputs'!$Z$2, 1, 0)</f>
        <v>0</v>
      </c>
      <c r="S16" s="14" t="s">
        <v>595</v>
      </c>
      <c r="T16" s="14">
        <f>'H2-Ammonia'!D22</f>
        <v>140.81521623144815</v>
      </c>
      <c r="V16" s="152" t="s">
        <v>642</v>
      </c>
      <c r="W16" s="153">
        <v>2500</v>
      </c>
      <c r="Y16" s="95" t="s">
        <v>651</v>
      </c>
      <c r="Z16" s="95" t="s">
        <v>665</v>
      </c>
      <c r="AA16" s="95" t="s">
        <v>405</v>
      </c>
      <c r="AB16" s="95">
        <f>NH3_DefaultPrice</f>
        <v>600</v>
      </c>
      <c r="AC16" s="95" t="str">
        <f>IF(
  AND(
    Y16 = 'Algorithm Inputs'!$B$2,
    Z16 = 'Algorithm Inputs'!$B$4,
    OR(
      'Algorithm Inputs'!$B$4 = "For Sale",
      'Algorithm Inputs'!$B$5 = AA16,
      AND('Algorithm Inputs'!$B$2 = "Water Electrolysis", 'Algorithm Inputs'!$B$5 = "Ammonia", AA16 = "O₂"),
      AND('Algorithm Inputs'!$B$2 &lt;&gt; "Water Electrolysis", 'Algorithm Inputs'!$B$5 = "Ammonia", AA16 = "CO₂"),
      AND('Algorithm Inputs'!$B$2 = "Steam Methane Reforming", 'Algorithm Inputs'!$B$5 = "Methanol", AA16 = "Hydrogen")
    )
  ),
  ROW(),
  ""
)</f>
        <v/>
      </c>
      <c r="AD16" s="95" t="str">
        <f t="shared" si="0"/>
        <v/>
      </c>
      <c r="AE16" s="95" t="str">
        <f t="array" ref="AE16">IFERROR(INDEX(AD$7:AD$21, SMALL(IF(AD$7:AD$21&lt;&gt;"", ROW(AD$7:AD$21)-ROW(AD$7)+1), ROW(10:10))), "")</f>
        <v/>
      </c>
    </row>
    <row r="17" spans="1:31" ht="28.8">
      <c r="A17" s="160"/>
      <c r="B17" s="11" t="s">
        <v>596</v>
      </c>
      <c r="C17" s="130">
        <v>36500</v>
      </c>
      <c r="D17" s="11"/>
      <c r="E17" s="11"/>
      <c r="F17" s="11"/>
      <c r="G17" s="11"/>
      <c r="H17" s="130">
        <f>G16/C16</f>
        <v>0.42782294489611561</v>
      </c>
      <c r="I17" s="161" t="s">
        <v>597</v>
      </c>
      <c r="J17" s="11">
        <f>IF(A18='Algorithm Inputs'!$Z$2, 1, 0)</f>
        <v>0</v>
      </c>
      <c r="S17" s="14" t="s">
        <v>598</v>
      </c>
      <c r="T17" s="14">
        <f>'H2-MeOH'!E23</f>
        <v>300.63885914818667</v>
      </c>
      <c r="V17" s="152" t="s">
        <v>643</v>
      </c>
      <c r="W17" s="153">
        <v>3000</v>
      </c>
      <c r="Y17" s="95" t="s">
        <v>651</v>
      </c>
      <c r="Z17" s="95" t="s">
        <v>665</v>
      </c>
      <c r="AA17" s="95" t="s">
        <v>495</v>
      </c>
      <c r="AB17" s="95">
        <f>CO2_DefaultPrice</f>
        <v>0</v>
      </c>
      <c r="AC17" s="95" t="str">
        <f>IF(
  AND(
    Y17 = 'Algorithm Inputs'!$B$2,
    Z17 = 'Algorithm Inputs'!$B$4,
    OR(
      'Algorithm Inputs'!$B$4 = "For Sale",
      'Algorithm Inputs'!$B$5 = AA17,
      AND('Algorithm Inputs'!$B$2 = "Water Electrolysis", 'Algorithm Inputs'!$B$5 = "Ammonia", AA17 = "O₂"),
      AND('Algorithm Inputs'!$B$2 &lt;&gt; "Water Electrolysis", 'Algorithm Inputs'!$B$5 = "Ammonia", AA17 = "CO₂"),
      AND('Algorithm Inputs'!$B$2 = "Steam Methane Reforming", 'Algorithm Inputs'!$B$5 = "Methanol", AA17 = "Hydrogen")
    )
  ),
  ROW(),
  ""
)</f>
        <v/>
      </c>
      <c r="AD17" s="95" t="str">
        <f t="shared" si="0"/>
        <v/>
      </c>
      <c r="AE17" s="95" t="str">
        <f t="array" ref="AE17">IFERROR(INDEX(AD$7:AD$21, SMALL(IF(AD$7:AD$21&lt;&gt;"", ROW(AD$7:AD$21)-ROW(AD$7)+1), ROW(11:11))), "")</f>
        <v/>
      </c>
    </row>
    <row r="18" spans="1:31" ht="28.8">
      <c r="A18" s="160"/>
      <c r="B18" s="11"/>
      <c r="C18" s="11"/>
      <c r="D18" s="11"/>
      <c r="E18" s="11"/>
      <c r="F18" s="11"/>
      <c r="G18" s="11"/>
      <c r="H18" s="11"/>
      <c r="I18" s="162"/>
      <c r="J18" s="11">
        <f>IF(A19='Algorithm Inputs'!$Z$2, 1, 0)</f>
        <v>0</v>
      </c>
      <c r="V18" s="152" t="s">
        <v>644</v>
      </c>
      <c r="W18" s="153">
        <v>5000</v>
      </c>
      <c r="Y18" s="95" t="s">
        <v>651</v>
      </c>
      <c r="Z18" s="95" t="s">
        <v>665</v>
      </c>
      <c r="AA18" s="95" t="s">
        <v>445</v>
      </c>
      <c r="AB18" s="95">
        <f>MeOH_DefaultPrice</f>
        <v>700</v>
      </c>
      <c r="AC18" s="95" t="str">
        <f>IF(
  AND(
    Y18 = 'Algorithm Inputs'!$B$2,
    Z18 = 'Algorithm Inputs'!$B$4,
    OR(
      'Algorithm Inputs'!$B$4 = "For Sale",
      'Algorithm Inputs'!$B$5 = AA18,
      AND('Algorithm Inputs'!$B$2 = "Water Electrolysis", 'Algorithm Inputs'!$B$5 = "Ammonia", AA18 = "O₂"),
      AND('Algorithm Inputs'!$B$2 &lt;&gt; "Water Electrolysis", 'Algorithm Inputs'!$B$5 = "Ammonia", AA18 = "CO₂"),
      AND('Algorithm Inputs'!$B$2 = "Steam Methane Reforming", 'Algorithm Inputs'!$B$5 = "Methanol", AA18 = "Hydrogen")
    )
  ),
  ROW(),
  ""
)</f>
        <v/>
      </c>
      <c r="AD18" s="95" t="str">
        <f t="shared" si="0"/>
        <v/>
      </c>
      <c r="AE18" s="95" t="str">
        <f t="array" ref="AE18">IFERROR(INDEX(AD$7:AD$21, SMALL(IF(AD$7:AD$21&lt;&gt;"", ROW(AD$7:AD$21)-ROW(AD$7)+1), ROW(12:12))), "")</f>
        <v/>
      </c>
    </row>
    <row r="19" spans="1:31" ht="28.8">
      <c r="A19" s="157"/>
      <c r="B19" s="12"/>
      <c r="C19" s="12"/>
      <c r="D19" s="12"/>
      <c r="E19" s="12"/>
      <c r="F19" s="12"/>
      <c r="G19" s="12"/>
      <c r="H19" s="12"/>
      <c r="I19" s="167"/>
      <c r="J19" s="12">
        <f>IF(A20='Algorithm Inputs'!$Z$2, 1, 0)</f>
        <v>0</v>
      </c>
      <c r="S19" s="144" t="s">
        <v>599</v>
      </c>
      <c r="T19" s="145" t="s">
        <v>188</v>
      </c>
      <c r="V19" s="152" t="s">
        <v>656</v>
      </c>
      <c r="W19" s="153">
        <v>300</v>
      </c>
      <c r="Y19" s="95" t="s">
        <v>34</v>
      </c>
      <c r="Z19" s="95" t="s">
        <v>665</v>
      </c>
      <c r="AA19" s="95" t="s">
        <v>405</v>
      </c>
      <c r="AB19" s="95">
        <f>NH3_DefaultPrice</f>
        <v>600</v>
      </c>
      <c r="AC19" s="95" t="str">
        <f>IF(
  AND(
    Y19 = 'Algorithm Inputs'!$B$2,
    Z19 = 'Algorithm Inputs'!$B$4,
    OR(
      'Algorithm Inputs'!$B$4 = "For Sale",
      'Algorithm Inputs'!$B$5 = AA19,
      AND('Algorithm Inputs'!$B$2 = "Water Electrolysis", 'Algorithm Inputs'!$B$5 = "Ammonia", AA19 = "O₂"),
      AND('Algorithm Inputs'!$B$2 &lt;&gt; "Water Electrolysis", 'Algorithm Inputs'!$B$5 = "Ammonia", AA19 = "CO₂"),
      AND('Algorithm Inputs'!$B$2 = "Steam Methane Reforming", 'Algorithm Inputs'!$B$5 = "Methanol", AA19 = "Hydrogen")
    )
  ),
  ROW(),
  ""
)</f>
        <v/>
      </c>
      <c r="AD19" s="95" t="str">
        <f t="shared" si="0"/>
        <v/>
      </c>
      <c r="AE19" s="95" t="str">
        <f t="array" ref="AE19">IFERROR(INDEX(AD$7:AD$21, SMALL(IF(AD$7:AD$21&lt;&gt;"", ROW(AD$7:AD$21)-ROW(AD$7)+1), ROW(13:13))), "")</f>
        <v/>
      </c>
    </row>
    <row r="20" spans="1:31" ht="28.8">
      <c r="A20" s="323" t="s">
        <v>600</v>
      </c>
      <c r="B20" s="324"/>
      <c r="C20" s="324"/>
      <c r="D20" s="324"/>
      <c r="E20" s="324"/>
      <c r="F20" s="324"/>
      <c r="G20" s="324"/>
      <c r="H20" s="324"/>
      <c r="I20" s="325"/>
      <c r="S20" s="137" t="s">
        <v>601</v>
      </c>
      <c r="T20" s="138">
        <f>'SMR Economics'!C35</f>
        <v>66.190672341416075</v>
      </c>
      <c r="V20" s="152" t="s">
        <v>657</v>
      </c>
      <c r="W20" s="153">
        <v>700</v>
      </c>
      <c r="Y20" s="95" t="s">
        <v>34</v>
      </c>
      <c r="Z20" s="95" t="s">
        <v>665</v>
      </c>
      <c r="AA20" s="95" t="s">
        <v>664</v>
      </c>
      <c r="AB20" s="95">
        <f>O2_DefaultPrice</f>
        <v>300</v>
      </c>
      <c r="AC20" s="95" t="str">
        <f>IF(
  AND(
    Y20 = 'Algorithm Inputs'!$B$2,
    Z20 = 'Algorithm Inputs'!$B$4,
    OR(
      'Algorithm Inputs'!$B$4 = "For Sale",
      'Algorithm Inputs'!$B$5 = AA20,
      AND('Algorithm Inputs'!$B$2 = "Water Electrolysis", 'Algorithm Inputs'!$B$5 = "Ammonia", AA20 = "O₂"),
      AND('Algorithm Inputs'!$B$2 &lt;&gt; "Water Electrolysis", 'Algorithm Inputs'!$B$5 = "Ammonia", AA20 = "CO₂"),
      AND('Algorithm Inputs'!$B$2 = "Steam Methane Reforming", 'Algorithm Inputs'!$B$5 = "Methanol", AA20 = "Hydrogen")
    )
  ),
  ROW(),
  ""
)</f>
        <v/>
      </c>
      <c r="AD20" s="95" t="str">
        <f t="shared" si="0"/>
        <v/>
      </c>
      <c r="AE20" s="95" t="str">
        <f t="array" ref="AE20">IFERROR(INDEX(AD$7:AD$21, SMALL(IF(AD$7:AD$21&lt;&gt;"", ROW(AD$7:AD$21)-ROW(AD$7)+1), ROW(14:14))), "")</f>
        <v/>
      </c>
    </row>
    <row r="21" spans="1:31" ht="28.8">
      <c r="A21" s="159" t="s">
        <v>0</v>
      </c>
      <c r="B21" s="126" t="s">
        <v>602</v>
      </c>
      <c r="C21" s="126" t="s">
        <v>603</v>
      </c>
      <c r="D21" s="126" t="s">
        <v>604</v>
      </c>
      <c r="E21" s="126" t="s">
        <v>605</v>
      </c>
      <c r="F21" s="127" t="s">
        <v>175</v>
      </c>
      <c r="G21" s="127" t="s">
        <v>667</v>
      </c>
      <c r="H21" s="127" t="s">
        <v>683</v>
      </c>
      <c r="I21" s="168" t="s">
        <v>684</v>
      </c>
      <c r="S21" s="137" t="s">
        <v>606</v>
      </c>
      <c r="T21" s="138">
        <f>'BM-H2 Economics'!D39</f>
        <v>18.50083460165493</v>
      </c>
      <c r="V21" s="152" t="s">
        <v>658</v>
      </c>
      <c r="W21" s="153">
        <v>600</v>
      </c>
      <c r="Y21" s="95" t="s">
        <v>650</v>
      </c>
      <c r="Z21" s="95" t="s">
        <v>665</v>
      </c>
      <c r="AA21" s="95" t="s">
        <v>50</v>
      </c>
      <c r="AB21" s="95">
        <v>2000</v>
      </c>
      <c r="AC21" s="95" t="str">
        <f>IF(
  AND(
    Y21 = 'Algorithm Inputs'!$B$2,
    Z21 = 'Algorithm Inputs'!$B$4,
    OR(
      'Algorithm Inputs'!$B$4 = "For Sale",
      'Algorithm Inputs'!$B$5 = AA21,
      AND('Algorithm Inputs'!$B$2 = "Water Electrolysis", 'Algorithm Inputs'!$B$5 = "Ammonia", AA21 = "O₂"),
      AND('Algorithm Inputs'!$B$2 &lt;&gt; "Water Electrolysis", 'Algorithm Inputs'!$B$5 = "Ammonia", AA21 = "CO₂"),
      AND('Algorithm Inputs'!$B$2 = "Steam Methane Reforming", 'Algorithm Inputs'!$B$5 = "Methanol", AA21 = "Hydrogen")
    )
  ),
  ROW(),
  ""
)</f>
        <v/>
      </c>
      <c r="AD21" s="95" t="str">
        <f t="shared" si="0"/>
        <v/>
      </c>
      <c r="AE21" s="95" t="str">
        <f t="array" ref="AE21">IFERROR(INDEX(AD$7:AD$21, SMALL(IF(AD$7:AD$21&lt;&gt;"", ROW(AD$7:AD$21)-ROW(AD$7)+1), ROW(15:15))), "")</f>
        <v/>
      </c>
    </row>
    <row r="22" spans="1:31">
      <c r="A22" s="160"/>
      <c r="B22" s="11" t="s">
        <v>368</v>
      </c>
      <c r="C22" s="130">
        <f>'SMR Economics'!H12/1000</f>
        <v>322260.54099240003</v>
      </c>
      <c r="D22" s="170"/>
      <c r="E22" s="130">
        <f>C22/Base_Capacity</f>
        <v>8.8290559175999999</v>
      </c>
      <c r="F22" s="11"/>
      <c r="G22" s="11"/>
      <c r="H22" s="11"/>
      <c r="I22" s="162"/>
      <c r="S22" s="137" t="s">
        <v>607</v>
      </c>
      <c r="T22" s="138" t="e">
        <f>'WE Economics'!D39</f>
        <v>#VALUE!</v>
      </c>
      <c r="V22" s="154" t="s">
        <v>660</v>
      </c>
      <c r="W22" s="155">
        <v>0</v>
      </c>
    </row>
    <row r="23" spans="1:31">
      <c r="A23" s="160"/>
      <c r="B23" s="131" t="s">
        <v>608</v>
      </c>
      <c r="C23" s="130">
        <f>'SMR Economics'!I13/1000</f>
        <v>684355.64644439996</v>
      </c>
      <c r="D23" s="171"/>
      <c r="E23" s="130">
        <f>C23/Base_Capacity</f>
        <v>18.749469765599997</v>
      </c>
      <c r="F23" s="11"/>
      <c r="G23" s="11"/>
      <c r="H23" s="11"/>
      <c r="I23" s="162"/>
      <c r="S23" s="137" t="s">
        <v>609</v>
      </c>
      <c r="T23" s="138">
        <f>'H2-Ammonia'!C38</f>
        <v>30.615387626733852</v>
      </c>
      <c r="V23" s="154" t="s">
        <v>772</v>
      </c>
      <c r="W23" s="155">
        <v>2000</v>
      </c>
    </row>
    <row r="24" spans="1:31">
      <c r="A24" s="160"/>
      <c r="B24" s="11" t="s">
        <v>389</v>
      </c>
      <c r="C24" s="130">
        <f>'SMR Economics'!I11/1000</f>
        <v>1004915.5772759999</v>
      </c>
      <c r="D24" s="172"/>
      <c r="E24" s="130">
        <f>C24/Base_Capacity</f>
        <v>27.531933623999997</v>
      </c>
      <c r="F24" s="11"/>
      <c r="G24" s="11"/>
      <c r="H24" s="11"/>
      <c r="I24" s="162"/>
      <c r="S24" s="137" t="s">
        <v>610</v>
      </c>
      <c r="T24" s="138">
        <f>'H2-MeOH'!C37</f>
        <v>27.3924718328206</v>
      </c>
      <c r="Y24" s="94" t="s">
        <v>687</v>
      </c>
      <c r="Z24" s="94" t="s">
        <v>688</v>
      </c>
    </row>
    <row r="25" spans="1:31" ht="28.8">
      <c r="A25" s="173"/>
      <c r="B25" s="133"/>
      <c r="C25" s="133"/>
      <c r="D25" s="133"/>
      <c r="E25" s="133"/>
      <c r="F25" s="133"/>
      <c r="G25" s="133"/>
      <c r="H25" s="133"/>
      <c r="I25" s="174"/>
      <c r="S25" s="137" t="s">
        <v>611</v>
      </c>
      <c r="T25" s="138">
        <f>'WE Economics'!D37</f>
        <v>138.05833530870362</v>
      </c>
      <c r="Y25" s="95" t="s">
        <v>650</v>
      </c>
      <c r="Z25" s="95" t="s">
        <v>0</v>
      </c>
    </row>
    <row r="26" spans="1:31" ht="28.8">
      <c r="A26" s="159" t="s">
        <v>562</v>
      </c>
      <c r="B26" s="126" t="s">
        <v>602</v>
      </c>
      <c r="C26" s="126" t="s">
        <v>603</v>
      </c>
      <c r="D26" s="126" t="s">
        <v>604</v>
      </c>
      <c r="E26" s="126" t="s">
        <v>605</v>
      </c>
      <c r="F26" s="127" t="s">
        <v>175</v>
      </c>
      <c r="G26" s="127" t="s">
        <v>667</v>
      </c>
      <c r="H26" s="127" t="s">
        <v>683</v>
      </c>
      <c r="I26" s="168" t="s">
        <v>684</v>
      </c>
      <c r="S26" s="137" t="s">
        <v>612</v>
      </c>
      <c r="T26" s="138">
        <f>'H2-Ammonia'!C39</f>
        <v>27.033276307817726</v>
      </c>
      <c r="Y26" s="95" t="s">
        <v>651</v>
      </c>
      <c r="Z26" s="95" t="s">
        <v>562</v>
      </c>
    </row>
    <row r="27" spans="1:31" ht="28.8">
      <c r="A27" s="160"/>
      <c r="B27" s="11" t="s">
        <v>368</v>
      </c>
      <c r="C27" s="130">
        <f>'BM-H2 Economics'!H14/1000</f>
        <v>15000</v>
      </c>
      <c r="D27" s="170"/>
      <c r="E27" s="130">
        <f>C27/Base_Capacity</f>
        <v>0.41095890410958902</v>
      </c>
      <c r="F27" s="11"/>
      <c r="G27" s="11"/>
      <c r="H27" s="11"/>
      <c r="I27" s="162"/>
      <c r="S27" s="137" t="s">
        <v>613</v>
      </c>
      <c r="T27" s="138">
        <f>'H2-MeOH'!C38</f>
        <v>25.774201992820604</v>
      </c>
      <c r="Y27" s="95" t="s">
        <v>34</v>
      </c>
      <c r="Z27" s="95" t="s">
        <v>570</v>
      </c>
    </row>
    <row r="28" spans="1:31">
      <c r="A28" s="160"/>
      <c r="B28" s="131" t="s">
        <v>608</v>
      </c>
      <c r="C28" s="130"/>
      <c r="D28" s="171"/>
      <c r="E28" s="130"/>
      <c r="F28" s="11"/>
      <c r="G28" s="11"/>
      <c r="H28" s="11"/>
      <c r="I28" s="162"/>
      <c r="S28" s="137" t="s">
        <v>614</v>
      </c>
      <c r="T28" s="138" t="e">
        <f>'SMR Economics'!C39</f>
        <v>#VALUE!</v>
      </c>
      <c r="Y28" s="95" t="s">
        <v>405</v>
      </c>
      <c r="Z28" s="95" t="s">
        <v>581</v>
      </c>
    </row>
    <row r="29" spans="1:31">
      <c r="A29" s="157"/>
      <c r="B29" s="12" t="s">
        <v>389</v>
      </c>
      <c r="C29" s="147">
        <f>'BM-H2 Economics'!H11/1000</f>
        <v>778026.68770679983</v>
      </c>
      <c r="D29" s="171"/>
      <c r="E29" s="147">
        <f>C29/Base_Capacity</f>
        <v>21.315799663199996</v>
      </c>
      <c r="F29" s="12"/>
      <c r="G29" s="12"/>
      <c r="H29" s="12"/>
      <c r="I29" s="167"/>
      <c r="S29" s="137" t="s">
        <v>615</v>
      </c>
      <c r="T29" s="138" t="e">
        <f>'BM-H2 Economics'!D40</f>
        <v>#VALUE!</v>
      </c>
      <c r="Y29" s="95" t="s">
        <v>445</v>
      </c>
      <c r="Z29" s="95" t="s">
        <v>502</v>
      </c>
    </row>
    <row r="30" spans="1:31">
      <c r="A30" s="129"/>
      <c r="B30" s="129"/>
      <c r="C30" s="129"/>
      <c r="D30" s="129"/>
      <c r="E30" s="129"/>
      <c r="F30" s="129"/>
      <c r="G30" s="129"/>
      <c r="H30" s="129"/>
      <c r="I30" s="129"/>
    </row>
    <row r="31" spans="1:31">
      <c r="A31" s="159" t="s">
        <v>570</v>
      </c>
      <c r="B31" s="126" t="s">
        <v>602</v>
      </c>
      <c r="C31" s="126" t="s">
        <v>603</v>
      </c>
      <c r="D31" s="126" t="s">
        <v>604</v>
      </c>
      <c r="E31" s="126" t="s">
        <v>605</v>
      </c>
      <c r="F31" s="127" t="s">
        <v>175</v>
      </c>
      <c r="G31" s="127" t="s">
        <v>667</v>
      </c>
      <c r="H31" s="127" t="s">
        <v>683</v>
      </c>
      <c r="I31" s="168" t="s">
        <v>684</v>
      </c>
      <c r="S31" t="s">
        <v>672</v>
      </c>
    </row>
    <row r="32" spans="1:31">
      <c r="A32" s="160"/>
      <c r="B32" s="11" t="s">
        <v>368</v>
      </c>
      <c r="C32" s="130">
        <f>'WE Economics'!D15/1000</f>
        <v>2018311.6607867409</v>
      </c>
      <c r="D32" s="170"/>
      <c r="E32" s="130">
        <f>C32/Base_Capacity</f>
        <v>55.296209884568242</v>
      </c>
      <c r="F32" s="11"/>
      <c r="G32" s="11"/>
      <c r="H32" s="11"/>
      <c r="I32" s="162"/>
      <c r="S32" t="s">
        <v>669</v>
      </c>
      <c r="Y32" s="94" t="s">
        <v>737</v>
      </c>
      <c r="Z32" s="94" t="s">
        <v>688</v>
      </c>
    </row>
    <row r="33" spans="1:26" ht="28.8">
      <c r="A33" s="160"/>
      <c r="B33" s="131" t="s">
        <v>608</v>
      </c>
      <c r="C33" s="130"/>
      <c r="D33" s="171"/>
      <c r="E33" s="130"/>
      <c r="F33" s="11"/>
      <c r="G33" s="11"/>
      <c r="H33" s="11"/>
      <c r="I33" s="162"/>
      <c r="S33" t="s">
        <v>670</v>
      </c>
      <c r="Y33" s="95" t="s">
        <v>736</v>
      </c>
      <c r="Z33" s="95" t="s">
        <v>391</v>
      </c>
    </row>
    <row r="34" spans="1:26">
      <c r="A34" s="157"/>
      <c r="B34" s="12" t="s">
        <v>389</v>
      </c>
      <c r="C34" s="147"/>
      <c r="D34" s="171"/>
      <c r="E34" s="147"/>
      <c r="F34" s="12"/>
      <c r="G34" s="12"/>
      <c r="H34" s="12"/>
      <c r="I34" s="167"/>
      <c r="S34" t="s">
        <v>673</v>
      </c>
      <c r="T34" t="s">
        <v>677</v>
      </c>
      <c r="Y34" s="95" t="s">
        <v>738</v>
      </c>
      <c r="Z34" s="95" t="s">
        <v>392</v>
      </c>
    </row>
    <row r="35" spans="1:26">
      <c r="A35" s="129"/>
      <c r="B35" s="129"/>
      <c r="C35" s="129"/>
      <c r="D35" s="129"/>
      <c r="E35" s="129"/>
      <c r="F35" s="129"/>
      <c r="G35" s="129"/>
      <c r="H35" s="129"/>
      <c r="I35" s="129"/>
      <c r="S35" t="s">
        <v>675</v>
      </c>
    </row>
    <row r="36" spans="1:26">
      <c r="A36" s="159" t="s">
        <v>581</v>
      </c>
      <c r="B36" s="126" t="s">
        <v>602</v>
      </c>
      <c r="C36" s="126" t="s">
        <v>603</v>
      </c>
      <c r="D36" s="126" t="s">
        <v>604</v>
      </c>
      <c r="E36" s="126" t="s">
        <v>605</v>
      </c>
      <c r="F36" s="127" t="s">
        <v>175</v>
      </c>
      <c r="G36" s="127" t="s">
        <v>667</v>
      </c>
      <c r="H36" s="127" t="s">
        <v>683</v>
      </c>
      <c r="I36" s="168" t="s">
        <v>684</v>
      </c>
      <c r="S36" t="s">
        <v>671</v>
      </c>
    </row>
    <row r="37" spans="1:26">
      <c r="A37" s="160"/>
      <c r="B37" s="11" t="s">
        <v>368</v>
      </c>
      <c r="C37" s="130">
        <f>'H2-Ammonia'!N9/1000</f>
        <v>59701.855315268782</v>
      </c>
      <c r="D37" s="170"/>
      <c r="E37" s="130">
        <f>C37/Base_Capacity</f>
        <v>1.6356672689114735</v>
      </c>
      <c r="F37" s="11"/>
      <c r="G37" s="11"/>
      <c r="H37" s="11"/>
      <c r="I37" s="162"/>
      <c r="S37" t="s">
        <v>674</v>
      </c>
    </row>
    <row r="38" spans="1:26">
      <c r="A38" s="160"/>
      <c r="B38" s="131" t="s">
        <v>608</v>
      </c>
      <c r="C38" s="130">
        <f>'H2-Ammonia'!M19/1000</f>
        <v>1352205.0440411926</v>
      </c>
      <c r="D38" s="171"/>
      <c r="E38" s="130">
        <f>C38/Base_Capacity</f>
        <v>37.04671353537514</v>
      </c>
      <c r="F38" s="11"/>
      <c r="G38" s="11"/>
      <c r="H38" s="11"/>
      <c r="I38" s="162"/>
      <c r="S38" t="s">
        <v>676</v>
      </c>
    </row>
    <row r="39" spans="1:26">
      <c r="A39" s="157"/>
      <c r="B39" s="12" t="s">
        <v>389</v>
      </c>
      <c r="C39" s="147">
        <f>'H2-Ammonia'!M18/1000</f>
        <v>1038533.8271954393</v>
      </c>
      <c r="D39" s="171"/>
      <c r="E39" s="147">
        <f>C39/Base_Capacity</f>
        <v>28.452981566998336</v>
      </c>
      <c r="F39" s="12"/>
      <c r="G39" s="12"/>
      <c r="H39" s="12"/>
      <c r="I39" s="167"/>
      <c r="S39" t="s">
        <v>678</v>
      </c>
    </row>
    <row r="40" spans="1:26">
      <c r="A40" s="129"/>
      <c r="B40" s="129"/>
      <c r="C40" s="129"/>
      <c r="D40" s="129"/>
      <c r="E40" s="129"/>
      <c r="F40" s="129"/>
      <c r="G40" s="129"/>
      <c r="H40" s="129"/>
      <c r="I40" s="129"/>
      <c r="S40" t="s">
        <v>679</v>
      </c>
    </row>
    <row r="41" spans="1:26">
      <c r="A41" s="159" t="s">
        <v>502</v>
      </c>
      <c r="B41" s="126" t="s">
        <v>602</v>
      </c>
      <c r="C41" s="126" t="s">
        <v>603</v>
      </c>
      <c r="D41" s="126" t="s">
        <v>604</v>
      </c>
      <c r="E41" s="126" t="s">
        <v>605</v>
      </c>
      <c r="F41" s="127" t="s">
        <v>175</v>
      </c>
      <c r="G41" s="127" t="s">
        <v>667</v>
      </c>
      <c r="H41" s="127" t="s">
        <v>683</v>
      </c>
      <c r="I41" s="168" t="s">
        <v>684</v>
      </c>
    </row>
    <row r="42" spans="1:26">
      <c r="A42" s="160"/>
      <c r="B42" s="11" t="s">
        <v>368</v>
      </c>
      <c r="C42" s="11">
        <f>'H2-MeOH'!D3*8.76</f>
        <v>24519.239999999998</v>
      </c>
      <c r="D42" s="170"/>
      <c r="E42" s="130">
        <f>C42/Base_Capacity</f>
        <v>0.67175999999999991</v>
      </c>
      <c r="F42" s="11"/>
      <c r="G42" s="11"/>
      <c r="H42" s="11"/>
      <c r="I42" s="162"/>
      <c r="S42" t="s">
        <v>680</v>
      </c>
    </row>
    <row r="43" spans="1:26">
      <c r="A43" s="160"/>
      <c r="B43" s="131" t="s">
        <v>608</v>
      </c>
      <c r="C43" s="11">
        <f>'H2-MeOH'!K14/1000</f>
        <v>1307553.5670868866</v>
      </c>
      <c r="D43" s="171"/>
      <c r="E43" s="130">
        <f>C43/Base_Capacity</f>
        <v>35.823385399640728</v>
      </c>
      <c r="F43" s="11"/>
      <c r="G43" s="11"/>
      <c r="H43" s="11"/>
      <c r="I43" s="162"/>
      <c r="S43" t="s">
        <v>681</v>
      </c>
    </row>
    <row r="44" spans="1:26">
      <c r="A44" s="157"/>
      <c r="B44" s="12" t="s">
        <v>389</v>
      </c>
      <c r="C44" s="169">
        <f>'H2-MeOH'!K11/1000</f>
        <v>1057925.8684610482</v>
      </c>
      <c r="D44" s="171"/>
      <c r="E44" s="147">
        <f>C44/Base_Capacity</f>
        <v>28.984270368795841</v>
      </c>
      <c r="F44" s="12"/>
      <c r="G44" s="12"/>
      <c r="H44" s="12"/>
      <c r="I44" s="167"/>
      <c r="S44" t="s">
        <v>773</v>
      </c>
    </row>
    <row r="45" spans="1:26" ht="15" thickBot="1">
      <c r="A45" s="133"/>
      <c r="B45" s="133"/>
      <c r="C45" s="133"/>
      <c r="D45" s="133"/>
      <c r="E45" s="133"/>
      <c r="F45" s="133"/>
      <c r="G45" s="133"/>
      <c r="H45" s="133"/>
      <c r="I45" s="133"/>
      <c r="S45" t="s">
        <v>682</v>
      </c>
    </row>
    <row r="46" spans="1:26">
      <c r="A46" s="317" t="s">
        <v>616</v>
      </c>
      <c r="B46" s="318"/>
      <c r="C46" s="318"/>
      <c r="D46" s="318"/>
      <c r="E46" s="318"/>
      <c r="F46" s="318"/>
      <c r="G46" s="318"/>
      <c r="H46" s="318"/>
      <c r="I46" s="319"/>
    </row>
    <row r="47" spans="1:26">
      <c r="A47" s="159" t="s">
        <v>0</v>
      </c>
      <c r="B47" s="126" t="s">
        <v>617</v>
      </c>
      <c r="C47" s="126" t="s">
        <v>618</v>
      </c>
      <c r="D47" s="126" t="s">
        <v>619</v>
      </c>
      <c r="E47" s="126" t="s">
        <v>620</v>
      </c>
      <c r="F47" s="126" t="s">
        <v>621</v>
      </c>
      <c r="G47" s="126" t="s">
        <v>622</v>
      </c>
      <c r="H47" s="126" t="s">
        <v>623</v>
      </c>
      <c r="I47" s="165" t="s">
        <v>624</v>
      </c>
    </row>
    <row r="48" spans="1:26">
      <c r="A48" s="157"/>
      <c r="B48" s="147">
        <f>T13</f>
        <v>90.419237794986358</v>
      </c>
      <c r="C48" s="147">
        <f>T5</f>
        <v>36500</v>
      </c>
      <c r="D48" s="147">
        <f>SMR_Base_OPEX_CG</f>
        <v>66.190672341416075</v>
      </c>
      <c r="E48" s="175">
        <f>D48/C48</f>
        <v>1.8134430778470158E-3</v>
      </c>
      <c r="F48" s="147">
        <f>B48/Plant_life</f>
        <v>4.5209618897493176</v>
      </c>
      <c r="G48" s="147" t="e">
        <f>SMR_Base_OPEX_RG</f>
        <v>#VALUE!</v>
      </c>
      <c r="H48" s="175" t="e">
        <f>G48/Base_Capacity</f>
        <v>#VALUE!</v>
      </c>
      <c r="I48" s="176">
        <f>Storage_costs_placeholder</f>
        <v>1.9999999999999998E-4</v>
      </c>
    </row>
    <row r="49" spans="1:9">
      <c r="A49" s="133"/>
      <c r="B49" s="133"/>
      <c r="C49" s="133"/>
      <c r="D49" s="133"/>
      <c r="E49" s="133"/>
      <c r="F49" s="133"/>
      <c r="G49" s="133"/>
      <c r="H49" s="133"/>
      <c r="I49" s="133"/>
    </row>
    <row r="50" spans="1:9">
      <c r="A50" s="156" t="s">
        <v>562</v>
      </c>
      <c r="B50" s="125" t="s">
        <v>617</v>
      </c>
      <c r="C50" s="125" t="s">
        <v>618</v>
      </c>
      <c r="D50" s="125" t="s">
        <v>619</v>
      </c>
      <c r="E50" s="125" t="s">
        <v>620</v>
      </c>
      <c r="F50" s="125" t="s">
        <v>621</v>
      </c>
      <c r="G50" s="126" t="s">
        <v>622</v>
      </c>
      <c r="H50" s="126" t="s">
        <v>623</v>
      </c>
      <c r="I50" s="165" t="s">
        <v>624</v>
      </c>
    </row>
    <row r="51" spans="1:9">
      <c r="A51" s="177"/>
      <c r="B51" s="147">
        <f>BMG_Base_CAPEX</f>
        <v>106.86303085944216</v>
      </c>
      <c r="C51" s="147">
        <f>Base_Capacity</f>
        <v>36500</v>
      </c>
      <c r="D51" s="147">
        <f>BMG_Base_OPEX_CG</f>
        <v>18.50083460165493</v>
      </c>
      <c r="E51" s="147">
        <f>D51/C51</f>
        <v>5.0687218086725835E-4</v>
      </c>
      <c r="F51" s="147">
        <f>B51/Plant_life</f>
        <v>5.3431515429721079</v>
      </c>
      <c r="G51" s="147" t="e">
        <f>BMG_Base_OPEX_RG</f>
        <v>#VALUE!</v>
      </c>
      <c r="H51" s="178" t="e">
        <f>G51/Base_Capacity</f>
        <v>#VALUE!</v>
      </c>
      <c r="I51" s="176">
        <f>SMREcon[STORAGE COST MM $/ MT H2]</f>
        <v>1.9999999999999998E-4</v>
      </c>
    </row>
    <row r="52" spans="1:9">
      <c r="A52" s="133"/>
      <c r="B52" s="133"/>
      <c r="C52" s="133"/>
      <c r="D52" s="133"/>
      <c r="E52" s="133"/>
      <c r="F52" s="133"/>
      <c r="G52" s="133"/>
      <c r="H52" s="133"/>
      <c r="I52" s="133"/>
    </row>
    <row r="53" spans="1:9">
      <c r="A53" s="156" t="s">
        <v>570</v>
      </c>
      <c r="B53" s="125" t="s">
        <v>617</v>
      </c>
      <c r="C53" s="125" t="s">
        <v>618</v>
      </c>
      <c r="D53" s="125" t="s">
        <v>625</v>
      </c>
      <c r="E53" s="125" t="s">
        <v>620</v>
      </c>
      <c r="F53" s="125" t="s">
        <v>622</v>
      </c>
      <c r="G53" s="125" t="s">
        <v>623</v>
      </c>
      <c r="H53" s="125" t="s">
        <v>621</v>
      </c>
      <c r="I53" s="165" t="s">
        <v>624</v>
      </c>
    </row>
    <row r="54" spans="1:9">
      <c r="A54" s="157"/>
      <c r="B54" s="147">
        <f>WE_Base_CAPEX</f>
        <v>394.48581372549017</v>
      </c>
      <c r="C54" s="147">
        <f>Base_Capacity</f>
        <v>36500</v>
      </c>
      <c r="D54" s="147">
        <f>WE_Base_OPEX_CG</f>
        <v>138.05833530870362</v>
      </c>
      <c r="E54" s="175">
        <f>D54/Base_Capacity</f>
        <v>3.7824201454439346E-3</v>
      </c>
      <c r="F54" s="147" t="e">
        <f>WE_Base_OPEX_RG</f>
        <v>#VALUE!</v>
      </c>
      <c r="G54" s="175" t="e">
        <f>F54/Base_Capacity</f>
        <v>#VALUE!</v>
      </c>
      <c r="H54" s="147">
        <f>'WE Economics'!C21</f>
        <v>56.355116246498596</v>
      </c>
      <c r="I54" s="176">
        <f>BMGEcon[STORAGE COST MM $/ MT H2]</f>
        <v>1.9999999999999998E-4</v>
      </c>
    </row>
    <row r="55" spans="1:9">
      <c r="A55" s="133"/>
      <c r="B55" s="133"/>
      <c r="C55" s="133"/>
      <c r="D55" s="133"/>
      <c r="E55" s="133"/>
      <c r="F55" s="133"/>
      <c r="G55" s="133"/>
      <c r="H55" s="133"/>
      <c r="I55" s="133"/>
    </row>
    <row r="56" spans="1:9">
      <c r="A56" s="156" t="s">
        <v>581</v>
      </c>
      <c r="B56" s="125" t="s">
        <v>617</v>
      </c>
      <c r="C56" s="125" t="s">
        <v>626</v>
      </c>
      <c r="D56" s="125" t="s">
        <v>619</v>
      </c>
      <c r="E56" s="125" t="s">
        <v>620</v>
      </c>
      <c r="F56" s="125" t="s">
        <v>622</v>
      </c>
      <c r="G56" s="125" t="s">
        <v>623</v>
      </c>
      <c r="H56" s="125" t="s">
        <v>621</v>
      </c>
      <c r="I56" s="165" t="s">
        <v>624</v>
      </c>
    </row>
    <row r="57" spans="1:9">
      <c r="A57" s="157"/>
      <c r="B57" s="12">
        <f>HB_Base_CAPEX</f>
        <v>140.81521623144815</v>
      </c>
      <c r="C57" s="12">
        <f>NH3_Base_Capacity</f>
        <v>204765.82339157941</v>
      </c>
      <c r="D57" s="147">
        <f>HB_Base_OPEX_CG</f>
        <v>30.615387626733852</v>
      </c>
      <c r="E57" s="178">
        <f>D57/Base_Capacity</f>
        <v>8.3877774319818775E-4</v>
      </c>
      <c r="F57" s="147">
        <f>HB_Base_OPEX_RG</f>
        <v>27.033276307817726</v>
      </c>
      <c r="G57" s="178">
        <f>F57/Base_Capacity</f>
        <v>7.4063770706349937E-4</v>
      </c>
      <c r="H57" s="12">
        <f>B57/Plant_life</f>
        <v>7.0407608115724072</v>
      </c>
      <c r="I57" s="167"/>
    </row>
    <row r="58" spans="1:9">
      <c r="A58" s="133"/>
      <c r="B58" s="133"/>
      <c r="C58" s="133"/>
      <c r="D58" s="133"/>
      <c r="E58" s="133"/>
      <c r="F58" s="133"/>
      <c r="G58" s="133"/>
      <c r="H58" s="133"/>
      <c r="I58" s="133"/>
    </row>
    <row r="59" spans="1:9">
      <c r="A59" s="156" t="s">
        <v>502</v>
      </c>
      <c r="B59" s="125" t="s">
        <v>617</v>
      </c>
      <c r="C59" s="125" t="s">
        <v>627</v>
      </c>
      <c r="D59" s="125" t="s">
        <v>619</v>
      </c>
      <c r="E59" s="125" t="s">
        <v>620</v>
      </c>
      <c r="F59" s="125" t="s">
        <v>622</v>
      </c>
      <c r="G59" s="125" t="s">
        <v>744</v>
      </c>
      <c r="H59" s="125" t="s">
        <v>621</v>
      </c>
      <c r="I59" s="165" t="s">
        <v>624</v>
      </c>
    </row>
    <row r="60" spans="1:9">
      <c r="A60" s="157"/>
      <c r="B60" s="147">
        <f>MeOH_Base_CAPEX</f>
        <v>300.63885914818667</v>
      </c>
      <c r="C60" s="147">
        <f>MeOH_Base_Capacity</f>
        <v>207436.79999999999</v>
      </c>
      <c r="D60" s="147">
        <f>MeOH_Base_OPEX_CG</f>
        <v>27.3924718328206</v>
      </c>
      <c r="E60" s="178">
        <f>D60/Base_Capacity</f>
        <v>7.5047868035124936E-4</v>
      </c>
      <c r="F60" s="147">
        <f>MeOH_Base_OPEX_RG</f>
        <v>25.774201992820604</v>
      </c>
      <c r="G60" s="178">
        <f>F60/Base_Capacity</f>
        <v>7.0614252035124938E-4</v>
      </c>
      <c r="H60" s="147">
        <f>B60/Plant_life</f>
        <v>15.031942957409333</v>
      </c>
      <c r="I60" s="180"/>
    </row>
    <row r="61" spans="1:9" ht="15" thickBot="1">
      <c r="A61" s="134"/>
      <c r="B61" s="134"/>
      <c r="C61" s="134"/>
      <c r="D61" s="134"/>
      <c r="E61" s="134"/>
      <c r="F61" s="134"/>
      <c r="G61" s="134"/>
      <c r="H61" s="134"/>
      <c r="I61" s="134"/>
    </row>
    <row r="62" spans="1:9">
      <c r="A62" s="317" t="s">
        <v>628</v>
      </c>
      <c r="B62" s="318"/>
      <c r="C62" s="318"/>
      <c r="D62" s="318"/>
      <c r="E62" s="318"/>
      <c r="F62" s="318"/>
      <c r="G62" s="318"/>
      <c r="H62" s="318"/>
      <c r="I62" s="319"/>
    </row>
    <row r="63" spans="1:9">
      <c r="A63" s="159" t="s">
        <v>0</v>
      </c>
      <c r="B63" s="150" t="s">
        <v>175</v>
      </c>
      <c r="C63" s="150" t="s">
        <v>667</v>
      </c>
      <c r="D63" s="150" t="s">
        <v>683</v>
      </c>
      <c r="E63" s="150" t="s">
        <v>629</v>
      </c>
      <c r="F63" s="150" t="s">
        <v>630</v>
      </c>
      <c r="G63" s="150" t="s">
        <v>631</v>
      </c>
      <c r="H63" s="150" t="s">
        <v>684</v>
      </c>
      <c r="I63" s="181" t="s">
        <v>685</v>
      </c>
    </row>
    <row r="64" spans="1:9">
      <c r="A64" s="157"/>
      <c r="B64" s="147"/>
      <c r="C64" s="147"/>
      <c r="D64" s="147"/>
      <c r="E64" s="147">
        <f>'CO2 factors'!K30</f>
        <v>2.7807624746820259</v>
      </c>
      <c r="F64" s="147">
        <f>'CO2 factors'!K32</f>
        <v>3.3030066348221965</v>
      </c>
      <c r="G64" s="147">
        <f>E64+F64</f>
        <v>6.0837691095042228</v>
      </c>
      <c r="H64" s="147"/>
      <c r="I64" s="180"/>
    </row>
    <row r="65" spans="1:9">
      <c r="A65" s="133"/>
      <c r="B65" s="182"/>
      <c r="C65" s="182"/>
      <c r="D65" s="182"/>
      <c r="E65" s="182"/>
      <c r="F65" s="182"/>
      <c r="G65" s="182"/>
      <c r="H65" s="182"/>
      <c r="I65" s="182"/>
    </row>
    <row r="66" spans="1:9">
      <c r="A66" s="156" t="s">
        <v>562</v>
      </c>
      <c r="B66" s="150" t="s">
        <v>175</v>
      </c>
      <c r="C66" s="150" t="s">
        <v>667</v>
      </c>
      <c r="D66" s="150" t="s">
        <v>683</v>
      </c>
      <c r="E66" s="150" t="s">
        <v>629</v>
      </c>
      <c r="F66" s="150" t="s">
        <v>630</v>
      </c>
      <c r="G66" s="150" t="s">
        <v>631</v>
      </c>
      <c r="H66" s="130" t="s">
        <v>684</v>
      </c>
      <c r="I66" s="179" t="s">
        <v>685</v>
      </c>
    </row>
    <row r="67" spans="1:9">
      <c r="A67" s="157"/>
      <c r="B67" s="147"/>
      <c r="C67" s="147"/>
      <c r="D67" s="147"/>
      <c r="E67" s="147">
        <f>'CO2 factors'!K43</f>
        <v>3.8590277184014852</v>
      </c>
      <c r="F67" s="147">
        <f>Placeholder_BMG_Scope2</f>
        <v>0.15</v>
      </c>
      <c r="G67" s="147">
        <f>E67+F67</f>
        <v>4.0090277184014855</v>
      </c>
      <c r="H67" s="147"/>
      <c r="I67" s="180"/>
    </row>
    <row r="68" spans="1:9">
      <c r="A68" s="133"/>
      <c r="B68" s="182"/>
      <c r="C68" s="182"/>
      <c r="D68" s="182"/>
      <c r="E68" s="182"/>
      <c r="F68" s="182"/>
      <c r="G68" s="182"/>
      <c r="H68" s="182"/>
      <c r="I68" s="182"/>
    </row>
    <row r="69" spans="1:9">
      <c r="A69" s="156" t="s">
        <v>570</v>
      </c>
      <c r="B69" s="150" t="s">
        <v>632</v>
      </c>
      <c r="C69" s="150" t="s">
        <v>633</v>
      </c>
      <c r="D69" s="150" t="s">
        <v>634</v>
      </c>
      <c r="E69" s="151" t="s">
        <v>635</v>
      </c>
      <c r="F69" s="151" t="s">
        <v>636</v>
      </c>
      <c r="G69" s="151" t="s">
        <v>637</v>
      </c>
      <c r="H69" s="130" t="s">
        <v>175</v>
      </c>
      <c r="I69" s="179" t="s">
        <v>667</v>
      </c>
    </row>
    <row r="70" spans="1:9">
      <c r="A70" s="157"/>
      <c r="B70" s="147">
        <f>'CO2 factors'!K56</f>
        <v>0</v>
      </c>
      <c r="C70" s="147">
        <f>'CO2 factors'!K61</f>
        <v>20.688322889085512</v>
      </c>
      <c r="D70" s="147">
        <f>B70+C70</f>
        <v>20.688322889085512</v>
      </c>
      <c r="E70" s="147">
        <f>0</f>
        <v>0</v>
      </c>
      <c r="F70" s="147">
        <f>'CO2 factors'!K62</f>
        <v>1.3824052471142063</v>
      </c>
      <c r="G70" s="147">
        <f>E70+F70</f>
        <v>1.3824052471142063</v>
      </c>
      <c r="H70" s="147"/>
      <c r="I70" s="180"/>
    </row>
    <row r="71" spans="1:9">
      <c r="A71" s="133"/>
      <c r="B71" s="182"/>
      <c r="C71" s="182"/>
      <c r="D71" s="182"/>
      <c r="E71" s="182"/>
      <c r="F71" s="182"/>
      <c r="G71" s="182"/>
      <c r="H71" s="182"/>
      <c r="I71" s="182"/>
    </row>
    <row r="72" spans="1:9">
      <c r="A72" s="156" t="s">
        <v>581</v>
      </c>
      <c r="B72" s="150" t="s">
        <v>632</v>
      </c>
      <c r="C72" s="150" t="s">
        <v>633</v>
      </c>
      <c r="D72" s="150" t="s">
        <v>634</v>
      </c>
      <c r="E72" s="151" t="s">
        <v>635</v>
      </c>
      <c r="F72" s="151" t="s">
        <v>636</v>
      </c>
      <c r="G72" s="151" t="s">
        <v>637</v>
      </c>
      <c r="H72" s="151" t="s">
        <v>638</v>
      </c>
      <c r="I72" s="183" t="s">
        <v>639</v>
      </c>
    </row>
    <row r="73" spans="1:9">
      <c r="A73" s="157"/>
      <c r="B73" s="147">
        <f>'CO2 factors'!K72</f>
        <v>5.1513809053977946</v>
      </c>
      <c r="C73" s="147">
        <f>'CO2 factors'!K78</f>
        <v>0.61196260410956094</v>
      </c>
      <c r="D73" s="147">
        <f>B73+C73</f>
        <v>5.7633435095073553</v>
      </c>
      <c r="E73" s="147">
        <f>'CO2 factors'!K72</f>
        <v>5.1513809053977946</v>
      </c>
      <c r="F73" s="147">
        <f>'CO2 factors'!K79</f>
        <v>4.0891681722786836E-2</v>
      </c>
      <c r="G73" s="147">
        <f>E73+F73</f>
        <v>5.1922725871205815</v>
      </c>
      <c r="H73" s="147">
        <f>'CO2 factors'!M72 +'CO2 factors'!M78</f>
        <v>1.0273298278626177</v>
      </c>
      <c r="I73" s="180">
        <f>'CO2 factors'!M72+'CO2 factors'!M79</f>
        <v>0.92553506386405482</v>
      </c>
    </row>
    <row r="74" spans="1:9">
      <c r="A74" s="133"/>
      <c r="B74" s="182"/>
      <c r="C74" s="182"/>
      <c r="D74" s="182"/>
      <c r="E74" s="182"/>
      <c r="F74" s="182"/>
      <c r="G74" s="182"/>
      <c r="H74" s="182"/>
      <c r="I74" s="182"/>
    </row>
    <row r="75" spans="1:9">
      <c r="A75" s="156" t="s">
        <v>502</v>
      </c>
      <c r="B75" s="150" t="s">
        <v>632</v>
      </c>
      <c r="C75" s="150" t="s">
        <v>633</v>
      </c>
      <c r="D75" s="150" t="s">
        <v>634</v>
      </c>
      <c r="E75" s="151" t="s">
        <v>635</v>
      </c>
      <c r="F75" s="151" t="s">
        <v>636</v>
      </c>
      <c r="G75" s="151" t="s">
        <v>637</v>
      </c>
      <c r="H75" s="151" t="s">
        <v>640</v>
      </c>
      <c r="I75" s="183" t="s">
        <v>641</v>
      </c>
    </row>
    <row r="76" spans="1:9">
      <c r="A76" s="157"/>
      <c r="B76" s="147">
        <f>'CO2 factors'!K86</f>
        <v>5.1776096211436808</v>
      </c>
      <c r="C76" s="147">
        <f>'CO2 factors'!K91</f>
        <v>0.25132984363636363</v>
      </c>
      <c r="D76" s="147">
        <f>B76+C76</f>
        <v>5.4289394647800444</v>
      </c>
      <c r="E76" s="147">
        <f>'CO2 factors'!K86</f>
        <v>5.1776096211436808</v>
      </c>
      <c r="F76" s="147">
        <f>'CO2 factors'!K92</f>
        <v>1.6794E-2</v>
      </c>
      <c r="G76" s="147">
        <f>E76+F76</f>
        <v>5.1944036211436808</v>
      </c>
      <c r="H76" s="147">
        <f>'CO2 factors'!M86+'CO2 factors'!M91</f>
        <v>0.95526102631968679</v>
      </c>
      <c r="I76" s="180">
        <f>'CO2 factors'!M86+'CO2 factors'!M92</f>
        <v>0.91399275428344606</v>
      </c>
    </row>
    <row r="77" spans="1:9">
      <c r="A77" s="11"/>
      <c r="B77" s="11"/>
      <c r="C77" s="326" t="s">
        <v>542</v>
      </c>
      <c r="D77" s="327"/>
      <c r="E77" s="327"/>
      <c r="F77" s="327"/>
      <c r="G77" s="327"/>
      <c r="H77" s="327"/>
      <c r="I77" s="328"/>
    </row>
    <row r="78" spans="1:9">
      <c r="A78" t="s">
        <v>544</v>
      </c>
      <c r="B78" t="s">
        <v>690</v>
      </c>
      <c r="C78" t="s">
        <v>488</v>
      </c>
      <c r="D78" t="s">
        <v>691</v>
      </c>
      <c r="E78" t="s">
        <v>692</v>
      </c>
      <c r="F78" t="s">
        <v>175</v>
      </c>
      <c r="G78" t="s">
        <v>667</v>
      </c>
      <c r="H78" t="s">
        <v>683</v>
      </c>
      <c r="I78" s="11" t="s">
        <v>684</v>
      </c>
    </row>
    <row r="79" spans="1:9">
      <c r="A79" t="s">
        <v>0</v>
      </c>
      <c r="B79" t="s">
        <v>693</v>
      </c>
      <c r="C79" t="s">
        <v>694</v>
      </c>
      <c r="D79" s="192">
        <f>D3</f>
        <v>3.6</v>
      </c>
      <c r="E79" t="s">
        <v>553</v>
      </c>
      <c r="F79" t="b">
        <f>TRIM(CLEAN(MassBalance[[#This Row],[PROCESS]])) = 'Algorithm Inputs'!$Z$8</f>
        <v>0</v>
      </c>
      <c r="G79" t="str">
        <f>TRIM(CLEAN(MassBalance[[#This Row],[PROCESS]]))</f>
        <v>SMR</v>
      </c>
      <c r="H79" t="b">
        <f>MassBalance[[#This Row],[PROCESS]] = 'Algorithm Inputs'!$Z$2</f>
        <v>1</v>
      </c>
      <c r="I79" s="11" t="str">
        <f>CODE(MID(MassBalance[[#This Row],[PROCESS]], 1, 1)) &amp; " " &amp; CODE(MID(MassBalance[[#This Row],[PROCESS]], 2, 1))</f>
        <v>83 77</v>
      </c>
    </row>
    <row r="80" spans="1:9">
      <c r="A80" t="s">
        <v>0</v>
      </c>
      <c r="B80" t="s">
        <v>693</v>
      </c>
      <c r="C80" t="s">
        <v>555</v>
      </c>
      <c r="D80" s="192">
        <f>D4</f>
        <v>7.2</v>
      </c>
      <c r="E80" t="s">
        <v>556</v>
      </c>
      <c r="F80" t="b">
        <f>TRIM(CLEAN(MassBalance[[#This Row],[PROCESS]])) = 'Algorithm Inputs'!$Z$8</f>
        <v>0</v>
      </c>
      <c r="G80" t="str">
        <f>TRIM(CLEAN(MassBalance[[#This Row],[PROCESS]]))</f>
        <v>SMR</v>
      </c>
      <c r="H80" t="b">
        <f>MassBalance[[#This Row],[PROCESS]] = 'Algorithm Inputs'!$Z$2</f>
        <v>1</v>
      </c>
      <c r="I80" s="11" t="str">
        <f>CODE(MID(MassBalance[[#This Row],[PROCESS]], 1, 1)) &amp; " " &amp; CODE(MID(MassBalance[[#This Row],[PROCESS]], 2, 1))</f>
        <v>83 77</v>
      </c>
    </row>
    <row r="81" spans="1:9">
      <c r="A81" t="s">
        <v>562</v>
      </c>
      <c r="B81" t="s">
        <v>693</v>
      </c>
      <c r="C81" t="s">
        <v>563</v>
      </c>
      <c r="D81" s="192">
        <v>7.9999992000000004</v>
      </c>
      <c r="E81" t="s">
        <v>564</v>
      </c>
      <c r="F81" t="b">
        <f>TRIM(CLEAN(MassBalance[[#This Row],[PROCESS]])) = 'Algorithm Inputs'!$Z$8</f>
        <v>0</v>
      </c>
      <c r="G81" t="str">
        <f>TRIM(CLEAN(MassBalance[[#This Row],[PROCESS]]))</f>
        <v>BMG</v>
      </c>
      <c r="H81" t="b">
        <f>MassBalance[[#This Row],[PROCESS]] = 'Algorithm Inputs'!$Z$2</f>
        <v>0</v>
      </c>
      <c r="I81" s="11" t="str">
        <f>CODE(MID(MassBalance[[#This Row],[PROCESS]], 1, 1)) &amp; " " &amp; CODE(MID(MassBalance[[#This Row],[PROCESS]], 2, 1))</f>
        <v>66 77</v>
      </c>
    </row>
    <row r="82" spans="1:9">
      <c r="A82" t="s">
        <v>562</v>
      </c>
      <c r="B82" t="s">
        <v>693</v>
      </c>
      <c r="C82" t="s">
        <v>555</v>
      </c>
      <c r="D82" s="192">
        <v>12</v>
      </c>
      <c r="E82" t="s">
        <v>556</v>
      </c>
      <c r="F82" t="b">
        <f>TRIM(CLEAN(MassBalance[[#This Row],[PROCESS]])) = 'Algorithm Inputs'!$Z$8</f>
        <v>0</v>
      </c>
      <c r="G82" t="str">
        <f>TRIM(CLEAN(MassBalance[[#This Row],[PROCESS]]))</f>
        <v>BMG</v>
      </c>
      <c r="H82" t="b">
        <f>MassBalance[[#This Row],[PROCESS]] = 'Algorithm Inputs'!$Z$2</f>
        <v>0</v>
      </c>
      <c r="I82" s="11" t="str">
        <f>CODE(MID(MassBalance[[#This Row],[PROCESS]], 1, 1)) &amp; " " &amp; CODE(MID(MassBalance[[#This Row],[PROCESS]], 2, 1))</f>
        <v>66 77</v>
      </c>
    </row>
    <row r="83" spans="1:9">
      <c r="A83" t="s">
        <v>570</v>
      </c>
      <c r="B83" t="s">
        <v>693</v>
      </c>
      <c r="C83" t="s">
        <v>571</v>
      </c>
      <c r="D83" s="192">
        <v>12.030983999999901</v>
      </c>
      <c r="E83" t="s">
        <v>556</v>
      </c>
      <c r="F83" t="b">
        <f>TRIM(CLEAN(MassBalance[[#This Row],[PROCESS]])) = 'Algorithm Inputs'!$Z$8</f>
        <v>0</v>
      </c>
      <c r="G83" t="str">
        <f>TRIM(CLEAN(MassBalance[[#This Row],[PROCESS]]))</f>
        <v>WE</v>
      </c>
      <c r="H83" t="b">
        <f>MassBalance[[#This Row],[PROCESS]] = 'Algorithm Inputs'!$Z$2</f>
        <v>0</v>
      </c>
      <c r="I83" s="11" t="str">
        <f>CODE(MID(MassBalance[[#This Row],[PROCESS]], 1, 1)) &amp; " " &amp; CODE(MID(MassBalance[[#This Row],[PROCESS]], 2, 1))</f>
        <v>87 69</v>
      </c>
    </row>
    <row r="84" spans="1:9">
      <c r="A84" t="s">
        <v>581</v>
      </c>
      <c r="B84" t="s">
        <v>693</v>
      </c>
      <c r="C84" t="s">
        <v>582</v>
      </c>
      <c r="D84" s="192">
        <v>4.6282560000000004</v>
      </c>
      <c r="E84" t="s">
        <v>583</v>
      </c>
      <c r="F84" t="b">
        <f>TRIM(CLEAN(MassBalance[[#This Row],[PROCESS]])) = 'Algorithm Inputs'!$Z$8</f>
        <v>0</v>
      </c>
      <c r="G84" t="str">
        <f>TRIM(CLEAN(MassBalance[[#This Row],[PROCESS]]))</f>
        <v>HB</v>
      </c>
      <c r="H84" t="b">
        <f>MassBalance[[#This Row],[PROCESS]] = 'Algorithm Inputs'!$Z$2</f>
        <v>0</v>
      </c>
      <c r="I84" s="11" t="str">
        <f>CODE(MID(MassBalance[[#This Row],[PROCESS]], 1, 1)) &amp; " " &amp; CODE(MID(MassBalance[[#This Row],[PROCESS]], 2, 1))</f>
        <v>72 66</v>
      </c>
    </row>
    <row r="85" spans="1:9">
      <c r="A85" t="s">
        <v>581</v>
      </c>
      <c r="B85" t="s">
        <v>693</v>
      </c>
      <c r="C85" t="s">
        <v>554</v>
      </c>
      <c r="D85" s="192">
        <v>1</v>
      </c>
      <c r="F85" t="b">
        <f>TRIM(CLEAN(MassBalance[[#This Row],[PROCESS]])) = 'Algorithm Inputs'!$Z$8</f>
        <v>0</v>
      </c>
      <c r="G85" t="str">
        <f>TRIM(CLEAN(MassBalance[[#This Row],[PROCESS]]))</f>
        <v>HB</v>
      </c>
      <c r="H85" t="b">
        <f>MassBalance[[#This Row],[PROCESS]] = 'Algorithm Inputs'!$Z$2</f>
        <v>0</v>
      </c>
      <c r="I85" s="11" t="str">
        <f>CODE(MID(MassBalance[[#This Row],[PROCESS]], 1, 1)) &amp; " " &amp; CODE(MID(MassBalance[[#This Row],[PROCESS]], 2, 1))</f>
        <v>72 66</v>
      </c>
    </row>
    <row r="86" spans="1:9">
      <c r="A86" t="s">
        <v>502</v>
      </c>
      <c r="B86" t="s">
        <v>693</v>
      </c>
      <c r="C86" t="s">
        <v>592</v>
      </c>
      <c r="D86" s="192">
        <f>D16</f>
        <v>12.284000000000001</v>
      </c>
      <c r="E86" t="s">
        <v>700</v>
      </c>
      <c r="F86" t="b">
        <f>TRIM(CLEAN(MassBalance[[#This Row],[PROCESS]])) = 'Algorithm Inputs'!$Z$8</f>
        <v>0</v>
      </c>
      <c r="G86" t="str">
        <f>TRIM(CLEAN(MassBalance[[#This Row],[PROCESS]]))</f>
        <v>MeOH</v>
      </c>
      <c r="H86" t="b">
        <f>MassBalance[[#This Row],[PROCESS]] = 'Algorithm Inputs'!$Z$2</f>
        <v>0</v>
      </c>
      <c r="I86" s="11" t="str">
        <f>CODE(MID(MassBalance[[#This Row],[PROCESS]], 1, 1)) &amp; " " &amp; CODE(MID(MassBalance[[#This Row],[PROCESS]], 2, 1))</f>
        <v>77 101</v>
      </c>
    </row>
    <row r="87" spans="1:9">
      <c r="A87" t="s">
        <v>0</v>
      </c>
      <c r="B87" t="s">
        <v>402</v>
      </c>
      <c r="C87" t="s">
        <v>557</v>
      </c>
      <c r="D87" s="192">
        <f>H4</f>
        <v>5.7199199999999992</v>
      </c>
      <c r="E87" t="s">
        <v>558</v>
      </c>
      <c r="F87" t="b">
        <f>TRIM(CLEAN(MassBalance[[#This Row],[PROCESS]])) = 'Algorithm Inputs'!$Z$8</f>
        <v>0</v>
      </c>
      <c r="G87" t="str">
        <f>TRIM(CLEAN(MassBalance[[#This Row],[PROCESS]]))</f>
        <v>SMR</v>
      </c>
      <c r="H87" t="b">
        <f>MassBalance[[#This Row],[PROCESS]] = 'Algorithm Inputs'!$Z$2</f>
        <v>1</v>
      </c>
      <c r="I87" s="11" t="str">
        <f>CODE(MID(MassBalance[[#This Row],[PROCESS]], 1, 1)) &amp; " " &amp; CODE(MID(MassBalance[[#This Row],[PROCESS]], 2, 1))</f>
        <v>83 77</v>
      </c>
    </row>
    <row r="88" spans="1:9">
      <c r="A88" t="s">
        <v>562</v>
      </c>
      <c r="B88" t="s">
        <v>402</v>
      </c>
      <c r="C88" t="s">
        <v>554</v>
      </c>
      <c r="D88" s="192">
        <v>1</v>
      </c>
      <c r="F88" t="b">
        <f>TRIM(CLEAN(MassBalance[[#This Row],[PROCESS]])) = 'Algorithm Inputs'!$Z$8</f>
        <v>0</v>
      </c>
      <c r="G88" t="str">
        <f>TRIM(CLEAN(MassBalance[[#This Row],[PROCESS]]))</f>
        <v>BMG</v>
      </c>
      <c r="H88" t="b">
        <f>MassBalance[[#This Row],[PROCESS]] = 'Algorithm Inputs'!$Z$2</f>
        <v>0</v>
      </c>
      <c r="I88" s="11" t="str">
        <f>CODE(MID(MassBalance[[#This Row],[PROCESS]], 1, 1)) &amp; " " &amp; CODE(MID(MassBalance[[#This Row],[PROCESS]], 2, 1))</f>
        <v>66 77</v>
      </c>
    </row>
    <row r="89" spans="1:9">
      <c r="A89" t="s">
        <v>562</v>
      </c>
      <c r="B89" t="s">
        <v>402</v>
      </c>
      <c r="C89" t="s">
        <v>567</v>
      </c>
      <c r="D89" s="192">
        <f>D16</f>
        <v>12.284000000000001</v>
      </c>
      <c r="E89" t="s">
        <v>568</v>
      </c>
      <c r="F89" t="b">
        <f>TRIM(CLEAN(MassBalance[[#This Row],[PROCESS]])) = 'Algorithm Inputs'!$Z$8</f>
        <v>0</v>
      </c>
      <c r="G89" t="str">
        <f>TRIM(CLEAN(MassBalance[[#This Row],[PROCESS]]))</f>
        <v>BMG</v>
      </c>
      <c r="H89" t="b">
        <f>MassBalance[[#This Row],[PROCESS]] = 'Algorithm Inputs'!$Z$2</f>
        <v>0</v>
      </c>
      <c r="I89" s="11" t="str">
        <f>CODE(MID(MassBalance[[#This Row],[PROCESS]], 1, 1)) &amp; " " &amp; CODE(MID(MassBalance[[#This Row],[PROCESS]], 2, 1))</f>
        <v>66 77</v>
      </c>
    </row>
    <row r="90" spans="1:9">
      <c r="A90" t="s">
        <v>570</v>
      </c>
      <c r="B90" t="s">
        <v>402</v>
      </c>
      <c r="C90" t="s">
        <v>554</v>
      </c>
      <c r="D90" s="192">
        <v>1</v>
      </c>
      <c r="F90" t="b">
        <f>TRIM(CLEAN(MassBalance[[#This Row],[PROCESS]])) = 'Algorithm Inputs'!$Z$8</f>
        <v>0</v>
      </c>
      <c r="G90" t="str">
        <f>TRIM(CLEAN(MassBalance[[#This Row],[PROCESS]]))</f>
        <v>WE</v>
      </c>
      <c r="H90" t="b">
        <f>MassBalance[[#This Row],[PROCESS]] = 'Algorithm Inputs'!$Z$2</f>
        <v>0</v>
      </c>
      <c r="I90" s="11" t="str">
        <f>CODE(MID(MassBalance[[#This Row],[PROCESS]], 1, 1)) &amp; " " &amp; CODE(MID(MassBalance[[#This Row],[PROCESS]], 2, 1))</f>
        <v>87 69</v>
      </c>
    </row>
    <row r="91" spans="1:9">
      <c r="A91" t="s">
        <v>570</v>
      </c>
      <c r="B91" t="s">
        <v>402</v>
      </c>
      <c r="C91" t="s">
        <v>572</v>
      </c>
      <c r="D91" s="192">
        <v>7.95319893484736</v>
      </c>
      <c r="E91" t="s">
        <v>573</v>
      </c>
      <c r="F91" t="b">
        <f>TRIM(CLEAN(MassBalance[[#This Row],[PROCESS]])) = 'Algorithm Inputs'!$Z$8</f>
        <v>0</v>
      </c>
      <c r="G91" t="str">
        <f>TRIM(CLEAN(MassBalance[[#This Row],[PROCESS]]))</f>
        <v>WE</v>
      </c>
      <c r="H91" t="b">
        <f>MassBalance[[#This Row],[PROCESS]] = 'Algorithm Inputs'!$Z$2</f>
        <v>0</v>
      </c>
      <c r="I91" s="11" t="str">
        <f>CODE(MID(MassBalance[[#This Row],[PROCESS]], 1, 1)) &amp; " " &amp; CODE(MID(MassBalance[[#This Row],[PROCESS]], 2, 1))</f>
        <v>87 69</v>
      </c>
    </row>
    <row r="92" spans="1:9">
      <c r="A92" t="s">
        <v>581</v>
      </c>
      <c r="B92" t="s">
        <v>402</v>
      </c>
      <c r="C92" t="s">
        <v>584</v>
      </c>
      <c r="D92" s="192">
        <v>5.6100225586733998</v>
      </c>
      <c r="E92" t="s">
        <v>585</v>
      </c>
      <c r="F92" t="b">
        <f>TRIM(CLEAN(MassBalance[[#This Row],[PROCESS]])) = 'Algorithm Inputs'!$Z$8</f>
        <v>0</v>
      </c>
      <c r="G92" t="str">
        <f>TRIM(CLEAN(MassBalance[[#This Row],[PROCESS]]))</f>
        <v>HB</v>
      </c>
      <c r="H92" t="b">
        <f>MassBalance[[#This Row],[PROCESS]] = 'Algorithm Inputs'!$Z$2</f>
        <v>0</v>
      </c>
      <c r="I92" s="11" t="str">
        <f>CODE(MID(MassBalance[[#This Row],[PROCESS]], 1, 1)) &amp; " " &amp; CODE(MID(MassBalance[[#This Row],[PROCESS]], 2, 1))</f>
        <v>72 66</v>
      </c>
    </row>
    <row r="93" spans="1:9">
      <c r="A93" t="s">
        <v>502</v>
      </c>
      <c r="B93" t="s">
        <v>402</v>
      </c>
      <c r="C93" t="s">
        <v>593</v>
      </c>
      <c r="D93" s="192">
        <f>H16</f>
        <v>5.6831999999999994</v>
      </c>
      <c r="E93" t="s">
        <v>594</v>
      </c>
      <c r="F93" t="b">
        <f>TRIM(CLEAN(MassBalance[[#This Row],[PROCESS]])) = 'Algorithm Inputs'!$Z$8</f>
        <v>0</v>
      </c>
      <c r="G93" t="str">
        <f>TRIM(CLEAN(MassBalance[[#This Row],[PROCESS]]))</f>
        <v>MeOH</v>
      </c>
      <c r="H93" t="b">
        <f>MassBalance[[#This Row],[PROCESS]] = 'Algorithm Inputs'!$Z$2</f>
        <v>0</v>
      </c>
      <c r="I93" s="11" t="str">
        <f>CODE(MID(MassBalance[[#This Row],[PROCESS]], 1, 1)) &amp; " " &amp; CODE(MID(MassBalance[[#This Row],[PROCESS]], 2, 1))</f>
        <v>77 101</v>
      </c>
    </row>
    <row r="94" spans="1:9">
      <c r="A94" s="12" t="s">
        <v>0</v>
      </c>
      <c r="B94" s="12" t="s">
        <v>402</v>
      </c>
      <c r="C94" s="120" t="s">
        <v>554</v>
      </c>
      <c r="D94" s="196">
        <v>1</v>
      </c>
      <c r="E94" s="120"/>
      <c r="F94" s="127" t="b">
        <f>TRIM(CLEAN(MassBalance[[#This Row],[PROCESS]])) = 'Algorithm Inputs'!$Z$8</f>
        <v>0</v>
      </c>
      <c r="G94" s="127" t="str">
        <f>TRIM(CLEAN(MassBalance[[#This Row],[PROCESS]]))</f>
        <v>SMR</v>
      </c>
      <c r="H94" s="11" t="b">
        <f>MassBalance[[#This Row],[PROCESS]] = 'Algorithm Inputs'!$Z$2</f>
        <v>1</v>
      </c>
      <c r="I94" s="11" t="str">
        <f>CODE(MID(MassBalance[[#This Row],[PROCESS]], 1, 1)) &amp; " " &amp; CODE(MID(MassBalance[[#This Row],[PROCESS]], 2, 1))</f>
        <v>83 77</v>
      </c>
    </row>
    <row r="95" spans="1:9">
      <c r="A95" s="12" t="s">
        <v>502</v>
      </c>
      <c r="B95" s="12" t="s">
        <v>402</v>
      </c>
      <c r="C95" s="120" t="s">
        <v>554</v>
      </c>
      <c r="D95" s="196">
        <v>9.6000000000000002E-2</v>
      </c>
      <c r="E95" s="120"/>
      <c r="F95" s="120" t="b">
        <f>TRIM(CLEAN(MassBalance[[#This Row],[PROCESS]])) = 'Algorithm Inputs'!$Z$8</f>
        <v>0</v>
      </c>
      <c r="G95" s="120" t="str">
        <f>TRIM(CLEAN(MassBalance[[#This Row],[PROCESS]]))</f>
        <v>MeOH</v>
      </c>
      <c r="H95" s="12" t="b">
        <f>MassBalance[[#This Row],[PROCESS]] = 'Algorithm Inputs'!$Z$2</f>
        <v>0</v>
      </c>
      <c r="I95" s="12" t="str">
        <f>CODE(MID(MassBalance[[#This Row],[PROCESS]], 1, 1)) &amp; " " &amp; CODE(MID(MassBalance[[#This Row],[PROCESS]], 2, 1))</f>
        <v>77 101</v>
      </c>
    </row>
    <row r="96" spans="1:9">
      <c r="A96" s="12"/>
      <c r="B96" s="12"/>
      <c r="C96" s="12"/>
      <c r="D96" s="12"/>
      <c r="E96" s="12"/>
      <c r="F96" s="11"/>
      <c r="G96" s="11"/>
      <c r="H96" s="11"/>
      <c r="I96" s="11"/>
    </row>
    <row r="97" spans="1:9">
      <c r="A97" t="s">
        <v>661</v>
      </c>
      <c r="B97" t="s">
        <v>695</v>
      </c>
      <c r="C97" t="s">
        <v>696</v>
      </c>
      <c r="D97" t="s">
        <v>697</v>
      </c>
      <c r="E97" t="s">
        <v>698</v>
      </c>
      <c r="F97" s="11"/>
      <c r="G97" s="11"/>
      <c r="H97" s="11"/>
      <c r="I97" s="11"/>
    </row>
    <row r="98" spans="1:9">
      <c r="A98" t="s">
        <v>0</v>
      </c>
      <c r="B98" t="s">
        <v>195</v>
      </c>
      <c r="C98" t="s">
        <v>159</v>
      </c>
      <c r="D98" s="191">
        <v>322260.54099200002</v>
      </c>
      <c r="E98" s="192">
        <v>8.8290559999999996</v>
      </c>
      <c r="F98" s="11"/>
      <c r="G98" s="11"/>
      <c r="H98" s="11"/>
      <c r="I98" s="11"/>
    </row>
    <row r="99" spans="1:9">
      <c r="A99" t="s">
        <v>0</v>
      </c>
      <c r="B99" t="s">
        <v>333</v>
      </c>
      <c r="C99" t="s">
        <v>699</v>
      </c>
      <c r="D99" s="191">
        <v>684355.64644399995</v>
      </c>
      <c r="E99" s="192">
        <v>18.749469999999999</v>
      </c>
      <c r="F99" s="11"/>
      <c r="G99" s="11"/>
      <c r="H99" s="11"/>
      <c r="I99" s="11"/>
    </row>
    <row r="100" spans="1:9">
      <c r="A100" t="s">
        <v>0</v>
      </c>
      <c r="B100" t="s">
        <v>329</v>
      </c>
      <c r="C100" t="s">
        <v>699</v>
      </c>
      <c r="D100" s="191">
        <v>1004915.5772760001</v>
      </c>
      <c r="E100" s="192">
        <v>27.531934</v>
      </c>
      <c r="F100" s="11"/>
      <c r="G100" s="11"/>
      <c r="H100" s="11"/>
      <c r="I100" s="11"/>
    </row>
    <row r="101" spans="1:9">
      <c r="A101" t="s">
        <v>562</v>
      </c>
      <c r="B101" t="s">
        <v>195</v>
      </c>
      <c r="C101" t="s">
        <v>159</v>
      </c>
      <c r="D101" s="191">
        <v>15000</v>
      </c>
      <c r="E101" s="192">
        <v>0.41095900000000002</v>
      </c>
    </row>
    <row r="102" spans="1:9">
      <c r="A102" t="s">
        <v>562</v>
      </c>
      <c r="B102" t="s">
        <v>333</v>
      </c>
      <c r="C102" t="s">
        <v>699</v>
      </c>
      <c r="D102" s="191">
        <v>0</v>
      </c>
      <c r="E102" s="192">
        <v>0</v>
      </c>
    </row>
    <row r="103" spans="1:9">
      <c r="A103" t="s">
        <v>562</v>
      </c>
      <c r="B103" t="s">
        <v>329</v>
      </c>
      <c r="C103" t="s">
        <v>699</v>
      </c>
      <c r="D103" s="191">
        <v>778026.68770699995</v>
      </c>
      <c r="E103" s="192">
        <v>21.315799999999999</v>
      </c>
    </row>
    <row r="104" spans="1:9">
      <c r="A104" t="s">
        <v>570</v>
      </c>
      <c r="B104" t="s">
        <v>195</v>
      </c>
      <c r="C104" t="s">
        <v>159</v>
      </c>
      <c r="D104" s="191">
        <v>2018311.6607870001</v>
      </c>
      <c r="E104" s="192">
        <v>55.296210000000002</v>
      </c>
    </row>
    <row r="105" spans="1:9">
      <c r="A105" t="s">
        <v>570</v>
      </c>
      <c r="B105" t="s">
        <v>333</v>
      </c>
      <c r="C105" t="s">
        <v>699</v>
      </c>
      <c r="D105" s="191">
        <v>0</v>
      </c>
      <c r="E105" s="192">
        <v>0</v>
      </c>
    </row>
    <row r="106" spans="1:9">
      <c r="A106" t="s">
        <v>570</v>
      </c>
      <c r="B106" t="s">
        <v>329</v>
      </c>
      <c r="C106" t="s">
        <v>699</v>
      </c>
      <c r="D106" s="191">
        <v>0</v>
      </c>
      <c r="E106" s="192">
        <v>0</v>
      </c>
    </row>
    <row r="107" spans="1:9">
      <c r="A107" t="s">
        <v>581</v>
      </c>
      <c r="B107" t="s">
        <v>195</v>
      </c>
      <c r="C107" t="s">
        <v>159</v>
      </c>
      <c r="D107" s="191">
        <v>59701.855315000001</v>
      </c>
      <c r="E107" s="192">
        <v>1.635667</v>
      </c>
    </row>
    <row r="108" spans="1:9">
      <c r="A108" t="s">
        <v>581</v>
      </c>
      <c r="B108" t="s">
        <v>333</v>
      </c>
      <c r="C108" t="s">
        <v>699</v>
      </c>
      <c r="D108" s="191">
        <v>1352205.0440410001</v>
      </c>
      <c r="E108" s="192">
        <v>37.046714000000001</v>
      </c>
    </row>
    <row r="109" spans="1:9">
      <c r="A109" t="s">
        <v>581</v>
      </c>
      <c r="B109" t="s">
        <v>329</v>
      </c>
      <c r="C109" t="s">
        <v>699</v>
      </c>
      <c r="D109" s="191">
        <v>1038533.827195</v>
      </c>
      <c r="E109" s="192">
        <v>28.452981999999999</v>
      </c>
    </row>
    <row r="110" spans="1:9">
      <c r="A110" t="s">
        <v>502</v>
      </c>
      <c r="B110" t="s">
        <v>195</v>
      </c>
      <c r="C110" t="s">
        <v>159</v>
      </c>
      <c r="D110" s="191">
        <v>25386.48</v>
      </c>
      <c r="E110" s="192">
        <v>0.69552000000000003</v>
      </c>
    </row>
    <row r="111" spans="1:9">
      <c r="A111" t="s">
        <v>502</v>
      </c>
      <c r="B111" t="s">
        <v>333</v>
      </c>
      <c r="C111" t="s">
        <v>699</v>
      </c>
      <c r="D111" s="191">
        <v>857005.16330599994</v>
      </c>
      <c r="E111" s="192">
        <v>23.479593999999999</v>
      </c>
    </row>
    <row r="112" spans="1:9">
      <c r="A112" t="s">
        <v>502</v>
      </c>
      <c r="B112" t="s">
        <v>329</v>
      </c>
      <c r="C112" t="s">
        <v>699</v>
      </c>
      <c r="D112" s="191">
        <v>562335.82730200002</v>
      </c>
      <c r="E112" s="192">
        <v>15.406461</v>
      </c>
    </row>
    <row r="114" spans="1:10" ht="28.8">
      <c r="A114" s="94" t="s">
        <v>661</v>
      </c>
      <c r="B114" s="94" t="s">
        <v>402</v>
      </c>
      <c r="C114" s="94" t="s">
        <v>707</v>
      </c>
      <c r="D114" s="94" t="s">
        <v>708</v>
      </c>
      <c r="E114" s="94" t="s">
        <v>709</v>
      </c>
      <c r="F114" s="94" t="s">
        <v>745</v>
      </c>
      <c r="G114" s="94" t="s">
        <v>710</v>
      </c>
      <c r="H114" s="94" t="s">
        <v>746</v>
      </c>
      <c r="I114" s="94" t="s">
        <v>711</v>
      </c>
      <c r="J114" s="94" t="s">
        <v>823</v>
      </c>
    </row>
    <row r="115" spans="1:10">
      <c r="A115" s="184" t="s">
        <v>0</v>
      </c>
      <c r="B115" s="95" t="s">
        <v>498</v>
      </c>
      <c r="C115" s="185">
        <f>SMREcon[BASE CAPEX MM USD]</f>
        <v>90.419237794986358</v>
      </c>
      <c r="D115" s="95">
        <f>Base_Capacity</f>
        <v>36500</v>
      </c>
      <c r="E115" s="185">
        <f>C115/Plant_life</f>
        <v>4.5209618897493176</v>
      </c>
      <c r="F115" s="95">
        <f>G115/D115</f>
        <v>1.8134430778470158E-3</v>
      </c>
      <c r="G115" s="185">
        <f>SMREcon[BASE OPEX CG MM USD]</f>
        <v>66.190672341416075</v>
      </c>
      <c r="H115" s="95" t="e">
        <f>I115/D115</f>
        <v>#VALUE!</v>
      </c>
      <c r="I115" s="185" t="e">
        <f>SMREcon[BASE OPEX RG MM USD]</f>
        <v>#VALUE!</v>
      </c>
      <c r="J115" s="95">
        <f>Storage_costs_placeholder</f>
        <v>1.9999999999999998E-4</v>
      </c>
    </row>
    <row r="116" spans="1:10">
      <c r="A116" s="184" t="s">
        <v>562</v>
      </c>
      <c r="B116" s="95" t="s">
        <v>498</v>
      </c>
      <c r="C116" s="185">
        <f>BMGEcon[BASE CAPEX MM USD]</f>
        <v>106.86303085944216</v>
      </c>
      <c r="D116" s="95">
        <f>Base_Capacity</f>
        <v>36500</v>
      </c>
      <c r="E116" s="185">
        <f>C116/Plant_life</f>
        <v>5.3431515429721079</v>
      </c>
      <c r="F116" s="95">
        <f>G116/D116</f>
        <v>5.0687218086725835E-4</v>
      </c>
      <c r="G116" s="185">
        <f>BMGEcon[BASE OPEX CG MM USD]</f>
        <v>18.50083460165493</v>
      </c>
      <c r="H116" s="95" t="e">
        <f t="shared" ref="H116:H117" si="1">I116/D116</f>
        <v>#VALUE!</v>
      </c>
      <c r="I116" s="185" t="e">
        <f>BMGEcon[BASE OPEX RG MM USD]</f>
        <v>#VALUE!</v>
      </c>
      <c r="J116" s="95">
        <f>Storage_costs_placeholder</f>
        <v>1.9999999999999998E-4</v>
      </c>
    </row>
    <row r="117" spans="1:10">
      <c r="A117" s="184" t="s">
        <v>570</v>
      </c>
      <c r="B117" s="95" t="s">
        <v>498</v>
      </c>
      <c r="C117" s="185">
        <f>WEEcon[BASE CAPEX MM USD]</f>
        <v>394.48581372549017</v>
      </c>
      <c r="D117" s="95">
        <f>Base_Capacity</f>
        <v>36500</v>
      </c>
      <c r="E117" s="185">
        <v>57.57</v>
      </c>
      <c r="F117" s="95">
        <f>G117/D117</f>
        <v>3.7824201454439346E-3</v>
      </c>
      <c r="G117" s="185">
        <f>WEEcon[[BASE OPEX CG MM USD ]]</f>
        <v>138.05833530870362</v>
      </c>
      <c r="H117" s="95" t="e">
        <f t="shared" si="1"/>
        <v>#VALUE!</v>
      </c>
      <c r="I117" s="185" t="e">
        <f>WEEcon[BASE OPEX RG MM USD]</f>
        <v>#VALUE!</v>
      </c>
      <c r="J117" s="95">
        <f>Storage_costs_placeholder</f>
        <v>1.9999999999999998E-4</v>
      </c>
    </row>
    <row r="118" spans="1:10">
      <c r="A118" s="184" t="s">
        <v>581</v>
      </c>
      <c r="B118" s="95" t="s">
        <v>712</v>
      </c>
      <c r="C118" s="185">
        <f>HBEcon[BASE CAPEX MM USD]</f>
        <v>140.81521623144815</v>
      </c>
      <c r="D118" s="195">
        <v>204765.82</v>
      </c>
      <c r="E118" s="185">
        <f>C118/Plant_life</f>
        <v>7.0407608115724072</v>
      </c>
      <c r="F118" s="186">
        <f>HBEcon[OPEX CG MM $/MT H2]</f>
        <v>8.3877774319818775E-4</v>
      </c>
      <c r="G118" s="185">
        <f>HBEcon[BASE OPEX CG MM USD]</f>
        <v>30.615387626733852</v>
      </c>
      <c r="H118" s="186">
        <f>HBEcon[OPEX RG MM $/MT H2]</f>
        <v>7.4063770706349937E-4</v>
      </c>
      <c r="I118" s="185">
        <f>HBEcon[BASE OPEX RG MM USD]</f>
        <v>27.033276307817726</v>
      </c>
      <c r="J118" s="95">
        <f>120*10^-6</f>
        <v>1.1999999999999999E-4</v>
      </c>
    </row>
    <row r="119" spans="1:10">
      <c r="A119" s="184" t="s">
        <v>502</v>
      </c>
      <c r="B119" s="95" t="s">
        <v>502</v>
      </c>
      <c r="C119" s="185">
        <f>MeOHEcon[BASE CAPEX MM USD]</f>
        <v>300.63885914818667</v>
      </c>
      <c r="D119" s="95">
        <v>146292</v>
      </c>
      <c r="E119" s="185">
        <f>C119/Plant_life</f>
        <v>15.031942957409333</v>
      </c>
      <c r="F119" s="186">
        <f>MeOHEcon[OPEX CG MM $/MT H2]</f>
        <v>7.5047868035124936E-4</v>
      </c>
      <c r="G119" s="185">
        <f>MeOHEcon[BASE OPEX CG MM USD]</f>
        <v>27.3924718328206</v>
      </c>
      <c r="H119" s="186">
        <f>MeOHEcon[OPEX RG MM $/ MT H2]</f>
        <v>7.0614252035124938E-4</v>
      </c>
      <c r="I119" s="185">
        <f>MeOHEcon[BASE OPEX RG MM USD]</f>
        <v>25.774201992820604</v>
      </c>
      <c r="J119" s="95">
        <f>25*10^-6</f>
        <v>2.4999999999999998E-5</v>
      </c>
    </row>
    <row r="122" spans="1:10">
      <c r="A122" s="94" t="s">
        <v>661</v>
      </c>
      <c r="B122" s="94" t="s">
        <v>402</v>
      </c>
      <c r="C122" s="94" t="s">
        <v>822</v>
      </c>
      <c r="D122" s="94" t="s">
        <v>734</v>
      </c>
      <c r="E122" s="94" t="s">
        <v>735</v>
      </c>
      <c r="F122" s="94" t="s">
        <v>821</v>
      </c>
    </row>
    <row r="123" spans="1:10">
      <c r="A123" s="95" t="s">
        <v>0</v>
      </c>
      <c r="B123" s="95" t="s">
        <v>498</v>
      </c>
      <c r="C123" s="95" t="s">
        <v>391</v>
      </c>
      <c r="D123" s="194">
        <f>'CO2 factors'!K28</f>
        <v>6.951906186705064</v>
      </c>
      <c r="E123" s="194">
        <v>3.32</v>
      </c>
      <c r="F123" s="194">
        <f>SUM(D123+E123)</f>
        <v>10.271906186705063</v>
      </c>
    </row>
    <row r="124" spans="1:10">
      <c r="A124" s="95" t="s">
        <v>0</v>
      </c>
      <c r="B124" s="95" t="s">
        <v>498</v>
      </c>
      <c r="C124" s="95" t="s">
        <v>392</v>
      </c>
      <c r="D124" s="194">
        <f>D123</f>
        <v>6.951906186705064</v>
      </c>
      <c r="E124" s="194">
        <f>'CO2 factors'!K33</f>
        <v>0.22070874124070078</v>
      </c>
      <c r="F124" s="194">
        <f t="shared" ref="F124:F132" si="2">SUM(D124+E124)</f>
        <v>7.1726149279457649</v>
      </c>
    </row>
    <row r="125" spans="1:10">
      <c r="A125" s="95" t="s">
        <v>562</v>
      </c>
      <c r="B125" s="95" t="s">
        <v>498</v>
      </c>
      <c r="C125" s="95" t="s">
        <v>391</v>
      </c>
      <c r="D125" s="194">
        <v>5.5</v>
      </c>
      <c r="E125" s="194">
        <v>0.15</v>
      </c>
      <c r="F125" s="194">
        <f t="shared" si="2"/>
        <v>5.65</v>
      </c>
    </row>
    <row r="126" spans="1:10">
      <c r="A126" s="95" t="s">
        <v>562</v>
      </c>
      <c r="B126" s="95" t="s">
        <v>498</v>
      </c>
      <c r="C126" s="95" t="s">
        <v>392</v>
      </c>
      <c r="D126" s="194">
        <v>5.5</v>
      </c>
      <c r="E126" s="194">
        <v>0.01</v>
      </c>
      <c r="F126" s="194">
        <f t="shared" si="2"/>
        <v>5.51</v>
      </c>
    </row>
    <row r="127" spans="1:10">
      <c r="A127" s="95" t="s">
        <v>570</v>
      </c>
      <c r="B127" s="95" t="s">
        <v>498</v>
      </c>
      <c r="C127" s="95" t="s">
        <v>391</v>
      </c>
      <c r="D127" s="194">
        <v>0</v>
      </c>
      <c r="E127" s="194">
        <f>WEEmissions[CG Scope 2 MT CO2/MT H2]</f>
        <v>20.688322889085512</v>
      </c>
      <c r="F127" s="194">
        <f t="shared" si="2"/>
        <v>20.688322889085512</v>
      </c>
    </row>
    <row r="128" spans="1:10">
      <c r="A128" s="95" t="s">
        <v>570</v>
      </c>
      <c r="B128" s="95" t="s">
        <v>498</v>
      </c>
      <c r="C128" s="95" t="s">
        <v>392</v>
      </c>
      <c r="D128" s="194">
        <v>0</v>
      </c>
      <c r="E128" s="194">
        <f>WEEmissions[RG Scope 2 MT CO2/MT H2]</f>
        <v>1.3824052471142063</v>
      </c>
      <c r="F128" s="194">
        <f t="shared" si="2"/>
        <v>1.3824052471142063</v>
      </c>
    </row>
    <row r="129" spans="1:6">
      <c r="A129" s="95" t="s">
        <v>581</v>
      </c>
      <c r="B129" s="95" t="s">
        <v>712</v>
      </c>
      <c r="C129" s="95" t="s">
        <v>391</v>
      </c>
      <c r="D129" s="194">
        <f>'CO2 factors'!M72</f>
        <v>0.91824602334859984</v>
      </c>
      <c r="E129" s="194">
        <f>'CO2 factors'!M78</f>
        <v>0.10908380451401795</v>
      </c>
      <c r="F129" s="194">
        <f t="shared" si="2"/>
        <v>1.0273298278626177</v>
      </c>
    </row>
    <row r="130" spans="1:6">
      <c r="A130" s="95" t="s">
        <v>581</v>
      </c>
      <c r="B130" s="95" t="s">
        <v>712</v>
      </c>
      <c r="C130" s="95" t="s">
        <v>392</v>
      </c>
      <c r="D130" s="194">
        <f>'CO2 factors'!M72</f>
        <v>0.91824602334859984</v>
      </c>
      <c r="E130" s="194">
        <f>'CO2 factors'!M79</f>
        <v>7.2890405154549713E-3</v>
      </c>
      <c r="F130" s="194">
        <f t="shared" si="2"/>
        <v>0.92553506386405482</v>
      </c>
    </row>
    <row r="131" spans="1:6">
      <c r="A131" s="95" t="s">
        <v>502</v>
      </c>
      <c r="B131" s="95" t="s">
        <v>502</v>
      </c>
      <c r="C131" s="95" t="s">
        <v>391</v>
      </c>
      <c r="D131" s="194">
        <f>'CO2 factors'!M86</f>
        <v>0.91103772894560819</v>
      </c>
      <c r="E131" s="194">
        <f>'CO2 factors'!M91</f>
        <v>4.4223297374078624E-2</v>
      </c>
      <c r="F131" s="194">
        <f t="shared" si="2"/>
        <v>0.95526102631968679</v>
      </c>
    </row>
    <row r="132" spans="1:6">
      <c r="A132" s="95" t="s">
        <v>502</v>
      </c>
      <c r="B132" s="95" t="s">
        <v>502</v>
      </c>
      <c r="C132" s="95" t="s">
        <v>392</v>
      </c>
      <c r="D132" s="194">
        <f>'CO2 factors'!M86</f>
        <v>0.91103772894560819</v>
      </c>
      <c r="E132" s="194">
        <f>'CO2 factors'!M92</f>
        <v>2.955025337837838E-3</v>
      </c>
      <c r="F132" s="194">
        <f t="shared" si="2"/>
        <v>0.91399275428344606</v>
      </c>
    </row>
  </sheetData>
  <mergeCells count="5">
    <mergeCell ref="A46:I46"/>
    <mergeCell ref="A62:I62"/>
    <mergeCell ref="A1:I1"/>
    <mergeCell ref="A20:I20"/>
    <mergeCell ref="C77:I77"/>
  </mergeCells>
  <phoneticPr fontId="49" type="noConversion"/>
  <pageMargins left="0.7" right="0.7" top="0.75" bottom="0.75" header="0.3" footer="0.3"/>
  <drawing r:id="rId1"/>
  <tableParts count="28">
    <tablePart r:id="rId2"/>
    <tablePart r:id="rId3"/>
    <tablePart r:id="rId4"/>
    <tablePart r:id="rId5"/>
    <tablePart r:id="rId6"/>
    <tablePart r:id="rId7"/>
    <tablePart r:id="rId8"/>
    <tablePart r:id="rId9"/>
    <tablePart r:id="rId10"/>
    <tablePart r:id="rId11"/>
    <tablePart r:id="rId12"/>
    <tablePart r:id="rId13"/>
    <tablePart r:id="rId14"/>
    <tablePart r:id="rId15"/>
    <tablePart r:id="rId16"/>
    <tablePart r:id="rId17"/>
    <tablePart r:id="rId18"/>
    <tablePart r:id="rId19"/>
    <tablePart r:id="rId20"/>
    <tablePart r:id="rId21"/>
    <tablePart r:id="rId22"/>
    <tablePart r:id="rId23"/>
    <tablePart r:id="rId24"/>
    <tablePart r:id="rId25"/>
    <tablePart r:id="rId26"/>
    <tablePart r:id="rId27"/>
    <tablePart r:id="rId28"/>
    <tablePart r:id="rId29"/>
  </tableParts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0F23F66-B607-4F44-9A7D-2559A3C9884F}">
  <sheetPr codeName="Sheet17"/>
  <dimension ref="A1:D25"/>
  <sheetViews>
    <sheetView workbookViewId="0">
      <selection activeCell="E11" sqref="E11"/>
    </sheetView>
  </sheetViews>
  <sheetFormatPr defaultRowHeight="14.4"/>
  <cols>
    <col min="1" max="1" width="17.5546875" bestFit="1" customWidth="1"/>
    <col min="2" max="2" width="23.6640625" customWidth="1"/>
  </cols>
  <sheetData>
    <row r="1" spans="1:4" ht="28.8">
      <c r="A1" s="94" t="s">
        <v>661</v>
      </c>
      <c r="B1" s="94" t="s">
        <v>747</v>
      </c>
      <c r="C1" s="94" t="s">
        <v>748</v>
      </c>
      <c r="D1" s="94" t="s">
        <v>692</v>
      </c>
    </row>
    <row r="2" spans="1:4" ht="28.8">
      <c r="A2" s="95" t="s">
        <v>650</v>
      </c>
      <c r="B2" s="95" t="s">
        <v>315</v>
      </c>
      <c r="C2" s="95">
        <v>3</v>
      </c>
      <c r="D2" s="95" t="s">
        <v>749</v>
      </c>
    </row>
    <row r="3" spans="1:4" ht="28.8">
      <c r="A3" s="95" t="s">
        <v>651</v>
      </c>
      <c r="B3" s="95" t="s">
        <v>563</v>
      </c>
      <c r="C3" s="95">
        <v>40</v>
      </c>
      <c r="D3" s="95" t="s">
        <v>646</v>
      </c>
    </row>
    <row r="4" spans="1:4">
      <c r="A4" s="95" t="s">
        <v>34</v>
      </c>
      <c r="B4" s="95" t="s">
        <v>500</v>
      </c>
      <c r="C4" s="95">
        <v>0</v>
      </c>
      <c r="D4" s="95" t="s">
        <v>766</v>
      </c>
    </row>
    <row r="5" spans="1:4" ht="28.8">
      <c r="A5" s="95" t="s">
        <v>651</v>
      </c>
      <c r="B5" s="95" t="s">
        <v>830</v>
      </c>
      <c r="C5" s="95">
        <v>3</v>
      </c>
      <c r="D5" s="95" t="s">
        <v>749</v>
      </c>
    </row>
    <row r="6" spans="1:4">
      <c r="A6" s="94" t="s">
        <v>750</v>
      </c>
      <c r="B6" s="94" t="s">
        <v>751</v>
      </c>
    </row>
    <row r="7" spans="1:4">
      <c r="A7" s="95" t="s">
        <v>736</v>
      </c>
      <c r="B7" s="95">
        <v>0.06</v>
      </c>
    </row>
    <row r="8" spans="1:4">
      <c r="A8" s="95" t="s">
        <v>738</v>
      </c>
      <c r="B8" s="95">
        <v>0.1</v>
      </c>
    </row>
    <row r="10" spans="1:4">
      <c r="A10" s="94" t="s">
        <v>752</v>
      </c>
      <c r="B10" s="94" t="s">
        <v>753</v>
      </c>
    </row>
    <row r="11" spans="1:4">
      <c r="A11" s="95" t="s">
        <v>329</v>
      </c>
      <c r="B11" s="95">
        <v>3</v>
      </c>
    </row>
    <row r="12" spans="1:4">
      <c r="A12" s="95" t="s">
        <v>333</v>
      </c>
      <c r="B12" s="95">
        <v>0.5</v>
      </c>
    </row>
    <row r="19" spans="1:1">
      <c r="A19" t="s">
        <v>581</v>
      </c>
    </row>
    <row r="25" spans="1:1">
      <c r="A25" t="s">
        <v>502</v>
      </c>
    </row>
  </sheetData>
  <pageMargins left="0.7" right="0.7" top="0.75" bottom="0.75" header="0.3" footer="0.3"/>
  <tableParts count="3">
    <tablePart r:id="rId1"/>
    <tablePart r:id="rId2"/>
    <tablePart r:id="rId3"/>
  </tableParts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350094F-C905-48D4-9408-C5AE4A1E7BAE}">
  <sheetPr codeName="Sheet14"/>
  <dimension ref="A1:AC91"/>
  <sheetViews>
    <sheetView tabSelected="1" zoomScaleNormal="100" workbookViewId="0">
      <selection activeCell="L12" sqref="L12:Q12"/>
    </sheetView>
  </sheetViews>
  <sheetFormatPr defaultRowHeight="14.4"/>
  <cols>
    <col min="1" max="1" width="41.109375" style="219" bestFit="1" customWidth="1"/>
    <col min="2" max="2" width="23.109375" style="219" bestFit="1" customWidth="1"/>
    <col min="3" max="4" width="8.88671875" style="219"/>
    <col min="5" max="5" width="8.88671875" style="216"/>
    <col min="8" max="8" width="14.21875" bestFit="1" customWidth="1"/>
    <col min="9" max="9" width="10.109375" bestFit="1" customWidth="1"/>
    <col min="10" max="10" width="13.5546875" bestFit="1" customWidth="1"/>
    <col min="24" max="24" width="23.109375" bestFit="1" customWidth="1"/>
    <col min="25" max="26" width="19.109375" bestFit="1" customWidth="1"/>
  </cols>
  <sheetData>
    <row r="1" spans="1:29" s="220" customFormat="1" ht="16.2" thickBot="1">
      <c r="A1" s="221" t="s">
        <v>831</v>
      </c>
      <c r="B1" s="221"/>
      <c r="C1" s="222"/>
    </row>
    <row r="2" spans="1:29" ht="15.6" thickTop="1" thickBot="1">
      <c r="A2" s="204" t="s">
        <v>647</v>
      </c>
      <c r="B2" s="209" t="s">
        <v>650</v>
      </c>
      <c r="C2" s="215"/>
      <c r="D2" s="215"/>
      <c r="E2" s="217"/>
      <c r="F2" s="17"/>
      <c r="G2" s="17"/>
      <c r="K2" s="227"/>
      <c r="L2" s="17"/>
      <c r="M2" s="17"/>
      <c r="N2" s="17"/>
      <c r="O2" s="17"/>
      <c r="P2" s="17"/>
      <c r="Q2" s="17"/>
      <c r="Z2" t="str">
        <f>TRIM(CLEAN(INDEX(ProcessMap[Short Form], MATCH(B2, ProcessMap[Full Name], 0))))</f>
        <v>SMR</v>
      </c>
    </row>
    <row r="3" spans="1:29" ht="49.95" customHeight="1" thickTop="1" thickBot="1">
      <c r="A3" s="204" t="s">
        <v>648</v>
      </c>
      <c r="B3" s="210"/>
      <c r="C3" s="230">
        <f>IF(B3="", 36500, B3)</f>
        <v>36500</v>
      </c>
      <c r="D3" s="215"/>
      <c r="F3" s="17"/>
      <c r="G3" s="17"/>
      <c r="H3" s="129"/>
      <c r="I3" s="129"/>
      <c r="J3" s="129"/>
      <c r="K3" s="228"/>
      <c r="L3" s="223">
        <f>SUMPRODUCT((PriceTable[Process]=$B$2)*(PriceTable[End Use]=$Z$7))</f>
        <v>0</v>
      </c>
      <c r="M3" s="17"/>
      <c r="N3" s="17"/>
      <c r="O3" s="17"/>
      <c r="P3" s="17"/>
      <c r="Q3" s="17"/>
      <c r="X3" t="s">
        <v>652</v>
      </c>
      <c r="Y3" t="s">
        <v>653</v>
      </c>
      <c r="Z3" t="s">
        <v>654</v>
      </c>
    </row>
    <row r="4" spans="1:29" ht="15.6" thickTop="1" thickBot="1">
      <c r="A4" s="204" t="s">
        <v>649</v>
      </c>
      <c r="B4" s="209" t="s">
        <v>659</v>
      </c>
      <c r="C4" s="215"/>
      <c r="D4" s="215"/>
      <c r="F4" s="17"/>
      <c r="G4" s="17"/>
      <c r="H4" s="190" t="s">
        <v>198</v>
      </c>
      <c r="I4" s="190" t="s">
        <v>692</v>
      </c>
      <c r="J4" s="190" t="s">
        <v>758</v>
      </c>
      <c r="K4" s="228"/>
      <c r="L4" s="17"/>
      <c r="M4" s="17"/>
      <c r="N4" s="17"/>
      <c r="O4" s="17"/>
      <c r="P4" s="17"/>
      <c r="Q4" s="17"/>
      <c r="X4" t="s">
        <v>650</v>
      </c>
      <c r="Y4" t="s">
        <v>445</v>
      </c>
      <c r="Z4" t="s">
        <v>405</v>
      </c>
    </row>
    <row r="5" spans="1:29" ht="15.6" thickTop="1" thickBot="1">
      <c r="A5" s="204" t="s">
        <v>655</v>
      </c>
      <c r="B5" s="209"/>
      <c r="C5" s="215"/>
      <c r="D5" s="215"/>
      <c r="F5" s="17"/>
      <c r="G5" s="17"/>
      <c r="H5" s="129" t="s">
        <v>315</v>
      </c>
      <c r="I5" s="129" t="s">
        <v>749</v>
      </c>
      <c r="J5" s="189">
        <v>3</v>
      </c>
      <c r="K5" s="228"/>
      <c r="L5" s="17"/>
      <c r="M5" s="17"/>
      <c r="N5" s="17"/>
      <c r="O5" s="17"/>
      <c r="P5" s="17"/>
      <c r="Q5" s="17"/>
      <c r="X5" t="s">
        <v>651</v>
      </c>
      <c r="Y5" t="s">
        <v>445</v>
      </c>
      <c r="Z5" t="s">
        <v>405</v>
      </c>
    </row>
    <row r="6" spans="1:29" ht="15.6" thickTop="1" thickBot="1">
      <c r="A6" s="205"/>
      <c r="B6" s="205"/>
      <c r="C6" s="215"/>
      <c r="D6" s="215"/>
      <c r="F6" s="17"/>
      <c r="G6" s="17"/>
      <c r="H6" s="129"/>
      <c r="I6" s="129"/>
      <c r="J6" s="189"/>
      <c r="K6" s="228"/>
      <c r="L6" s="17"/>
      <c r="M6" s="17"/>
      <c r="N6" s="17"/>
      <c r="O6" s="17"/>
      <c r="P6" s="17"/>
      <c r="Q6" s="17"/>
      <c r="X6" t="s">
        <v>34</v>
      </c>
      <c r="Y6" t="s">
        <v>405</v>
      </c>
    </row>
    <row r="7" spans="1:29" ht="15.6" thickTop="1" thickBot="1">
      <c r="A7" s="204" t="s">
        <v>668</v>
      </c>
      <c r="B7" s="209"/>
      <c r="C7" s="215"/>
      <c r="D7" s="215"/>
      <c r="F7" s="17"/>
      <c r="G7" s="17"/>
      <c r="H7" s="129"/>
      <c r="I7" s="129"/>
      <c r="J7" s="131"/>
      <c r="K7" s="228"/>
      <c r="L7" s="17"/>
      <c r="M7" s="17"/>
      <c r="N7" s="17"/>
      <c r="O7" s="17"/>
      <c r="P7" s="17"/>
      <c r="Q7" s="17"/>
      <c r="Z7" t="str">
        <f>IF(B4="Downstream Process", "Downstream Process", "")</f>
        <v/>
      </c>
    </row>
    <row r="8" spans="1:29" ht="15.6" thickTop="1" thickBot="1">
      <c r="A8" s="205" t="s">
        <v>50</v>
      </c>
      <c r="B8" s="211">
        <v>2500</v>
      </c>
      <c r="C8" s="215"/>
      <c r="D8" s="215"/>
      <c r="F8" s="17"/>
      <c r="G8" s="17"/>
      <c r="H8" s="17"/>
      <c r="I8" s="17"/>
      <c r="J8" s="17"/>
      <c r="K8" s="228"/>
      <c r="L8" s="17"/>
      <c r="M8" s="17"/>
      <c r="N8" s="17"/>
      <c r="O8" s="17"/>
      <c r="P8" s="17"/>
      <c r="Q8" s="17"/>
      <c r="R8" s="17"/>
      <c r="S8" s="17"/>
      <c r="T8" s="17"/>
      <c r="U8" s="17"/>
      <c r="V8" s="17"/>
      <c r="W8" s="17"/>
      <c r="X8" s="17"/>
      <c r="Y8" s="17"/>
      <c r="Z8" t="str">
        <f>IF(B5="Ammonia", "HB", IF(B5="Methanol", "MeOH", "" ))</f>
        <v/>
      </c>
      <c r="AC8">
        <f>LEN(Z2)</f>
        <v>3</v>
      </c>
    </row>
    <row r="9" spans="1:29" ht="15.6" thickTop="1" thickBot="1">
      <c r="A9" s="205" t="s">
        <v>495</v>
      </c>
      <c r="B9" s="211">
        <v>0</v>
      </c>
      <c r="C9" s="215"/>
      <c r="D9" s="215"/>
      <c r="F9" s="17"/>
      <c r="G9" s="17"/>
      <c r="H9" s="17"/>
      <c r="I9" s="17"/>
      <c r="J9" s="17"/>
      <c r="K9" s="228"/>
      <c r="L9" s="17"/>
      <c r="M9" s="17"/>
      <c r="N9" s="17"/>
      <c r="O9" s="17"/>
      <c r="P9" s="17"/>
      <c r="Q9" s="17"/>
      <c r="R9" s="17"/>
      <c r="S9" s="17"/>
      <c r="T9" s="17"/>
      <c r="U9" s="17"/>
      <c r="V9" s="17"/>
      <c r="W9" s="17"/>
      <c r="X9" s="17"/>
      <c r="Y9" s="17"/>
      <c r="AC9">
        <f>LEN(INDEX(MassBalance[PROCESS], 1))</f>
        <v>3</v>
      </c>
    </row>
    <row r="10" spans="1:29" ht="15.6" thickTop="1" thickBot="1">
      <c r="A10" s="205" t="s">
        <v>713</v>
      </c>
      <c r="B10" s="209"/>
      <c r="C10" s="215"/>
      <c r="D10" s="215"/>
      <c r="F10" s="225"/>
      <c r="G10" s="226"/>
      <c r="H10" s="226"/>
      <c r="I10" s="226"/>
      <c r="J10" s="226"/>
      <c r="K10" s="229"/>
      <c r="L10" s="226"/>
      <c r="M10" s="226"/>
      <c r="N10" s="226"/>
      <c r="O10" s="226"/>
      <c r="P10" s="226"/>
      <c r="Q10" s="226"/>
      <c r="R10" s="17"/>
      <c r="S10" s="17"/>
      <c r="T10" s="17"/>
      <c r="U10" s="17"/>
      <c r="V10" s="17"/>
      <c r="W10" s="17"/>
      <c r="X10" s="17"/>
      <c r="Y10" s="17"/>
    </row>
    <row r="11" spans="1:29" ht="15.6" thickTop="1" thickBot="1">
      <c r="A11" s="205" t="s">
        <v>713</v>
      </c>
      <c r="B11" s="209"/>
      <c r="C11" s="215"/>
      <c r="D11" s="215"/>
      <c r="F11" s="17"/>
      <c r="G11" s="17"/>
      <c r="H11" s="17"/>
      <c r="I11" s="17"/>
      <c r="J11" s="17"/>
      <c r="K11" s="17"/>
      <c r="L11" s="17"/>
      <c r="M11" s="17"/>
      <c r="N11" s="17"/>
      <c r="O11" s="17"/>
      <c r="P11" s="17"/>
      <c r="Q11" s="17"/>
      <c r="R11" s="17"/>
      <c r="S11" s="17"/>
      <c r="T11" s="17"/>
      <c r="U11" s="17"/>
      <c r="V11" s="17"/>
      <c r="W11" s="17"/>
      <c r="X11" s="17"/>
      <c r="Y11" s="17"/>
    </row>
    <row r="12" spans="1:29" ht="16.8" thickTop="1" thickBot="1">
      <c r="A12" s="204" t="s">
        <v>755</v>
      </c>
      <c r="B12" s="212" t="s">
        <v>736</v>
      </c>
      <c r="C12" s="207">
        <v>0.06</v>
      </c>
      <c r="D12" s="218" t="s">
        <v>754</v>
      </c>
      <c r="E12" s="219"/>
      <c r="F12" s="329" t="s">
        <v>832</v>
      </c>
      <c r="G12" s="330"/>
      <c r="H12" s="330"/>
      <c r="I12" s="330"/>
      <c r="J12" s="330"/>
      <c r="K12" s="331"/>
      <c r="L12" s="342" t="s">
        <v>837</v>
      </c>
      <c r="M12" s="341"/>
      <c r="N12" s="341"/>
      <c r="O12" s="341"/>
      <c r="P12" s="341"/>
      <c r="Q12" s="341"/>
      <c r="R12" s="17"/>
      <c r="S12" s="17"/>
      <c r="T12" s="17"/>
      <c r="U12" s="17"/>
      <c r="V12" s="17"/>
      <c r="W12" s="17"/>
      <c r="X12" s="17"/>
      <c r="Y12" s="17"/>
    </row>
    <row r="13" spans="1:29" ht="15.6" thickTop="1" thickBot="1">
      <c r="A13" s="206" t="s">
        <v>756</v>
      </c>
      <c r="B13" s="213"/>
      <c r="C13" s="208">
        <v>3</v>
      </c>
      <c r="D13" s="218" t="s">
        <v>218</v>
      </c>
      <c r="F13" s="17"/>
      <c r="G13" s="17"/>
      <c r="H13" s="17"/>
      <c r="I13" s="17"/>
      <c r="J13" s="17"/>
      <c r="K13" s="17"/>
      <c r="L13" s="224"/>
      <c r="M13" s="17"/>
      <c r="N13" s="17"/>
      <c r="O13" s="17"/>
      <c r="P13" s="17"/>
      <c r="Q13" s="17"/>
      <c r="R13" s="17"/>
      <c r="S13" s="17"/>
      <c r="T13" s="17"/>
      <c r="U13" s="17"/>
      <c r="V13" s="17"/>
      <c r="W13" s="17"/>
      <c r="X13" s="17"/>
      <c r="Y13" s="17"/>
    </row>
    <row r="14" spans="1:29" ht="15.6" thickTop="1" thickBot="1">
      <c r="A14" s="204" t="s">
        <v>757</v>
      </c>
      <c r="B14" s="214"/>
      <c r="C14" s="208">
        <v>0.5</v>
      </c>
      <c r="D14" s="218" t="s">
        <v>218</v>
      </c>
      <c r="F14" s="17"/>
      <c r="G14" s="17"/>
      <c r="H14" s="17"/>
      <c r="I14" s="17"/>
      <c r="J14" s="17"/>
      <c r="K14" s="17"/>
      <c r="L14" s="17"/>
      <c r="M14" s="17"/>
      <c r="N14" s="17"/>
      <c r="O14" s="17"/>
      <c r="P14" s="17"/>
      <c r="Q14" s="17"/>
      <c r="R14" s="17"/>
      <c r="S14" s="17"/>
      <c r="T14" s="17"/>
      <c r="U14" s="17"/>
      <c r="V14" s="17"/>
      <c r="W14" s="17"/>
      <c r="X14" s="17"/>
      <c r="Y14" s="17" t="b">
        <f>Z2 = INDEX(EnergyConsumption[Process], 1)</f>
        <v>1</v>
      </c>
    </row>
    <row r="15" spans="1:29" ht="15" thickTop="1">
      <c r="F15" s="17"/>
      <c r="G15" s="17"/>
      <c r="H15" s="17"/>
      <c r="I15" s="17"/>
      <c r="J15" s="17"/>
      <c r="K15" s="17"/>
      <c r="L15" s="17"/>
      <c r="M15" s="17"/>
      <c r="N15" s="17"/>
      <c r="O15" s="17"/>
      <c r="P15" s="17"/>
      <c r="Q15" s="17"/>
      <c r="R15" s="17"/>
      <c r="S15" s="17"/>
      <c r="T15" s="17"/>
      <c r="U15" s="17"/>
      <c r="V15" s="17"/>
      <c r="W15" s="17"/>
      <c r="X15" s="17"/>
      <c r="Y15" s="17"/>
    </row>
    <row r="16" spans="1:29">
      <c r="F16" s="17"/>
      <c r="G16" s="17"/>
      <c r="H16" s="17"/>
      <c r="I16" s="17"/>
      <c r="J16" s="17"/>
      <c r="K16" s="17"/>
      <c r="L16" s="17"/>
      <c r="M16" s="17"/>
      <c r="N16" s="17"/>
      <c r="O16" s="17"/>
      <c r="P16" s="17"/>
      <c r="Q16" s="17"/>
      <c r="R16" s="17"/>
      <c r="S16" s="17"/>
      <c r="T16" s="17"/>
      <c r="U16" s="17"/>
      <c r="V16" s="17"/>
      <c r="W16" s="17"/>
      <c r="X16" s="17"/>
      <c r="Y16" s="17"/>
    </row>
    <row r="17" spans="6:25">
      <c r="F17" s="17"/>
      <c r="G17" s="17"/>
      <c r="H17" s="17"/>
      <c r="I17" s="17"/>
      <c r="J17" s="17"/>
      <c r="K17" s="17"/>
      <c r="L17" s="17"/>
      <c r="M17" s="17"/>
      <c r="N17" s="17"/>
      <c r="O17" s="17"/>
      <c r="P17" s="17"/>
      <c r="Q17" s="17"/>
      <c r="R17" s="17"/>
      <c r="S17" s="17"/>
      <c r="T17" s="17"/>
      <c r="U17" s="17"/>
      <c r="V17" s="17"/>
      <c r="W17" s="17"/>
      <c r="X17" s="17"/>
      <c r="Y17" s="17"/>
    </row>
    <row r="18" spans="6:25">
      <c r="F18" s="17"/>
      <c r="G18" s="17"/>
      <c r="H18" s="17"/>
      <c r="I18" s="17"/>
      <c r="J18" s="17"/>
      <c r="K18" s="17"/>
      <c r="L18" s="17"/>
      <c r="M18" s="17"/>
      <c r="N18" s="17"/>
      <c r="O18" s="17"/>
      <c r="P18" s="17"/>
      <c r="Q18" s="17"/>
      <c r="R18" s="17"/>
      <c r="S18" s="17"/>
      <c r="T18" s="17"/>
      <c r="U18" s="17"/>
      <c r="V18" s="17"/>
      <c r="W18" s="17"/>
      <c r="X18" s="17"/>
      <c r="Y18" s="17"/>
    </row>
    <row r="19" spans="6:25">
      <c r="F19" s="17"/>
      <c r="G19" s="17"/>
      <c r="H19" s="17"/>
      <c r="I19" s="17"/>
      <c r="J19" s="17"/>
      <c r="K19" s="17"/>
      <c r="L19" s="17"/>
      <c r="M19" s="17"/>
      <c r="N19" s="17"/>
      <c r="O19" s="17"/>
      <c r="P19" s="17"/>
      <c r="Q19" s="17"/>
      <c r="R19" s="17"/>
      <c r="S19" s="17"/>
      <c r="T19" s="17"/>
      <c r="U19" s="17"/>
      <c r="V19" s="17"/>
      <c r="W19" s="17"/>
      <c r="X19" s="17"/>
      <c r="Y19" s="17"/>
    </row>
    <row r="20" spans="6:25">
      <c r="F20" s="17"/>
      <c r="G20" s="17"/>
      <c r="H20" s="17"/>
      <c r="I20" s="17"/>
      <c r="J20" s="17"/>
      <c r="K20" s="17"/>
      <c r="L20" s="17"/>
      <c r="M20" s="17"/>
      <c r="N20" s="17"/>
      <c r="O20" s="17"/>
      <c r="P20" s="17"/>
      <c r="Q20" s="17"/>
      <c r="R20" s="17"/>
      <c r="S20" s="17"/>
      <c r="T20" s="17"/>
      <c r="U20" s="17"/>
      <c r="V20" s="17"/>
      <c r="W20" s="17"/>
      <c r="X20" s="17"/>
      <c r="Y20" s="17"/>
    </row>
    <row r="21" spans="6:25">
      <c r="F21" s="17"/>
      <c r="G21" s="17"/>
      <c r="H21" s="17"/>
      <c r="I21" s="17"/>
      <c r="J21" s="17"/>
      <c r="K21" s="17"/>
      <c r="L21" s="17"/>
      <c r="M21" s="17"/>
      <c r="N21" s="17"/>
      <c r="O21" s="17"/>
      <c r="P21" s="17"/>
      <c r="Q21" s="17"/>
      <c r="R21" s="17"/>
      <c r="S21" s="17"/>
      <c r="T21" s="17"/>
      <c r="U21" s="17"/>
      <c r="V21" s="17"/>
      <c r="W21" s="17"/>
      <c r="X21" s="17"/>
      <c r="Y21" s="17"/>
    </row>
    <row r="22" spans="6:25">
      <c r="F22" s="17"/>
      <c r="G22" s="17"/>
      <c r="H22" s="17"/>
      <c r="I22" s="17"/>
      <c r="J22" s="17"/>
      <c r="K22" s="17"/>
      <c r="L22" s="17"/>
      <c r="M22" s="17"/>
      <c r="N22" s="17"/>
      <c r="O22" s="17"/>
      <c r="P22" s="17"/>
    </row>
    <row r="23" spans="6:25">
      <c r="F23" s="17"/>
      <c r="G23" s="17"/>
      <c r="H23" s="17"/>
      <c r="I23" s="17"/>
      <c r="J23" s="17"/>
      <c r="K23" s="17"/>
      <c r="L23" s="17"/>
      <c r="M23" s="17"/>
      <c r="N23" s="17"/>
      <c r="O23" s="17"/>
      <c r="P23" s="17"/>
    </row>
    <row r="24" spans="6:25">
      <c r="H24" s="17"/>
      <c r="I24" s="17"/>
      <c r="J24" s="17"/>
      <c r="K24" s="17"/>
      <c r="L24" s="17"/>
      <c r="M24" s="17"/>
      <c r="N24" s="17"/>
      <c r="O24" s="17"/>
      <c r="P24" s="17"/>
    </row>
    <row r="25" spans="6:25">
      <c r="F25" s="17"/>
      <c r="G25" s="17"/>
      <c r="H25" s="17"/>
      <c r="I25" s="17"/>
      <c r="J25" s="17"/>
      <c r="K25" s="17"/>
      <c r="L25" s="17"/>
      <c r="M25" s="17"/>
      <c r="N25" s="17"/>
      <c r="O25" s="17"/>
      <c r="P25" s="17"/>
    </row>
    <row r="26" spans="6:25">
      <c r="F26" s="17"/>
      <c r="G26" s="17"/>
      <c r="H26" s="17"/>
      <c r="I26" s="17"/>
      <c r="J26" s="17"/>
      <c r="K26" s="17"/>
      <c r="L26" s="17"/>
      <c r="M26" s="17"/>
      <c r="N26" s="17"/>
      <c r="O26" s="17"/>
      <c r="P26" s="17"/>
    </row>
    <row r="27" spans="6:25">
      <c r="F27" s="17"/>
      <c r="G27" s="17"/>
      <c r="H27" s="17"/>
      <c r="I27" s="17"/>
      <c r="J27" s="17"/>
      <c r="K27" s="17"/>
      <c r="L27" s="17"/>
      <c r="M27" s="17"/>
      <c r="N27" s="17"/>
      <c r="O27" s="17"/>
      <c r="P27" s="17"/>
    </row>
    <row r="28" spans="6:25">
      <c r="F28" s="17"/>
      <c r="G28" s="17"/>
      <c r="H28" s="17"/>
      <c r="I28" s="17"/>
      <c r="J28" s="17"/>
      <c r="K28" s="17"/>
      <c r="L28" s="17"/>
      <c r="M28" s="17"/>
      <c r="N28" s="17"/>
      <c r="O28" s="17"/>
      <c r="P28" s="17"/>
    </row>
    <row r="29" spans="6:25">
      <c r="F29" s="17"/>
      <c r="G29" s="17"/>
      <c r="H29" s="17"/>
      <c r="I29" s="17"/>
      <c r="J29" s="17"/>
      <c r="K29" s="17"/>
      <c r="L29" s="17"/>
      <c r="M29" s="17"/>
      <c r="N29" s="17"/>
      <c r="O29" s="17"/>
      <c r="P29" s="17"/>
    </row>
    <row r="30" spans="6:25">
      <c r="F30" s="17"/>
      <c r="G30" s="17"/>
      <c r="H30" s="17"/>
      <c r="I30" s="17"/>
      <c r="J30" s="17"/>
      <c r="K30" s="17"/>
      <c r="L30" s="17"/>
      <c r="M30" s="17"/>
      <c r="N30" s="17"/>
      <c r="O30" s="17"/>
      <c r="P30" s="17"/>
    </row>
    <row r="31" spans="6:25">
      <c r="F31" s="17"/>
      <c r="G31" s="17"/>
      <c r="H31" s="17"/>
      <c r="I31" s="17"/>
      <c r="J31" s="17"/>
      <c r="K31" s="17"/>
      <c r="L31" s="17"/>
      <c r="M31" s="17"/>
      <c r="N31" s="17"/>
      <c r="O31" s="17"/>
      <c r="P31" s="17"/>
    </row>
    <row r="32" spans="6:25">
      <c r="F32" s="17"/>
      <c r="G32" s="17"/>
      <c r="H32" s="17"/>
      <c r="I32" s="17"/>
      <c r="J32" s="17"/>
      <c r="K32" s="17"/>
      <c r="L32" s="17"/>
      <c r="M32" s="17"/>
      <c r="N32" s="17"/>
      <c r="O32" s="17"/>
      <c r="P32" s="17"/>
    </row>
    <row r="33" spans="6:16">
      <c r="F33" s="17"/>
      <c r="G33" s="17"/>
      <c r="H33" s="17"/>
      <c r="I33" s="17"/>
      <c r="J33" s="17"/>
      <c r="K33" s="17"/>
      <c r="L33" s="17"/>
      <c r="M33" s="17"/>
      <c r="N33" s="17"/>
      <c r="O33" s="17"/>
      <c r="P33" s="17"/>
    </row>
    <row r="34" spans="6:16">
      <c r="F34" s="17"/>
      <c r="G34" s="17"/>
      <c r="H34" s="17"/>
      <c r="I34" s="17"/>
      <c r="J34" s="17"/>
      <c r="K34" s="17"/>
      <c r="L34" s="17"/>
      <c r="M34" s="17"/>
      <c r="N34" s="17"/>
      <c r="O34" s="17"/>
      <c r="P34" s="17"/>
    </row>
    <row r="35" spans="6:16">
      <c r="F35" s="17"/>
      <c r="G35" s="17"/>
      <c r="H35" s="17"/>
      <c r="I35" s="17"/>
      <c r="J35" s="17"/>
      <c r="K35" s="17"/>
      <c r="L35" s="17"/>
      <c r="M35" s="17"/>
      <c r="N35" s="17"/>
      <c r="O35" s="17"/>
      <c r="P35" s="17"/>
    </row>
    <row r="36" spans="6:16">
      <c r="F36" s="17"/>
      <c r="G36" s="17"/>
      <c r="H36" s="17"/>
      <c r="I36" s="17"/>
      <c r="J36" s="17"/>
      <c r="K36" s="17"/>
      <c r="L36" s="17"/>
      <c r="M36" s="17"/>
      <c r="N36" s="17"/>
      <c r="O36" s="17"/>
      <c r="P36" s="17"/>
    </row>
    <row r="37" spans="6:16">
      <c r="F37" s="17"/>
      <c r="G37" s="17"/>
      <c r="H37" s="17"/>
      <c r="I37" s="17"/>
      <c r="J37" s="17"/>
      <c r="K37" s="17"/>
      <c r="L37" s="17"/>
      <c r="M37" s="17"/>
      <c r="N37" s="17"/>
      <c r="O37" s="17"/>
      <c r="P37" s="17"/>
    </row>
    <row r="38" spans="6:16">
      <c r="F38" s="17"/>
      <c r="G38" s="17"/>
      <c r="H38" s="17"/>
      <c r="I38" s="17"/>
      <c r="J38" s="17"/>
      <c r="K38" s="17"/>
      <c r="L38" s="17"/>
      <c r="M38" s="17"/>
      <c r="N38" s="17"/>
      <c r="O38" s="17"/>
      <c r="P38" s="17"/>
    </row>
    <row r="39" spans="6:16">
      <c r="F39" s="17"/>
      <c r="G39" s="17"/>
      <c r="H39" s="17"/>
      <c r="I39" s="17"/>
      <c r="J39" s="17"/>
      <c r="K39" s="17"/>
      <c r="L39" s="17"/>
      <c r="M39" s="17"/>
      <c r="N39" s="17"/>
      <c r="O39" s="17"/>
      <c r="P39" s="17"/>
    </row>
    <row r="40" spans="6:16">
      <c r="F40" s="17"/>
      <c r="G40" s="17"/>
      <c r="H40" s="17"/>
      <c r="I40" s="17"/>
      <c r="J40" s="17"/>
      <c r="K40" s="17"/>
      <c r="L40" s="17"/>
      <c r="M40" s="17"/>
      <c r="N40" s="17"/>
      <c r="O40" s="17"/>
      <c r="P40" s="17"/>
    </row>
    <row r="41" spans="6:16">
      <c r="F41" s="17"/>
      <c r="G41" s="17"/>
      <c r="H41" s="17"/>
      <c r="I41" s="17"/>
      <c r="J41" s="17"/>
      <c r="K41" s="17"/>
      <c r="L41" s="17"/>
      <c r="M41" s="17"/>
      <c r="N41" s="17"/>
      <c r="O41" s="17"/>
      <c r="P41" s="17"/>
    </row>
    <row r="42" spans="6:16">
      <c r="F42" s="17"/>
      <c r="G42" s="17"/>
      <c r="H42" s="17"/>
      <c r="I42" s="17"/>
      <c r="J42" s="17"/>
      <c r="K42" s="17"/>
      <c r="L42" s="17"/>
      <c r="M42" s="17"/>
      <c r="N42" s="17"/>
      <c r="O42" s="17"/>
      <c r="P42" s="17"/>
    </row>
    <row r="43" spans="6:16">
      <c r="F43" s="17"/>
      <c r="G43" s="17"/>
      <c r="H43" s="17"/>
      <c r="I43" s="17"/>
      <c r="J43" s="17"/>
      <c r="K43" s="17"/>
      <c r="L43" s="17"/>
      <c r="M43" s="17"/>
      <c r="N43" s="17"/>
      <c r="O43" s="17"/>
      <c r="P43" s="17"/>
    </row>
    <row r="44" spans="6:16">
      <c r="F44" s="17"/>
      <c r="G44" s="17"/>
      <c r="H44" s="17"/>
      <c r="I44" s="17"/>
      <c r="J44" s="17"/>
      <c r="K44" s="17"/>
      <c r="L44" s="17"/>
      <c r="M44" s="17"/>
      <c r="N44" s="17"/>
      <c r="O44" s="17"/>
      <c r="P44" s="17"/>
    </row>
    <row r="45" spans="6:16">
      <c r="F45" s="17"/>
      <c r="G45" s="17"/>
      <c r="H45" s="17"/>
      <c r="I45" s="17"/>
      <c r="J45" s="17"/>
      <c r="K45" s="17"/>
      <c r="L45" s="17"/>
      <c r="M45" s="17"/>
      <c r="N45" s="17"/>
      <c r="O45" s="17"/>
      <c r="P45" s="17"/>
    </row>
    <row r="46" spans="6:16">
      <c r="F46" s="17"/>
      <c r="G46" s="17"/>
      <c r="H46" s="17"/>
      <c r="I46" s="17"/>
      <c r="J46" s="17"/>
      <c r="K46" s="17"/>
      <c r="L46" s="17"/>
      <c r="M46" s="17"/>
      <c r="N46" s="17"/>
      <c r="O46" s="17"/>
      <c r="P46" s="17"/>
    </row>
    <row r="47" spans="6:16">
      <c r="F47" s="17"/>
      <c r="G47" s="17"/>
      <c r="H47" s="17"/>
      <c r="I47" s="17"/>
      <c r="J47" s="17"/>
      <c r="K47" s="17"/>
      <c r="L47" s="17"/>
      <c r="M47" s="17"/>
      <c r="N47" s="17"/>
      <c r="O47" s="17"/>
      <c r="P47" s="17"/>
    </row>
    <row r="48" spans="6:16">
      <c r="F48" s="17"/>
      <c r="G48" s="17"/>
      <c r="H48" s="17"/>
      <c r="I48" s="17"/>
      <c r="J48" s="17"/>
      <c r="K48" s="17"/>
      <c r="L48" s="17"/>
      <c r="M48" s="17"/>
      <c r="N48" s="17"/>
      <c r="O48" s="17"/>
      <c r="P48" s="17"/>
    </row>
    <row r="49" spans="6:16">
      <c r="F49" s="17"/>
      <c r="G49" s="17"/>
      <c r="H49" s="17"/>
      <c r="I49" s="17"/>
      <c r="J49" s="17"/>
      <c r="K49" s="17"/>
      <c r="L49" s="17"/>
      <c r="M49" s="17"/>
      <c r="N49" s="17"/>
      <c r="O49" s="17"/>
      <c r="P49" s="17"/>
    </row>
    <row r="50" spans="6:16">
      <c r="F50" s="17"/>
      <c r="G50" s="17"/>
      <c r="H50" s="17"/>
      <c r="I50" s="17"/>
      <c r="J50" s="17"/>
      <c r="K50" s="17"/>
      <c r="L50" s="17"/>
      <c r="M50" s="17"/>
      <c r="N50" s="17"/>
      <c r="O50" s="17"/>
      <c r="P50" s="17"/>
    </row>
    <row r="51" spans="6:16">
      <c r="F51" s="17"/>
      <c r="G51" s="17"/>
      <c r="H51" s="17"/>
      <c r="I51" s="17"/>
      <c r="J51" s="17"/>
      <c r="K51" s="17"/>
      <c r="L51" s="17"/>
      <c r="M51" s="17"/>
      <c r="N51" s="17"/>
      <c r="O51" s="17"/>
      <c r="P51" s="17"/>
    </row>
    <row r="52" spans="6:16">
      <c r="F52" s="17"/>
      <c r="G52" s="17"/>
      <c r="H52" s="17"/>
      <c r="I52" s="17"/>
      <c r="J52" s="17"/>
      <c r="K52" s="17"/>
      <c r="L52" s="17"/>
      <c r="M52" s="17"/>
      <c r="N52" s="17"/>
      <c r="O52" s="17"/>
      <c r="P52" s="17"/>
    </row>
    <row r="53" spans="6:16">
      <c r="F53" s="17"/>
      <c r="G53" s="17"/>
      <c r="H53" s="17"/>
      <c r="I53" s="17"/>
      <c r="J53" s="17"/>
      <c r="K53" s="17"/>
      <c r="L53" s="17"/>
      <c r="M53" s="17"/>
      <c r="N53" s="17"/>
      <c r="O53" s="17"/>
      <c r="P53" s="17"/>
    </row>
    <row r="54" spans="6:16">
      <c r="F54" s="17"/>
      <c r="G54" s="17"/>
      <c r="H54" s="17"/>
      <c r="I54" s="17"/>
      <c r="J54" s="17"/>
      <c r="K54" s="17"/>
      <c r="L54" s="17"/>
      <c r="M54" s="17"/>
      <c r="N54" s="17"/>
      <c r="O54" s="17"/>
      <c r="P54" s="17"/>
    </row>
    <row r="55" spans="6:16">
      <c r="F55" s="17"/>
      <c r="G55" s="17"/>
      <c r="H55" s="17"/>
      <c r="I55" s="17"/>
      <c r="J55" s="17"/>
      <c r="K55" s="17"/>
      <c r="L55" s="17"/>
      <c r="M55" s="17"/>
      <c r="N55" s="17"/>
      <c r="O55" s="17"/>
      <c r="P55" s="17"/>
    </row>
    <row r="56" spans="6:16">
      <c r="F56" s="17"/>
      <c r="G56" s="17"/>
      <c r="H56" s="17"/>
      <c r="I56" s="17"/>
      <c r="J56" s="17"/>
      <c r="K56" s="17"/>
      <c r="L56" s="17"/>
      <c r="M56" s="17"/>
      <c r="N56" s="17"/>
      <c r="O56" s="17"/>
      <c r="P56" s="17"/>
    </row>
    <row r="57" spans="6:16">
      <c r="F57" s="17"/>
      <c r="G57" s="17"/>
      <c r="H57" s="17"/>
      <c r="I57" s="17"/>
      <c r="J57" s="17"/>
      <c r="K57" s="17"/>
      <c r="L57" s="17"/>
      <c r="M57" s="17"/>
      <c r="N57" s="17"/>
      <c r="O57" s="17"/>
      <c r="P57" s="17"/>
    </row>
    <row r="58" spans="6:16">
      <c r="F58" s="17"/>
      <c r="G58" s="17"/>
      <c r="H58" s="17"/>
      <c r="I58" s="17"/>
      <c r="J58" s="17"/>
      <c r="K58" s="17"/>
      <c r="L58" s="17"/>
      <c r="M58" s="17"/>
      <c r="N58" s="17"/>
      <c r="O58" s="17"/>
      <c r="P58" s="17"/>
    </row>
    <row r="59" spans="6:16">
      <c r="F59" s="17"/>
      <c r="G59" s="17"/>
      <c r="H59" s="17"/>
      <c r="I59" s="17"/>
      <c r="J59" s="17"/>
      <c r="K59" s="17"/>
      <c r="L59" s="17"/>
      <c r="M59" s="17"/>
      <c r="N59" s="17"/>
      <c r="O59" s="17"/>
      <c r="P59" s="17"/>
    </row>
    <row r="60" spans="6:16">
      <c r="F60" s="17"/>
      <c r="G60" s="17"/>
      <c r="H60" s="17"/>
      <c r="I60" s="17"/>
      <c r="J60" s="17"/>
      <c r="K60" s="17"/>
      <c r="L60" s="17"/>
      <c r="M60" s="17"/>
      <c r="N60" s="17"/>
      <c r="O60" s="17"/>
      <c r="P60" s="17"/>
    </row>
    <row r="61" spans="6:16">
      <c r="F61" s="17"/>
      <c r="G61" s="17"/>
      <c r="H61" s="17"/>
      <c r="I61" s="17"/>
      <c r="J61" s="17"/>
      <c r="K61" s="17"/>
      <c r="L61" s="17"/>
      <c r="M61" s="17"/>
      <c r="N61" s="17"/>
      <c r="O61" s="17"/>
      <c r="P61" s="17"/>
    </row>
    <row r="62" spans="6:16">
      <c r="F62" s="17"/>
      <c r="G62" s="17"/>
      <c r="H62" s="17"/>
      <c r="I62" s="17"/>
      <c r="J62" s="17"/>
      <c r="K62" s="17"/>
      <c r="L62" s="17"/>
      <c r="M62" s="17"/>
      <c r="N62" s="17"/>
      <c r="O62" s="17"/>
      <c r="P62" s="17"/>
    </row>
    <row r="63" spans="6:16">
      <c r="F63" s="17"/>
      <c r="G63" s="17"/>
      <c r="H63" s="17"/>
      <c r="I63" s="17"/>
      <c r="J63" s="17"/>
      <c r="K63" s="17"/>
      <c r="L63" s="17"/>
      <c r="M63" s="17"/>
      <c r="N63" s="17"/>
      <c r="O63" s="17"/>
      <c r="P63" s="17"/>
    </row>
    <row r="64" spans="6:16">
      <c r="F64" s="17"/>
      <c r="G64" s="17"/>
      <c r="H64" s="17"/>
      <c r="I64" s="17"/>
      <c r="J64" s="17"/>
      <c r="K64" s="17"/>
      <c r="L64" s="17"/>
      <c r="M64" s="17"/>
      <c r="N64" s="17"/>
      <c r="O64" s="17"/>
      <c r="P64" s="17"/>
    </row>
    <row r="65" spans="8:16">
      <c r="H65" s="17"/>
      <c r="I65" s="17"/>
      <c r="J65" s="17"/>
      <c r="K65" s="17"/>
      <c r="L65" s="17"/>
      <c r="M65" s="17"/>
      <c r="N65" s="17"/>
      <c r="O65" s="17"/>
      <c r="P65" s="17"/>
    </row>
    <row r="66" spans="8:16">
      <c r="H66" s="17"/>
      <c r="I66" s="17"/>
      <c r="J66" s="17"/>
      <c r="K66" s="17"/>
      <c r="L66" s="17"/>
      <c r="M66" s="17"/>
      <c r="N66" s="17"/>
      <c r="O66" s="17"/>
      <c r="P66" s="17"/>
    </row>
    <row r="67" spans="8:16">
      <c r="H67" s="17"/>
      <c r="I67" s="17"/>
      <c r="J67" s="17"/>
      <c r="K67" s="17"/>
      <c r="L67" s="17"/>
      <c r="M67" s="17"/>
      <c r="N67" s="17"/>
      <c r="O67" s="17"/>
      <c r="P67" s="17"/>
    </row>
    <row r="68" spans="8:16">
      <c r="H68" s="17"/>
      <c r="I68" s="17"/>
      <c r="J68" s="17"/>
      <c r="K68" s="17"/>
      <c r="L68" s="17"/>
      <c r="M68" s="17"/>
      <c r="N68" s="17"/>
      <c r="O68" s="17"/>
      <c r="P68" s="17"/>
    </row>
    <row r="69" spans="8:16">
      <c r="H69" s="17"/>
      <c r="I69" s="17"/>
      <c r="J69" s="17"/>
      <c r="K69" s="17"/>
      <c r="L69" s="17"/>
      <c r="M69" s="17"/>
      <c r="N69" s="17"/>
      <c r="O69" s="17"/>
      <c r="P69" s="17"/>
    </row>
    <row r="70" spans="8:16">
      <c r="H70" s="17"/>
      <c r="I70" s="17"/>
      <c r="J70" s="17"/>
      <c r="K70" s="17"/>
      <c r="L70" s="17"/>
      <c r="M70" s="17"/>
      <c r="N70" s="17"/>
      <c r="O70" s="17"/>
      <c r="P70" s="17"/>
    </row>
    <row r="71" spans="8:16">
      <c r="H71" s="17"/>
      <c r="I71" s="17"/>
      <c r="J71" s="17"/>
      <c r="K71" s="17"/>
      <c r="L71" s="17"/>
      <c r="M71" s="17"/>
      <c r="N71" s="17"/>
      <c r="O71" s="17"/>
      <c r="P71" s="17"/>
    </row>
    <row r="72" spans="8:16">
      <c r="H72" s="17"/>
      <c r="I72" s="17"/>
      <c r="J72" s="17"/>
      <c r="K72" s="17"/>
      <c r="L72" s="17"/>
      <c r="M72" s="17"/>
      <c r="N72" s="17"/>
      <c r="O72" s="17"/>
      <c r="P72" s="17"/>
    </row>
    <row r="73" spans="8:16">
      <c r="H73" s="17"/>
      <c r="I73" s="17"/>
      <c r="J73" s="17"/>
      <c r="K73" s="17"/>
      <c r="L73" s="17"/>
      <c r="M73" s="17"/>
      <c r="N73" s="17"/>
      <c r="O73" s="17"/>
      <c r="P73" s="17"/>
    </row>
    <row r="74" spans="8:16">
      <c r="H74" s="17"/>
      <c r="I74" s="17"/>
      <c r="J74" s="17"/>
      <c r="K74" s="17"/>
      <c r="L74" s="17"/>
      <c r="M74" s="17"/>
      <c r="N74" s="17"/>
      <c r="O74" s="17"/>
      <c r="P74" s="17"/>
    </row>
    <row r="75" spans="8:16">
      <c r="H75" s="17"/>
      <c r="I75" s="17"/>
      <c r="J75" s="17"/>
      <c r="K75" s="17"/>
      <c r="L75" s="17"/>
      <c r="M75" s="17"/>
      <c r="N75" s="17"/>
      <c r="O75" s="17"/>
      <c r="P75" s="17"/>
    </row>
    <row r="76" spans="8:16">
      <c r="H76" s="17"/>
      <c r="I76" s="17"/>
      <c r="J76" s="17"/>
      <c r="K76" s="17"/>
      <c r="L76" s="17"/>
      <c r="M76" s="17"/>
      <c r="N76" s="17"/>
      <c r="O76" s="17"/>
      <c r="P76" s="17"/>
    </row>
    <row r="77" spans="8:16">
      <c r="H77" s="17"/>
      <c r="I77" s="17"/>
      <c r="J77" s="17"/>
      <c r="K77" s="17"/>
      <c r="L77" s="17"/>
      <c r="M77" s="17"/>
      <c r="N77" s="17"/>
      <c r="O77" s="17"/>
      <c r="P77" s="17"/>
    </row>
    <row r="78" spans="8:16">
      <c r="H78" s="17"/>
      <c r="I78" s="17"/>
      <c r="J78" s="17"/>
      <c r="K78" s="17"/>
      <c r="L78" s="17"/>
      <c r="M78" s="17"/>
      <c r="N78" s="17"/>
      <c r="O78" s="17"/>
      <c r="P78" s="17"/>
    </row>
    <row r="79" spans="8:16">
      <c r="H79" s="17"/>
      <c r="I79" s="17"/>
      <c r="J79" s="17"/>
      <c r="K79" s="17"/>
      <c r="L79" s="17"/>
      <c r="M79" s="17"/>
      <c r="N79" s="17"/>
      <c r="O79" s="17"/>
      <c r="P79" s="17"/>
    </row>
    <row r="80" spans="8:16">
      <c r="H80" s="17"/>
      <c r="I80" s="17"/>
      <c r="J80" s="17"/>
      <c r="K80" s="17"/>
      <c r="L80" s="17"/>
      <c r="M80" s="17"/>
      <c r="N80" s="17"/>
      <c r="O80" s="17"/>
      <c r="P80" s="17"/>
    </row>
    <row r="81" spans="8:16">
      <c r="H81" s="17"/>
      <c r="I81" s="17"/>
      <c r="J81" s="17"/>
      <c r="K81" s="17"/>
      <c r="L81" s="17"/>
      <c r="M81" s="17"/>
      <c r="N81" s="17"/>
      <c r="O81" s="17"/>
      <c r="P81" s="17"/>
    </row>
    <row r="82" spans="8:16">
      <c r="H82" s="17"/>
      <c r="I82" s="17"/>
      <c r="J82" s="17"/>
      <c r="K82" s="17"/>
      <c r="L82" s="17"/>
      <c r="M82" s="17"/>
      <c r="N82" s="17"/>
      <c r="O82" s="17"/>
      <c r="P82" s="17"/>
    </row>
    <row r="83" spans="8:16">
      <c r="H83" s="17"/>
      <c r="I83" s="17"/>
      <c r="J83" s="17"/>
      <c r="K83" s="17"/>
      <c r="L83" s="17"/>
      <c r="M83" s="17"/>
      <c r="N83" s="17"/>
      <c r="O83" s="17"/>
      <c r="P83" s="17"/>
    </row>
    <row r="84" spans="8:16">
      <c r="H84" s="17"/>
      <c r="I84" s="17"/>
      <c r="J84" s="17"/>
      <c r="K84" s="17"/>
      <c r="L84" s="17"/>
      <c r="M84" s="17"/>
      <c r="N84" s="17"/>
      <c r="O84" s="17"/>
      <c r="P84" s="17"/>
    </row>
    <row r="85" spans="8:16">
      <c r="H85" s="17"/>
      <c r="I85" s="17"/>
      <c r="J85" s="17"/>
      <c r="K85" s="17"/>
      <c r="L85" s="17"/>
      <c r="M85" s="17"/>
      <c r="N85" s="17"/>
      <c r="O85" s="17"/>
      <c r="P85" s="17"/>
    </row>
    <row r="86" spans="8:16">
      <c r="H86" s="17"/>
      <c r="I86" s="17"/>
      <c r="J86" s="17"/>
      <c r="K86" s="17"/>
      <c r="L86" s="17"/>
      <c r="M86" s="17"/>
      <c r="N86" s="17"/>
      <c r="O86" s="17"/>
      <c r="P86" s="17"/>
    </row>
    <row r="87" spans="8:16">
      <c r="H87" s="17"/>
      <c r="I87" s="17"/>
      <c r="J87" s="17"/>
      <c r="K87" s="17"/>
      <c r="L87" s="17"/>
      <c r="M87" s="17"/>
      <c r="N87" s="17"/>
      <c r="O87" s="17"/>
      <c r="P87" s="17"/>
    </row>
    <row r="88" spans="8:16">
      <c r="H88" s="17"/>
      <c r="I88" s="17"/>
      <c r="J88" s="17"/>
      <c r="K88" s="17"/>
      <c r="L88" s="17"/>
      <c r="M88" s="17"/>
      <c r="N88" s="17"/>
      <c r="O88" s="17"/>
      <c r="P88" s="17"/>
    </row>
    <row r="89" spans="8:16">
      <c r="H89" s="17"/>
      <c r="I89" s="17"/>
      <c r="J89" s="17"/>
      <c r="K89" s="17"/>
      <c r="L89" s="17"/>
      <c r="M89" s="17"/>
      <c r="N89" s="17"/>
      <c r="O89" s="17"/>
      <c r="P89" s="17"/>
    </row>
    <row r="90" spans="8:16">
      <c r="H90" s="17"/>
      <c r="I90" s="17"/>
      <c r="J90" s="17"/>
      <c r="K90" s="17"/>
      <c r="L90" s="17"/>
      <c r="M90" s="17"/>
      <c r="N90" s="17"/>
      <c r="O90" s="17"/>
      <c r="P90" s="17"/>
    </row>
    <row r="91" spans="8:16">
      <c r="H91" s="17"/>
      <c r="I91" s="17"/>
      <c r="J91" s="17"/>
      <c r="K91" s="17"/>
      <c r="L91" s="17"/>
      <c r="M91" s="17"/>
      <c r="N91" s="17"/>
      <c r="O91" s="17"/>
      <c r="P91" s="17"/>
    </row>
  </sheetData>
  <mergeCells count="2">
    <mergeCell ref="F12:K12"/>
    <mergeCell ref="L12:Q12"/>
  </mergeCells>
  <conditionalFormatting sqref="A5 A7">
    <cfRule type="expression" dxfId="61" priority="3">
      <formula>B4="For Sale"</formula>
    </cfRule>
  </conditionalFormatting>
  <conditionalFormatting sqref="B5">
    <cfRule type="expression" dxfId="60" priority="4">
      <formula>B4="For Sale"</formula>
    </cfRule>
  </conditionalFormatting>
  <conditionalFormatting sqref="A8:A11">
    <cfRule type="expression" dxfId="59" priority="2">
      <formula>COUNTIF($A$8:$A$9, A8)&gt;1</formula>
    </cfRule>
  </conditionalFormatting>
  <dataValidations count="6">
    <dataValidation type="list" allowBlank="1" showInputMessage="1" showErrorMessage="1" sqref="B2" xr:uid="{DC43FC0D-5E45-4FDD-B475-CD3E908F80C0}">
      <formula1>"Steam Methane Reforming, Biomass Gasification, Water Electrolysis"</formula1>
    </dataValidation>
    <dataValidation type="whole" allowBlank="1" showInputMessage="1" showErrorMessage="1" sqref="B3" xr:uid="{750E9A00-C884-48D5-99AA-F4CC8F93993A}">
      <formula1>0</formula1>
      <formula2>1000000</formula2>
    </dataValidation>
    <dataValidation type="list" allowBlank="1" showInputMessage="1" showErrorMessage="1" sqref="B4" xr:uid="{893FF678-2FD5-4D6B-85B9-099075821E0C}">
      <formula1>"For Sale, Downstream Process"</formula1>
    </dataValidation>
    <dataValidation type="list" allowBlank="1" showInputMessage="1" showErrorMessage="1" sqref="B5" xr:uid="{ECDF4991-17D4-4402-8957-6488C8A0C233}">
      <formula1>IF(AND(B4="Downstream Process", B2="Steam Methane Reforming"), SMR_DS,  IF(AND(B4="Downstream Process", B2="Biomass Gasification"), BMG_DS,  IF(AND(B4="Downstream Process", B2="Water Electrolysis"), WE_DS,  "")))</formula1>
    </dataValidation>
    <dataValidation type="list" allowBlank="1" showInputMessage="1" showErrorMessage="1" sqref="A8:A11" xr:uid="{94F48031-4578-4B35-A3A6-6C82A63FCE65}">
      <formula1>CleanProducts</formula1>
    </dataValidation>
    <dataValidation type="list" allowBlank="1" showInputMessage="1" showErrorMessage="1" sqref="B12" xr:uid="{854D0448-0D9C-4CBD-A656-2B919C915DB4}">
      <formula1>"Conventional Grid, Renewable Grid"</formula1>
    </dataValidation>
  </dataValidations>
  <pageMargins left="0.7" right="0.7" top="0.75" bottom="0.75" header="0.3" footer="0.3"/>
  <drawing r:id="rId1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E684ABC-0F5A-477D-93B0-C31EAA50F402}">
  <sheetPr codeName="Sheet15"/>
  <dimension ref="A1:AI100"/>
  <sheetViews>
    <sheetView workbookViewId="0">
      <selection activeCell="G27" sqref="G27"/>
    </sheetView>
  </sheetViews>
  <sheetFormatPr defaultRowHeight="14.4"/>
  <cols>
    <col min="1" max="1" width="21.77734375" bestFit="1" customWidth="1"/>
    <col min="2" max="2" width="18.33203125" bestFit="1" customWidth="1"/>
    <col min="3" max="3" width="18.109375" bestFit="1" customWidth="1"/>
    <col min="4" max="4" width="19.44140625" bestFit="1" customWidth="1"/>
    <col min="5" max="5" width="17.88671875" bestFit="1" customWidth="1"/>
  </cols>
  <sheetData>
    <row r="1" spans="1:35" s="231" customFormat="1" ht="16.2" thickBot="1">
      <c r="A1" s="332" t="s">
        <v>833</v>
      </c>
      <c r="B1" s="332"/>
      <c r="C1" s="332"/>
      <c r="D1" s="332"/>
      <c r="E1" s="332"/>
      <c r="F1" s="332"/>
      <c r="G1" s="332"/>
      <c r="H1" s="332"/>
      <c r="I1" s="332"/>
      <c r="J1" s="332"/>
      <c r="K1" s="332"/>
      <c r="L1" s="332"/>
    </row>
    <row r="2" spans="1:35" ht="15.6">
      <c r="A2" s="238" t="s">
        <v>704</v>
      </c>
      <c r="B2" s="239"/>
      <c r="C2" s="239"/>
      <c r="D2" s="239"/>
      <c r="E2" s="202"/>
      <c r="F2" s="237"/>
      <c r="G2" s="237"/>
      <c r="H2" s="237"/>
      <c r="I2" s="237"/>
      <c r="J2" s="237"/>
      <c r="K2" s="237"/>
      <c r="L2" s="237"/>
      <c r="M2" s="237"/>
      <c r="N2" s="237"/>
      <c r="O2" s="237"/>
      <c r="P2" s="237"/>
      <c r="Q2" s="237"/>
      <c r="R2" s="237"/>
      <c r="S2" s="237"/>
      <c r="T2" s="237"/>
      <c r="U2" s="237"/>
      <c r="V2" s="237"/>
      <c r="W2" s="237"/>
      <c r="X2" s="237"/>
      <c r="Y2" s="237"/>
      <c r="Z2" s="237"/>
      <c r="AA2" s="237"/>
      <c r="AB2" s="237"/>
      <c r="AC2" s="237"/>
      <c r="AD2" s="237"/>
      <c r="AE2" s="237"/>
      <c r="AF2" s="237"/>
      <c r="AG2" s="237"/>
      <c r="AH2" s="237"/>
      <c r="AI2" s="237"/>
    </row>
    <row r="3" spans="1:35">
      <c r="A3" s="240" t="s">
        <v>702</v>
      </c>
      <c r="B3" s="200" t="str">
        <f>'Algorithm Inputs'!B2</f>
        <v>Steam Methane Reforming</v>
      </c>
      <c r="C3" s="200"/>
      <c r="D3" s="200"/>
      <c r="E3" s="203"/>
      <c r="F3" s="237"/>
      <c r="G3" s="237"/>
      <c r="H3" s="237"/>
      <c r="I3" s="237"/>
      <c r="J3" s="237"/>
      <c r="K3" s="237"/>
      <c r="L3" s="237"/>
      <c r="M3" s="237"/>
      <c r="N3" s="237"/>
      <c r="O3" s="237"/>
      <c r="P3" s="237"/>
      <c r="Q3" s="237"/>
      <c r="R3" s="237"/>
      <c r="S3" s="237"/>
      <c r="T3" s="237"/>
      <c r="U3" s="237"/>
      <c r="V3" s="237"/>
      <c r="W3" s="237"/>
      <c r="X3" s="237"/>
      <c r="Y3" s="237"/>
      <c r="Z3" s="237"/>
      <c r="AA3" s="237"/>
      <c r="AB3" s="237"/>
      <c r="AC3" s="237"/>
      <c r="AD3" s="237"/>
      <c r="AE3" s="237"/>
      <c r="AF3" s="237"/>
      <c r="AG3" s="237"/>
      <c r="AH3" s="237"/>
      <c r="AI3" s="237"/>
    </row>
    <row r="4" spans="1:35">
      <c r="A4" s="240" t="s">
        <v>703</v>
      </c>
      <c r="B4" s="200" t="str">
        <f>'Algorithm Inputs'!B4</f>
        <v>For Sale</v>
      </c>
      <c r="C4" s="200">
        <f>'Algorithm Inputs'!B5</f>
        <v>0</v>
      </c>
      <c r="D4" s="200"/>
      <c r="E4" s="203"/>
      <c r="F4" s="237"/>
      <c r="G4" s="237"/>
      <c r="H4" s="237"/>
      <c r="I4" s="237"/>
      <c r="J4" s="237"/>
      <c r="K4" s="237"/>
      <c r="L4" s="237"/>
      <c r="M4" s="237"/>
      <c r="N4" s="237"/>
      <c r="O4" s="237"/>
      <c r="P4" s="237"/>
      <c r="Q4" s="237"/>
      <c r="R4" s="237"/>
      <c r="S4" s="237"/>
      <c r="T4" s="237"/>
      <c r="U4" s="237"/>
      <c r="V4" s="237"/>
      <c r="W4" s="237"/>
      <c r="X4" s="237"/>
      <c r="Y4" s="237"/>
      <c r="Z4" s="237"/>
      <c r="AA4" s="237"/>
      <c r="AB4" s="237"/>
      <c r="AC4" s="237"/>
      <c r="AD4" s="237"/>
      <c r="AE4" s="237"/>
      <c r="AF4" s="237"/>
      <c r="AG4" s="237"/>
      <c r="AH4" s="237"/>
      <c r="AI4" s="237"/>
    </row>
    <row r="5" spans="1:35">
      <c r="A5" s="241" t="s">
        <v>690</v>
      </c>
      <c r="B5" s="232" t="s">
        <v>488</v>
      </c>
      <c r="C5" s="232" t="s">
        <v>706</v>
      </c>
      <c r="D5" s="232" t="s">
        <v>692</v>
      </c>
      <c r="E5" s="242" t="s">
        <v>705</v>
      </c>
      <c r="F5" s="237"/>
      <c r="G5" s="237"/>
      <c r="H5" s="237"/>
      <c r="I5" s="237"/>
      <c r="J5" s="237"/>
      <c r="K5" s="237"/>
      <c r="L5" s="237"/>
      <c r="M5" s="237"/>
      <c r="N5" s="237"/>
      <c r="O5" s="237"/>
      <c r="P5" s="237"/>
      <c r="Q5" s="237"/>
      <c r="R5" s="237"/>
      <c r="S5" s="237"/>
      <c r="T5" s="237"/>
      <c r="U5" s="237"/>
      <c r="V5" s="237"/>
      <c r="W5" s="237"/>
      <c r="X5" s="237"/>
      <c r="Y5" s="237"/>
      <c r="Z5" s="237"/>
      <c r="AA5" s="237"/>
      <c r="AB5" s="237"/>
      <c r="AC5" s="237"/>
      <c r="AD5" s="237"/>
      <c r="AE5" s="237"/>
      <c r="AF5" s="237"/>
      <c r="AG5" s="237"/>
      <c r="AH5" s="237"/>
      <c r="AI5" s="237"/>
    </row>
    <row r="6" spans="1:35">
      <c r="A6" s="240" t="str">
        <f t="array" ref="A6">IFERROR(INDEX(MassBalance[Type], SMALL(
  IF(
    (
      ('Algorithm Inputs'!$B$4 = "Downstream Process") *
      ((MassBalance[PROCESS]='Algorithm Inputs'!$Z$2)*(MassBalance[Component]&lt;&gt;"Hydrogen (H2)")) +
      ('Algorithm Inputs'!$B$4 &lt;&gt; "Downstream Process") *
      (MassBalance[PROCESS]='Algorithm Inputs'!$Z$2) +
      (MassBalance[PROCESS]='Algorithm Inputs'!$Z$8)
    ) &gt; 0,
    ROW(MassBalance[Type]) - ROW(INDEX(MassBalance[Type],1,1)) + 1
  ),
  ROW(A1)
)), "")</f>
        <v>Reactant</v>
      </c>
      <c r="B6" s="200" t="str">
        <f t="array" ref="B6">IF(A6="", "", INDEX(MassBalance[Component], SMALL(
  IF(
    (
      ('Algorithm Inputs'!$B$4 = "Downstream Process") *
      ((MassBalance[PROCESS]='Algorithm Inputs'!$Z$2)*(MassBalance[Component]&lt;&gt;"Hydrogen (H2)")) +
      ('Algorithm Inputs'!$B$4 &lt;&gt; "Downstream Process") *
      (MassBalance[PROCESS]='Algorithm Inputs'!$Z$2) +
      (MassBalance[PROCESS]='Algorithm Inputs'!$Z$8)
    ) &gt; 0,
    ROW(MassBalance[Component]) - ROW(INDEX(MassBalance[Component],1,1)) + 1
  ),
  ROW(A1)
)))</f>
        <v>Natural Gas (CH4)</v>
      </c>
      <c r="C6" s="233">
        <f t="array" ref="C6">IF(B6="", "", INDEX(MassBalance[Flow per MTPA H2], SMALL(
  IF(
    (
      ('Algorithm Inputs'!$B$4 = "Downstream Process") *
      ((MassBalance[PROCESS]='Algorithm Inputs'!$Z$2)*(MassBalance[Component]&lt;&gt;"Hydrogen (H2)")) +
      ('Algorithm Inputs'!$B$4 &lt;&gt; "Downstream Process") *
      (MassBalance[PROCESS]='Algorithm Inputs'!$Z$2) +
      (MassBalance[PROCESS]='Algorithm Inputs'!$Z$8)
    ) &gt; 0,
    ROW(MassBalance[Flow per MTPA H2]) - ROW(INDEX(MassBalance[Flow per MTPA H2],1,1)) + 1
  ),
  ROW(A1)
)))</f>
        <v>3.6</v>
      </c>
      <c r="D6" s="200" t="str">
        <f t="array" ref="D6">IF(B6="", "", INDEX(MassBalance[Units], SMALL(
  IF(
    (
      ('Algorithm Inputs'!$B$4 = "Downstream Process") *
      ((MassBalance[PROCESS]='Algorithm Inputs'!$Z$2)*(MassBalance[Component]&lt;&gt;"Hydrogen (H2)")) +
      ('Algorithm Inputs'!$B$4 &lt;&gt; "Downstream Process") *
      (MassBalance[PROCESS]='Algorithm Inputs'!$Z$2) +
      (MassBalance[PROCESS]='Algorithm Inputs'!$Z$8)
    ) &gt; 0,
    ROW(MassBalance[Units]) - ROW(INDEX(MassBalance[Units],1,1)) + 1
  ),
  ROW(A1)
)))</f>
        <v>MT CH4/MT H2</v>
      </c>
      <c r="E6" s="243">
        <f t="array" ref="E6">IF(C6="", "", C6 * 'Algorithm Inputs'!$C$3)</f>
        <v>131400</v>
      </c>
      <c r="F6" s="237"/>
      <c r="G6" s="237"/>
      <c r="H6" s="237"/>
      <c r="I6" s="237"/>
      <c r="J6" s="237"/>
      <c r="K6" s="237"/>
      <c r="L6" s="237"/>
      <c r="M6" s="237"/>
      <c r="N6" s="237"/>
      <c r="O6" s="237"/>
      <c r="P6" s="237"/>
      <c r="Q6" s="237"/>
      <c r="R6" s="237"/>
      <c r="S6" s="237"/>
      <c r="T6" s="237"/>
      <c r="U6" s="237"/>
      <c r="V6" s="237"/>
      <c r="W6" s="237"/>
      <c r="X6" s="237"/>
      <c r="Y6" s="237"/>
      <c r="Z6" s="237"/>
      <c r="AA6" s="237"/>
      <c r="AB6" s="237"/>
      <c r="AC6" s="237"/>
      <c r="AD6" s="237"/>
      <c r="AE6" s="237"/>
      <c r="AF6" s="237"/>
      <c r="AG6" s="237"/>
      <c r="AH6" s="237"/>
      <c r="AI6" s="237"/>
    </row>
    <row r="7" spans="1:35">
      <c r="A7" s="240" t="str">
        <f t="array" ref="A7">IFERROR(INDEX(MassBalance[Type], SMALL(
  IF(
    (
      ('Algorithm Inputs'!$B$4 = "Downstream Process") *
      ((MassBalance[PROCESS]='Algorithm Inputs'!$Z$2)*(MassBalance[Component]&lt;&gt;"Hydrogen (H2)")) +
      ('Algorithm Inputs'!$B$4 &lt;&gt; "Downstream Process") *
      (MassBalance[PROCESS]='Algorithm Inputs'!$Z$2) +
      (MassBalance[PROCESS]='Algorithm Inputs'!$Z$8)
    ) &gt; 0,
    ROW(MassBalance[Type]) - ROW(INDEX(MassBalance[Type],1,1)) + 1
  ),
  ROW(A2)
)), "")</f>
        <v>Reactant</v>
      </c>
      <c r="B7" s="200" t="str">
        <f t="array" ref="B7">IF(A7="", "", INDEX(MassBalance[Component], SMALL(
  IF(
    (
      ('Algorithm Inputs'!$B$4 = "Downstream Process") *
      ((MassBalance[PROCESS]='Algorithm Inputs'!$Z$2)*(MassBalance[Component]&lt;&gt;"Hydrogen (H2)")) +
      ('Algorithm Inputs'!$B$4 &lt;&gt; "Downstream Process") *
      (MassBalance[PROCESS]='Algorithm Inputs'!$Z$2) +
      (MassBalance[PROCESS]='Algorithm Inputs'!$Z$8)
    ) &gt; 0,
    ROW(MassBalance[Component]) - ROW(INDEX(MassBalance[Component],1,1)) + 1
  ),
  ROW(A2)
)))</f>
        <v>Steam (H2O)</v>
      </c>
      <c r="C7" s="233">
        <f t="array" ref="C7">IF(B7="", "", INDEX(MassBalance[Flow per MTPA H2], SMALL(
  IF(
    (
      ('Algorithm Inputs'!$B$4 = "Downstream Process") *
      ((MassBalance[PROCESS]='Algorithm Inputs'!$Z$2)*(MassBalance[Component]&lt;&gt;"Hydrogen (H2)")) +
      ('Algorithm Inputs'!$B$4 &lt;&gt; "Downstream Process") *
      (MassBalance[PROCESS]='Algorithm Inputs'!$Z$2) +
      (MassBalance[PROCESS]='Algorithm Inputs'!$Z$8)
    ) &gt; 0,
    ROW(MassBalance[Flow per MTPA H2]) - ROW(INDEX(MassBalance[Flow per MTPA H2],1,1)) + 1
  ),
  ROW(A2)
)))</f>
        <v>7.2</v>
      </c>
      <c r="D7" s="200" t="str">
        <f t="array" ref="D7">IF(B7="", "", INDEX(MassBalance[Units], SMALL(
  IF(
    (
      ('Algorithm Inputs'!$B$4 = "Downstream Process") *
      ((MassBalance[PROCESS]='Algorithm Inputs'!$Z$2)*(MassBalance[Component]&lt;&gt;"Hydrogen (H2)")) +
      ('Algorithm Inputs'!$B$4 &lt;&gt; "Downstream Process") *
      (MassBalance[PROCESS]='Algorithm Inputs'!$Z$2) +
      (MassBalance[PROCESS]='Algorithm Inputs'!$Z$8)
    ) &gt; 0,
    ROW(MassBalance[Units]) - ROW(INDEX(MassBalance[Units],1,1)) + 1
  ),
  ROW(A2)
)))</f>
        <v>MT H2O/MT H2</v>
      </c>
      <c r="E7" s="243">
        <f t="array" ref="E7">IF(C7="", "", C7 * 'Algorithm Inputs'!$C$3)</f>
        <v>262800</v>
      </c>
      <c r="F7" s="237"/>
      <c r="G7" s="237"/>
      <c r="H7" s="237"/>
      <c r="I7" s="237"/>
      <c r="J7" s="237"/>
      <c r="K7" s="237"/>
      <c r="L7" s="237"/>
      <c r="M7" s="237"/>
      <c r="N7" s="237"/>
      <c r="O7" s="237"/>
      <c r="P7" s="237"/>
      <c r="Q7" s="237"/>
      <c r="R7" s="237"/>
      <c r="S7" s="237"/>
      <c r="T7" s="237"/>
      <c r="U7" s="237"/>
      <c r="V7" s="237"/>
      <c r="W7" s="237"/>
      <c r="X7" s="237"/>
      <c r="Y7" s="237"/>
      <c r="Z7" s="237"/>
      <c r="AA7" s="237"/>
      <c r="AB7" s="237"/>
      <c r="AC7" s="237"/>
      <c r="AD7" s="237"/>
      <c r="AE7" s="237"/>
      <c r="AF7" s="237"/>
      <c r="AG7" s="237"/>
      <c r="AH7" s="237"/>
      <c r="AI7" s="237"/>
    </row>
    <row r="8" spans="1:35">
      <c r="A8" s="240" t="str">
        <f t="array" ref="A8">IFERROR(INDEX(MassBalance[Type], SMALL(
  IF(
    (
      ('Algorithm Inputs'!$B$4 = "Downstream Process") *
      ((MassBalance[PROCESS]='Algorithm Inputs'!$Z$2)*(MassBalance[Component]&lt;&gt;"Hydrogen (H2)")) +
      ('Algorithm Inputs'!$B$4 &lt;&gt; "Downstream Process") *
      (MassBalance[PROCESS]='Algorithm Inputs'!$Z$2) +
      (MassBalance[PROCESS]='Algorithm Inputs'!$Z$8)
    ) &gt; 0,
    ROW(MassBalance[Type]) - ROW(INDEX(MassBalance[Type],1,1)) + 1
  ),
  ROW(A3)
)), "")</f>
        <v>Product</v>
      </c>
      <c r="B8" s="200" t="str">
        <f t="array" ref="B8">IF(A8="", "", INDEX(MassBalance[Component], SMALL(
  IF(
    (
      ('Algorithm Inputs'!$B$4 = "Downstream Process") *
      ((MassBalance[PROCESS]='Algorithm Inputs'!$Z$2)*(MassBalance[Component]&lt;&gt;"Hydrogen (H2)")) +
      ('Algorithm Inputs'!$B$4 &lt;&gt; "Downstream Process") *
      (MassBalance[PROCESS]='Algorithm Inputs'!$Z$2) +
      (MassBalance[PROCESS]='Algorithm Inputs'!$Z$8)
    ) &gt; 0,
    ROW(MassBalance[Component]) - ROW(INDEX(MassBalance[Component],1,1)) + 1
  ),
  ROW(A3)
)))</f>
        <v>Carbondioxide (CO2)</v>
      </c>
      <c r="C8" s="233">
        <f t="array" ref="C8">IF(B8="", "", INDEX(MassBalance[Flow per MTPA H2], SMALL(
  IF(
    (
      ('Algorithm Inputs'!$B$4 = "Downstream Process") *
      ((MassBalance[PROCESS]='Algorithm Inputs'!$Z$2)*(MassBalance[Component]&lt;&gt;"Hydrogen (H2)")) +
      ('Algorithm Inputs'!$B$4 &lt;&gt; "Downstream Process") *
      (MassBalance[PROCESS]='Algorithm Inputs'!$Z$2) +
      (MassBalance[PROCESS]='Algorithm Inputs'!$Z$8)
    ) &gt; 0,
    ROW(MassBalance[Flow per MTPA H2]) - ROW(INDEX(MassBalance[Flow per MTPA H2],1,1)) + 1
  ),
  ROW(A3)
)))</f>
        <v>5.7199199999999992</v>
      </c>
      <c r="D8" s="200" t="str">
        <f t="array" ref="D8">IF(B8="", "", INDEX(MassBalance[Units], SMALL(
  IF(
    (
      ('Algorithm Inputs'!$B$4 = "Downstream Process") *
      ((MassBalance[PROCESS]='Algorithm Inputs'!$Z$2)*(MassBalance[Component]&lt;&gt;"Hydrogen (H2)")) +
      ('Algorithm Inputs'!$B$4 &lt;&gt; "Downstream Process") *
      (MassBalance[PROCESS]='Algorithm Inputs'!$Z$2) +
      (MassBalance[PROCESS]='Algorithm Inputs'!$Z$8)
    ) &gt; 0,
    ROW(MassBalance[Units]) - ROW(INDEX(MassBalance[Units],1,1)) + 1
  ),
  ROW(A3)
)))</f>
        <v>MT CO2/MT H2</v>
      </c>
      <c r="E8" s="243">
        <f t="array" ref="E8">IF(C8="", "", C8 * 'Algorithm Inputs'!$C$3)</f>
        <v>208777.07999999996</v>
      </c>
      <c r="F8" s="237"/>
      <c r="G8" s="237"/>
      <c r="H8" s="237"/>
      <c r="I8" s="237"/>
      <c r="J8" s="237"/>
      <c r="K8" s="237"/>
      <c r="L8" s="237"/>
      <c r="M8" s="237"/>
      <c r="N8" s="237"/>
      <c r="O8" s="237"/>
      <c r="P8" s="237"/>
      <c r="Q8" s="237"/>
      <c r="R8" s="237"/>
      <c r="S8" s="237"/>
      <c r="T8" s="237"/>
      <c r="U8" s="237"/>
      <c r="V8" s="237"/>
      <c r="W8" s="237"/>
      <c r="X8" s="237"/>
      <c r="Y8" s="237"/>
      <c r="Z8" s="237"/>
      <c r="AA8" s="237"/>
      <c r="AB8" s="237"/>
      <c r="AC8" s="237"/>
      <c r="AD8" s="237"/>
      <c r="AE8" s="237"/>
      <c r="AF8" s="237"/>
      <c r="AG8" s="237"/>
      <c r="AH8" s="237"/>
      <c r="AI8" s="237"/>
    </row>
    <row r="9" spans="1:35">
      <c r="A9" s="240" t="str">
        <f t="array" ref="A9">IFERROR(INDEX(MassBalance[Type], SMALL(
  IF(
    (
      ('Algorithm Inputs'!$B$4 = "Downstream Process") *
      ((MassBalance[PROCESS]='Algorithm Inputs'!$Z$2)*(MassBalance[Component]&lt;&gt;"Hydrogen (H2)")) +
      ('Algorithm Inputs'!$B$4 &lt;&gt; "Downstream Process") *
      (MassBalance[PROCESS]='Algorithm Inputs'!$Z$2) +
      (MassBalance[PROCESS]='Algorithm Inputs'!$Z$8)
    ) &gt; 0,
    ROW(MassBalance[Type]) - ROW(INDEX(MassBalance[Type],1,1)) + 1
  ),
  ROW(A4)
)), "")</f>
        <v>Product</v>
      </c>
      <c r="B9" s="200" t="str">
        <f t="array" ref="B9">IF(A9="", "", INDEX(MassBalance[Component], SMALL(
  IF(
    (
      ('Algorithm Inputs'!$B$4 = "Downstream Process") *
      ((MassBalance[PROCESS]='Algorithm Inputs'!$Z$2)*(MassBalance[Component]&lt;&gt;"Hydrogen (H2)")) +
      ('Algorithm Inputs'!$B$4 &lt;&gt; "Downstream Process") *
      (MassBalance[PROCESS]='Algorithm Inputs'!$Z$2) +
      (MassBalance[PROCESS]='Algorithm Inputs'!$Z$8)
    ) &gt; 0,
    ROW(MassBalance[Component]) - ROW(INDEX(MassBalance[Component],1,1)) + 1
  ),
  ROW(A4)
)))</f>
        <v>Hydrogen (H2)</v>
      </c>
      <c r="C9" s="233">
        <f t="array" ref="C9">IF(B9="", "", INDEX(MassBalance[Flow per MTPA H2], SMALL(
  IF(
    (
      ('Algorithm Inputs'!$B$4 = "Downstream Process") *
      ((MassBalance[PROCESS]='Algorithm Inputs'!$Z$2)*(MassBalance[Component]&lt;&gt;"Hydrogen (H2)")) +
      ('Algorithm Inputs'!$B$4 &lt;&gt; "Downstream Process") *
      (MassBalance[PROCESS]='Algorithm Inputs'!$Z$2) +
      (MassBalance[PROCESS]='Algorithm Inputs'!$Z$8)
    ) &gt; 0,
    ROW(MassBalance[Flow per MTPA H2]) - ROW(INDEX(MassBalance[Flow per MTPA H2],1,1)) + 1
  ),
  ROW(A4)
)))</f>
        <v>1</v>
      </c>
      <c r="D9" s="200">
        <f t="array" ref="D9">IF(B9="", "", INDEX(MassBalance[Units], SMALL(
  IF(
    (
      ('Algorithm Inputs'!$B$4 = "Downstream Process") *
      ((MassBalance[PROCESS]='Algorithm Inputs'!$Z$2)*(MassBalance[Component]&lt;&gt;"Hydrogen (H2)")) +
      ('Algorithm Inputs'!$B$4 &lt;&gt; "Downstream Process") *
      (MassBalance[PROCESS]='Algorithm Inputs'!$Z$2) +
      (MassBalance[PROCESS]='Algorithm Inputs'!$Z$8)
    ) &gt; 0,
    ROW(MassBalance[Units]) - ROW(INDEX(MassBalance[Units],1,1)) + 1
  ),
  ROW(A4)
)))</f>
        <v>0</v>
      </c>
      <c r="E9" s="243">
        <f t="array" ref="E9">IF(C9="", "", C9 * 'Algorithm Inputs'!$C$3)</f>
        <v>36500</v>
      </c>
      <c r="F9" s="237"/>
      <c r="G9" s="237"/>
      <c r="H9" s="237"/>
      <c r="I9" s="237"/>
      <c r="J9" s="237"/>
      <c r="K9" s="237"/>
      <c r="L9" s="237"/>
      <c r="M9" s="237"/>
      <c r="N9" s="237"/>
      <c r="O9" s="237"/>
      <c r="P9" s="237"/>
      <c r="Q9" s="237"/>
      <c r="R9" s="237"/>
      <c r="S9" s="237"/>
      <c r="T9" s="237"/>
      <c r="U9" s="237"/>
      <c r="V9" s="237"/>
      <c r="W9" s="237"/>
      <c r="X9" s="237"/>
      <c r="Y9" s="237"/>
      <c r="Z9" s="237"/>
      <c r="AA9" s="237"/>
      <c r="AB9" s="237"/>
      <c r="AC9" s="237"/>
      <c r="AD9" s="237"/>
      <c r="AE9" s="237"/>
      <c r="AF9" s="237"/>
      <c r="AG9" s="237"/>
      <c r="AH9" s="237"/>
      <c r="AI9" s="237"/>
    </row>
    <row r="10" spans="1:35">
      <c r="A10" s="240" t="str">
        <f t="array" ref="A10">IFERROR(INDEX(MassBalance[Type], SMALL(
  IF(
    (
      ('Algorithm Inputs'!$B$4 = "Downstream Process") *
      ((MassBalance[PROCESS]='Algorithm Inputs'!$Z$2)*(MassBalance[Component]&lt;&gt;"Hydrogen (H2)")) +
      ('Algorithm Inputs'!$B$4 &lt;&gt; "Downstream Process") *
      (MassBalance[PROCESS]='Algorithm Inputs'!$Z$2) +
      (MassBalance[PROCESS]='Algorithm Inputs'!$Z$8)
    ) &gt; 0,
    ROW(MassBalance[Type]) - ROW(INDEX(MassBalance[Type],1,1)) + 1
  ),
  ROW(A5)
)), "")</f>
        <v/>
      </c>
      <c r="B10" s="200" t="str">
        <f t="array" ref="B10">IF(A10="", "", INDEX(MassBalance[Component], SMALL(
  IF(
    (
      ('Algorithm Inputs'!$B$4 = "Downstream Process") *
      ((MassBalance[PROCESS]='Algorithm Inputs'!$Z$2)*(MassBalance[Component]&lt;&gt;"Hydrogen (H2)")) +
      ('Algorithm Inputs'!$B$4 &lt;&gt; "Downstream Process") *
      (MassBalance[PROCESS]='Algorithm Inputs'!$Z$2) +
      (MassBalance[PROCESS]='Algorithm Inputs'!$Z$8)
    ) &gt; 0,
    ROW(MassBalance[Component]) - ROW(INDEX(MassBalance[Component],1,1)) + 1
  ),
  ROW(A5)
)))</f>
        <v/>
      </c>
      <c r="C10" s="233" t="str">
        <f t="array" ref="C10">IF(B10="", "", INDEX(MassBalance[Flow per MTPA H2], SMALL(
  IF(
    (
      ('Algorithm Inputs'!$B$4 = "Downstream Process") *
      ((MassBalance[PROCESS]='Algorithm Inputs'!$Z$2)*(MassBalance[Component]&lt;&gt;"Hydrogen (H2)")) +
      ('Algorithm Inputs'!$B$4 &lt;&gt; "Downstream Process") *
      (MassBalance[PROCESS]='Algorithm Inputs'!$Z$2) +
      (MassBalance[PROCESS]='Algorithm Inputs'!$Z$8)
    ) &gt; 0,
    ROW(MassBalance[Flow per MTPA H2]) - ROW(INDEX(MassBalance[Flow per MTPA H2],1,1)) + 1
  ),
  ROW(A5)
)))</f>
        <v/>
      </c>
      <c r="D10" s="200" t="str">
        <f t="array" ref="D10">IF(B10="", "", INDEX(MassBalance[Units], SMALL(
  IF(
    (
      ('Algorithm Inputs'!$B$4 = "Downstream Process") *
      ((MassBalance[PROCESS]='Algorithm Inputs'!$Z$2)*(MassBalance[Component]&lt;&gt;"Hydrogen (H2)")) +
      ('Algorithm Inputs'!$B$4 &lt;&gt; "Downstream Process") *
      (MassBalance[PROCESS]='Algorithm Inputs'!$Z$2) +
      (MassBalance[PROCESS]='Algorithm Inputs'!$Z$8)
    ) &gt; 0,
    ROW(MassBalance[Units]) - ROW(INDEX(MassBalance[Units],1,1)) + 1
  ),
  ROW(A5)
)))</f>
        <v/>
      </c>
      <c r="E10" s="243" t="str">
        <f t="array" ref="E10">IF(C10="", "", C10 * 'Algorithm Inputs'!$C$3)</f>
        <v/>
      </c>
      <c r="F10" s="237"/>
      <c r="G10" s="237"/>
      <c r="H10" s="237"/>
      <c r="I10" s="237"/>
      <c r="J10" s="237"/>
      <c r="K10" s="237"/>
      <c r="L10" s="237"/>
      <c r="M10" s="237"/>
      <c r="N10" s="237"/>
      <c r="O10" s="237"/>
      <c r="P10" s="237"/>
      <c r="Q10" s="237"/>
      <c r="R10" s="237"/>
      <c r="S10" s="237"/>
      <c r="T10" s="237"/>
      <c r="U10" s="237"/>
      <c r="V10" s="237"/>
      <c r="W10" s="237"/>
      <c r="X10" s="237"/>
      <c r="Y10" s="237"/>
      <c r="Z10" s="237"/>
      <c r="AA10" s="237"/>
      <c r="AB10" s="237"/>
      <c r="AC10" s="237"/>
      <c r="AD10" s="237"/>
      <c r="AE10" s="237"/>
      <c r="AF10" s="237"/>
      <c r="AG10" s="237"/>
      <c r="AH10" s="237"/>
      <c r="AI10" s="237"/>
    </row>
    <row r="11" spans="1:35" ht="15" thickBot="1">
      <c r="A11" s="244" t="str">
        <f t="array" ref="A11">IFERROR(INDEX(MassBalance[Type], SMALL(
  IF(
    (
      ('Algorithm Inputs'!$B$4 = "Downstream Process") *
      ((MassBalance[PROCESS]='Algorithm Inputs'!$Z$2)*(MassBalance[Component]&lt;&gt;"Hydrogen (H2)")) +
      ('Algorithm Inputs'!$B$4 &lt;&gt; "Downstream Process") *
      (MassBalance[PROCESS]='Algorithm Inputs'!$Z$2) +
      (MassBalance[PROCESS]='Algorithm Inputs'!$Z$8)
    ) &gt; 0,
    ROW(MassBalance[Type]) - ROW(INDEX(MassBalance[Type],1,1)) + 1
  ),
  ROW(A6)
)), "")</f>
        <v/>
      </c>
      <c r="B11" s="245" t="str">
        <f t="array" ref="B11">IF(A11="", "", INDEX(MassBalance[Component], SMALL(
  IF(
    (
      ('Algorithm Inputs'!$B$4 = "Downstream Process") *
      ((MassBalance[PROCESS]='Algorithm Inputs'!$Z$2)*(MassBalance[Component]&lt;&gt;"Hydrogen (H2)")) +
      ('Algorithm Inputs'!$B$4 &lt;&gt; "Downstream Process") *
      (MassBalance[PROCESS]='Algorithm Inputs'!$Z$2) +
      (MassBalance[PROCESS]='Algorithm Inputs'!$Z$8)
    ) &gt; 0,
    ROW(MassBalance[Component]) - ROW(INDEX(MassBalance[Component],1,1)) + 1
  ),
  ROW(A6)
)))</f>
        <v/>
      </c>
      <c r="C11" s="246" t="str">
        <f t="array" ref="C11">IF(B11="", "", INDEX(MassBalance[Flow per MTPA H2], SMALL(
  IF(
    (
      ('Algorithm Inputs'!$B$4 = "Downstream Process") *
      ((MassBalance[PROCESS]='Algorithm Inputs'!$Z$2)*(MassBalance[Component]&lt;&gt;"Hydrogen (H2)")) +
      ('Algorithm Inputs'!$B$4 &lt;&gt; "Downstream Process") *
      (MassBalance[PROCESS]='Algorithm Inputs'!$Z$2) +
      (MassBalance[PROCESS]='Algorithm Inputs'!$Z$8)
    ) &gt; 0,
    ROW(MassBalance[Flow per MTPA H2]) - ROW(INDEX(MassBalance[Flow per MTPA H2],1,1)) + 1
  ),
  ROW(A6)
)))</f>
        <v/>
      </c>
      <c r="D11" s="245" t="str">
        <f t="array" ref="D11">IF(B11="", "", INDEX(MassBalance[Units], SMALL(
  IF(
    (
      ('Algorithm Inputs'!$B$4 = "Downstream Process") *
      ((MassBalance[PROCESS]='Algorithm Inputs'!$Z$2)*(MassBalance[Component]&lt;&gt;"Hydrogen (H2)")) +
      ('Algorithm Inputs'!$B$4 &lt;&gt; "Downstream Process") *
      (MassBalance[PROCESS]='Algorithm Inputs'!$Z$2) +
      (MassBalance[PROCESS]='Algorithm Inputs'!$Z$8)
    ) &gt; 0,
    ROW(MassBalance[Units]) - ROW(INDEX(MassBalance[Units],1,1)) + 1
  ),
  ROW(A6)
)))</f>
        <v/>
      </c>
      <c r="E11" s="247" t="str">
        <f t="array" ref="E11">IF(C11="", "", C11 * 'Algorithm Inputs'!$C$3)</f>
        <v/>
      </c>
      <c r="F11" s="237"/>
      <c r="G11" s="237"/>
      <c r="H11" s="237"/>
      <c r="I11" s="237"/>
      <c r="J11" s="237"/>
      <c r="K11" s="237"/>
      <c r="L11" s="237"/>
      <c r="M11" s="237"/>
      <c r="N11" s="237"/>
      <c r="O11" s="237"/>
      <c r="P11" s="237"/>
      <c r="Q11" s="237"/>
      <c r="R11" s="237"/>
      <c r="S11" s="237"/>
      <c r="T11" s="237"/>
      <c r="U11" s="237"/>
      <c r="V11" s="237"/>
      <c r="W11" s="237"/>
      <c r="X11" s="237"/>
      <c r="Y11" s="237"/>
      <c r="Z11" s="237"/>
      <c r="AA11" s="237"/>
      <c r="AB11" s="237"/>
      <c r="AC11" s="237"/>
      <c r="AD11" s="237"/>
      <c r="AE11" s="237"/>
      <c r="AF11" s="237"/>
      <c r="AG11" s="237"/>
      <c r="AH11" s="237"/>
      <c r="AI11" s="237"/>
    </row>
    <row r="12" spans="1:35">
      <c r="A12" s="201" t="str">
        <f t="array" ref="A12">IFERROR(INDEX(MassBalance[Type], SMALL(
  IF(
    (
      ('Algorithm Inputs'!$B$4 = "Downstream Process") *
      ((MassBalance[PROCESS]='Algorithm Inputs'!$Z$2)*(MassBalance[Component]&lt;&gt;"Hydrogen (H2)")) +
      ('Algorithm Inputs'!$B$4 &lt;&gt; "Downstream Process") *
      (MassBalance[PROCESS]='Algorithm Inputs'!$Z$2) +
      (MassBalance[PROCESS]='Algorithm Inputs'!$Z$8)
    ) &gt; 0,
    ROW(MassBalance[Type]) - ROW(INDEX(MassBalance[Type],1,1)) + 1
  ),
  ROW(A7)
)), "")</f>
        <v/>
      </c>
      <c r="B12" s="201" t="str">
        <f t="array" ref="B12">IF(A12="", "", INDEX(MassBalance[Component], SMALL(
  IF(
    (
      ('Algorithm Inputs'!$B$4 = "Downstream Process") *
      ((MassBalance[PROCESS]='Algorithm Inputs'!$Z$2)*(MassBalance[Component]&lt;&gt;"Hydrogen (H2)")) +
      ('Algorithm Inputs'!$B$4 &lt;&gt; "Downstream Process") *
      (MassBalance[PROCESS]='Algorithm Inputs'!$Z$2) +
      (MassBalance[PROCESS]='Algorithm Inputs'!$Z$8)
    ) &gt; 0,
    ROW(MassBalance[Component]) - ROW(INDEX(MassBalance[Component],1,1)) + 1
  ),
  ROW(A7)
)))</f>
        <v/>
      </c>
      <c r="C12" s="235" t="str">
        <f t="array" ref="C12">IF(B12="", "", INDEX(MassBalance[Flow per MTPA H2], SMALL(
  IF(
    (
      ('Algorithm Inputs'!$B$4 = "Downstream Process") *
      ((MassBalance[PROCESS]='Algorithm Inputs'!$Z$2)*(MassBalance[Component]&lt;&gt;"Hydrogen (H2)")) +
      ('Algorithm Inputs'!$B$4 &lt;&gt; "Downstream Process") *
      (MassBalance[PROCESS]='Algorithm Inputs'!$Z$2) +
      (MassBalance[PROCESS]='Algorithm Inputs'!$Z$8)
    ) &gt; 0,
    ROW(MassBalance[Flow per MTPA H2]) - ROW(INDEX(MassBalance[Flow per MTPA H2],1,1)) + 1
  ),
  ROW(A7)
)))</f>
        <v/>
      </c>
      <c r="D12" s="201" t="str">
        <f t="array" ref="D12">IF(B12="", "", INDEX(MassBalance[Units], SMALL(
  IF(
    (
      ('Algorithm Inputs'!$B$4 = "Downstream Process") *
      ((MassBalance[PROCESS]='Algorithm Inputs'!$Z$2)*(MassBalance[Component]&lt;&gt;"Hydrogen (H2)")) +
      ('Algorithm Inputs'!$B$4 &lt;&gt; "Downstream Process") *
      (MassBalance[PROCESS]='Algorithm Inputs'!$Z$2) +
      (MassBalance[PROCESS]='Algorithm Inputs'!$Z$8)
    ) &gt; 0,
    ROW(MassBalance[Units]) - ROW(INDEX(MassBalance[Units],1,1)) + 1
  ),
  ROW(A7)
)))</f>
        <v/>
      </c>
      <c r="E12" s="235" t="str">
        <f t="array" ref="E12">IF(C12="", "", C12 * 'Algorithm Inputs'!$C$3)</f>
        <v/>
      </c>
      <c r="F12" s="237"/>
      <c r="G12" s="237"/>
      <c r="H12" s="237"/>
      <c r="I12" s="237"/>
      <c r="J12" s="237"/>
      <c r="K12" s="237"/>
      <c r="L12" s="237"/>
      <c r="M12" s="237"/>
      <c r="N12" s="237"/>
      <c r="O12" s="237"/>
      <c r="P12" s="237"/>
      <c r="Q12" s="237"/>
      <c r="R12" s="237"/>
      <c r="S12" s="237"/>
      <c r="T12" s="237"/>
      <c r="U12" s="237"/>
      <c r="V12" s="237"/>
      <c r="W12" s="237"/>
      <c r="X12" s="237"/>
      <c r="Y12" s="237"/>
      <c r="Z12" s="237"/>
      <c r="AA12" s="237"/>
      <c r="AB12" s="237"/>
      <c r="AC12" s="237"/>
      <c r="AD12" s="237"/>
      <c r="AE12" s="237"/>
      <c r="AF12" s="237"/>
      <c r="AG12" s="237"/>
      <c r="AH12" s="237"/>
      <c r="AI12" s="237"/>
    </row>
    <row r="13" spans="1:35">
      <c r="A13" s="201" t="str">
        <f t="array" ref="A13">IFERROR(INDEX(MassBalance[Type], SMALL(
  IF(
    (
      ('Algorithm Inputs'!$B$4 = "Downstream Process") *
      ((MassBalance[PROCESS]='Algorithm Inputs'!$Z$2)*(MassBalance[Component]&lt;&gt;"Hydrogen (H2)")) +
      ('Algorithm Inputs'!$B$4 &lt;&gt; "Downstream Process") *
      (MassBalance[PROCESS]='Algorithm Inputs'!$Z$2) +
      (MassBalance[PROCESS]='Algorithm Inputs'!$Z$8)
    ) &gt; 0,
    ROW(MassBalance[Type]) - ROW(INDEX(MassBalance[Type],1,1)) + 1
  ),
  ROW(A8)
)), "")</f>
        <v/>
      </c>
      <c r="B13" s="201" t="str">
        <f t="array" ref="B13">IF(A13="", "", INDEX(MassBalance[Component], SMALL(
  IF(
    (
      ('Algorithm Inputs'!$B$4 = "Downstream Process") *
      ((MassBalance[PROCESS]='Algorithm Inputs'!$Z$2)*(MassBalance[Component]&lt;&gt;"Hydrogen (H2)")) +
      ('Algorithm Inputs'!$B$4 &lt;&gt; "Downstream Process") *
      (MassBalance[PROCESS]='Algorithm Inputs'!$Z$2) +
      (MassBalance[PROCESS]='Algorithm Inputs'!$Z$8)
    ) &gt; 0,
    ROW(MassBalance[Component]) - ROW(INDEX(MassBalance[Component],1,1)) + 1
  ),
  ROW(A8)
)))</f>
        <v/>
      </c>
      <c r="C13" s="235" t="str">
        <f t="array" ref="C13">IF(B13="", "", INDEX(MassBalance[Flow per MTPA H2], SMALL(
  IF(
    (
      ('Algorithm Inputs'!$B$4 = "Downstream Process") *
      ((MassBalance[PROCESS]='Algorithm Inputs'!$Z$2)*(MassBalance[Component]&lt;&gt;"Hydrogen (H2)")) +
      ('Algorithm Inputs'!$B$4 &lt;&gt; "Downstream Process") *
      (MassBalance[PROCESS]='Algorithm Inputs'!$Z$2) +
      (MassBalance[PROCESS]='Algorithm Inputs'!$Z$8)
    ) &gt; 0,
    ROW(MassBalance[Flow per MTPA H2]) - ROW(INDEX(MassBalance[Flow per MTPA H2],1,1)) + 1
  ),
  ROW(A8)
)))</f>
        <v/>
      </c>
      <c r="D13" s="201" t="str">
        <f t="array" ref="D13">IF(B13="", "", INDEX(MassBalance[Units], SMALL(
  IF(
    (
      ('Algorithm Inputs'!$B$4 = "Downstream Process") *
      ((MassBalance[PROCESS]='Algorithm Inputs'!$Z$2)*(MassBalance[Component]&lt;&gt;"Hydrogen (H2)")) +
      ('Algorithm Inputs'!$B$4 &lt;&gt; "Downstream Process") *
      (MassBalance[PROCESS]='Algorithm Inputs'!$Z$2) +
      (MassBalance[PROCESS]='Algorithm Inputs'!$Z$8)
    ) &gt; 0,
    ROW(MassBalance[Units]) - ROW(INDEX(MassBalance[Units],1,1)) + 1
  ),
  ROW(A8)
)))</f>
        <v/>
      </c>
      <c r="E13" s="235" t="str">
        <f t="array" ref="E13">IF(C13="", "", C13 * 'Algorithm Inputs'!$C$3)</f>
        <v/>
      </c>
      <c r="F13" s="237"/>
      <c r="G13" s="237"/>
      <c r="H13" s="237"/>
      <c r="I13" s="237"/>
      <c r="J13" s="237"/>
      <c r="K13" s="237"/>
      <c r="L13" s="237"/>
      <c r="M13" s="237"/>
      <c r="N13" s="237"/>
      <c r="O13" s="237"/>
      <c r="P13" s="237"/>
      <c r="Q13" s="237"/>
      <c r="R13" s="237"/>
      <c r="S13" s="237"/>
      <c r="T13" s="237"/>
      <c r="U13" s="237"/>
      <c r="V13" s="237"/>
      <c r="W13" s="237"/>
      <c r="X13" s="237"/>
      <c r="Y13" s="237"/>
      <c r="Z13" s="237"/>
      <c r="AA13" s="237"/>
      <c r="AB13" s="237"/>
      <c r="AC13" s="237"/>
      <c r="AD13" s="237"/>
      <c r="AE13" s="237"/>
      <c r="AF13" s="237"/>
      <c r="AG13" s="237"/>
      <c r="AH13" s="237"/>
      <c r="AI13" s="237"/>
    </row>
    <row r="14" spans="1:35">
      <c r="A14" s="201" t="str">
        <f t="array" ref="A14">IFERROR(INDEX(MassBalance[Type], SMALL(
  IF(
    (
      ('Algorithm Inputs'!$B$4 = "Downstream Process") *
      ((MassBalance[PROCESS]='Algorithm Inputs'!$Z$2)*(MassBalance[Component]&lt;&gt;"Hydrogen (H2)")) +
      ('Algorithm Inputs'!$B$4 &lt;&gt; "Downstream Process") *
      (MassBalance[PROCESS]='Algorithm Inputs'!$Z$2) +
      (MassBalance[PROCESS]='Algorithm Inputs'!$Z$8)
    ) &gt; 0,
    ROW(MassBalance[Type]) - ROW(INDEX(MassBalance[Type],1,1)) + 1
  ),
  ROW(A9)
)), "")</f>
        <v/>
      </c>
      <c r="B14" s="201" t="str">
        <f t="array" ref="B14">IF(A14="", "", INDEX(MassBalance[Component], SMALL(
  IF(
    (
      ('Algorithm Inputs'!$B$4 = "Downstream Process") *
      ((MassBalance[PROCESS]='Algorithm Inputs'!$Z$2)*(MassBalance[Component]&lt;&gt;"Hydrogen (H2)")) +
      ('Algorithm Inputs'!$B$4 &lt;&gt; "Downstream Process") *
      (MassBalance[PROCESS]='Algorithm Inputs'!$Z$2) +
      (MassBalance[PROCESS]='Algorithm Inputs'!$Z$8)
    ) &gt; 0,
    ROW(MassBalance[Component]) - ROW(INDEX(MassBalance[Component],1,1)) + 1
  ),
  ROW(A9)
)))</f>
        <v/>
      </c>
      <c r="C14" s="235" t="str">
        <f t="array" ref="C14">IF(B14="", "", INDEX(MassBalance[Flow per MTPA H2], SMALL(
  IF(
    (
      ('Algorithm Inputs'!$B$4 = "Downstream Process") *
      ((MassBalance[PROCESS]='Algorithm Inputs'!$Z$2)*(MassBalance[Component]&lt;&gt;"Hydrogen (H2)")) +
      ('Algorithm Inputs'!$B$4 &lt;&gt; "Downstream Process") *
      (MassBalance[PROCESS]='Algorithm Inputs'!$Z$2) +
      (MassBalance[PROCESS]='Algorithm Inputs'!$Z$8)
    ) &gt; 0,
    ROW(MassBalance[Flow per MTPA H2]) - ROW(INDEX(MassBalance[Flow per MTPA H2],1,1)) + 1
  ),
  ROW(A9)
)))</f>
        <v/>
      </c>
      <c r="D14" s="201" t="str">
        <f t="array" ref="D14">IF(B14="", "", INDEX(MassBalance[Units], SMALL(
  IF(
    (
      ('Algorithm Inputs'!$B$4 = "Downstream Process") *
      ((MassBalance[PROCESS]='Algorithm Inputs'!$Z$2)*(MassBalance[Component]&lt;&gt;"Hydrogen (H2)")) +
      ('Algorithm Inputs'!$B$4 &lt;&gt; "Downstream Process") *
      (MassBalance[PROCESS]='Algorithm Inputs'!$Z$2) +
      (MassBalance[PROCESS]='Algorithm Inputs'!$Z$8)
    ) &gt; 0,
    ROW(MassBalance[Units]) - ROW(INDEX(MassBalance[Units],1,1)) + 1
  ),
  ROW(A9)
)))</f>
        <v/>
      </c>
      <c r="E14" s="235" t="str">
        <f t="array" ref="E14">IF(C14="", "", C14 * 'Algorithm Inputs'!$C$3)</f>
        <v/>
      </c>
      <c r="F14" s="237"/>
      <c r="G14" s="237"/>
      <c r="H14" s="237"/>
      <c r="I14" s="237"/>
      <c r="J14" s="237"/>
      <c r="K14" s="237"/>
      <c r="L14" s="237"/>
      <c r="M14" s="237"/>
      <c r="N14" s="237"/>
      <c r="O14" s="237"/>
      <c r="P14" s="237"/>
      <c r="Q14" s="237"/>
      <c r="R14" s="237"/>
      <c r="S14" s="237"/>
      <c r="T14" s="237"/>
      <c r="U14" s="237"/>
      <c r="V14" s="237"/>
      <c r="W14" s="237"/>
      <c r="X14" s="237"/>
      <c r="Y14" s="237"/>
      <c r="Z14" s="237"/>
      <c r="AA14" s="237"/>
      <c r="AB14" s="237"/>
      <c r="AC14" s="237"/>
      <c r="AD14" s="237"/>
      <c r="AE14" s="237"/>
      <c r="AF14" s="237"/>
      <c r="AG14" s="237"/>
      <c r="AH14" s="237"/>
      <c r="AI14" s="237"/>
    </row>
    <row r="15" spans="1:35">
      <c r="A15" s="201"/>
      <c r="B15" s="201"/>
      <c r="C15" s="235"/>
      <c r="D15" s="236"/>
      <c r="E15" s="235"/>
      <c r="F15" s="237"/>
      <c r="G15" s="237"/>
      <c r="H15" s="237"/>
      <c r="I15" s="237"/>
      <c r="J15" s="237"/>
      <c r="K15" s="237"/>
      <c r="L15" s="237"/>
      <c r="M15" s="237"/>
      <c r="N15" s="237"/>
      <c r="O15" s="237"/>
      <c r="P15" s="237"/>
      <c r="Q15" s="237"/>
      <c r="R15" s="237"/>
      <c r="S15" s="237"/>
      <c r="T15" s="237"/>
      <c r="U15" s="237"/>
      <c r="V15" s="237"/>
      <c r="W15" s="237"/>
      <c r="X15" s="237"/>
      <c r="Y15" s="237"/>
      <c r="Z15" s="237"/>
      <c r="AA15" s="237"/>
      <c r="AB15" s="237"/>
      <c r="AC15" s="237"/>
      <c r="AD15" s="237"/>
      <c r="AE15" s="237"/>
      <c r="AF15" s="237"/>
      <c r="AG15" s="237"/>
      <c r="AH15" s="237"/>
      <c r="AI15" s="237"/>
    </row>
    <row r="16" spans="1:35">
      <c r="A16" s="201"/>
      <c r="B16" s="201"/>
      <c r="C16" s="235"/>
      <c r="D16" s="201"/>
      <c r="E16" s="235"/>
      <c r="F16" s="237"/>
      <c r="G16" s="237"/>
      <c r="H16" s="237"/>
      <c r="I16" s="237"/>
      <c r="J16" s="237"/>
      <c r="K16" s="237"/>
      <c r="L16" s="237"/>
      <c r="M16" s="237"/>
      <c r="N16" s="237"/>
      <c r="O16" s="237"/>
      <c r="P16" s="237"/>
      <c r="Q16" s="237"/>
      <c r="R16" s="237"/>
      <c r="S16" s="237"/>
      <c r="T16" s="237"/>
      <c r="U16" s="237"/>
      <c r="V16" s="237"/>
      <c r="W16" s="237"/>
      <c r="X16" s="237"/>
      <c r="Y16" s="237"/>
      <c r="Z16" s="237"/>
      <c r="AA16" s="237"/>
      <c r="AB16" s="237"/>
      <c r="AC16" s="237"/>
      <c r="AD16" s="237"/>
      <c r="AE16" s="237"/>
      <c r="AF16" s="237"/>
      <c r="AG16" s="237"/>
      <c r="AH16" s="237"/>
      <c r="AI16" s="237"/>
    </row>
    <row r="17" spans="1:35">
      <c r="A17" s="201"/>
      <c r="B17" s="201"/>
      <c r="C17" s="235"/>
      <c r="D17" s="201"/>
      <c r="E17" s="235" t="str">
        <f>IF(C17="", "", C17 * 'Algorithm Inputs'!$C$3)</f>
        <v/>
      </c>
      <c r="F17" s="237"/>
      <c r="G17" s="237"/>
      <c r="H17" s="237"/>
      <c r="I17" s="237"/>
      <c r="J17" s="237"/>
      <c r="K17" s="237"/>
      <c r="L17" s="237"/>
      <c r="M17" s="237"/>
      <c r="N17" s="237"/>
      <c r="O17" s="237"/>
      <c r="P17" s="237"/>
      <c r="Q17" s="237"/>
      <c r="R17" s="237"/>
      <c r="S17" s="237"/>
      <c r="T17" s="237"/>
      <c r="U17" s="237"/>
      <c r="V17" s="237"/>
      <c r="W17" s="237"/>
      <c r="X17" s="237"/>
      <c r="Y17" s="237"/>
      <c r="Z17" s="237"/>
      <c r="AA17" s="237"/>
      <c r="AB17" s="237"/>
      <c r="AC17" s="237"/>
      <c r="AD17" s="237"/>
      <c r="AE17" s="237"/>
      <c r="AF17" s="237"/>
      <c r="AG17" s="237"/>
      <c r="AH17" s="237"/>
      <c r="AI17" s="237"/>
    </row>
    <row r="18" spans="1:35">
      <c r="A18" s="201"/>
      <c r="B18" s="201"/>
      <c r="C18" s="235"/>
      <c r="D18" s="201"/>
      <c r="E18" s="235" t="str">
        <f>IF(C18="", "", C18 * 'Algorithm Inputs'!$C$3)</f>
        <v/>
      </c>
      <c r="F18" s="237"/>
      <c r="G18" s="237"/>
      <c r="H18" s="237"/>
      <c r="I18" s="237"/>
      <c r="J18" s="237"/>
      <c r="K18" s="237"/>
      <c r="L18" s="237"/>
      <c r="M18" s="237"/>
      <c r="N18" s="237"/>
      <c r="O18" s="237"/>
      <c r="P18" s="237"/>
      <c r="Q18" s="237"/>
      <c r="R18" s="237"/>
      <c r="S18" s="237"/>
      <c r="T18" s="237"/>
      <c r="U18" s="237"/>
      <c r="V18" s="237"/>
      <c r="W18" s="237"/>
      <c r="X18" s="237"/>
      <c r="Y18" s="237"/>
      <c r="Z18" s="237"/>
      <c r="AA18" s="237"/>
      <c r="AB18" s="237"/>
      <c r="AC18" s="237"/>
      <c r="AD18" s="237"/>
      <c r="AE18" s="237"/>
      <c r="AF18" s="237"/>
      <c r="AG18" s="237"/>
      <c r="AH18" s="237"/>
      <c r="AI18" s="237"/>
    </row>
    <row r="19" spans="1:35">
      <c r="A19" s="201"/>
      <c r="B19" s="201"/>
      <c r="C19" s="235"/>
      <c r="D19" s="201"/>
      <c r="E19" s="235" t="str">
        <f>IF(C19="","", C19 * 'Algorithm Inputs'!$C$3)</f>
        <v/>
      </c>
      <c r="F19" s="237"/>
      <c r="G19" s="237"/>
      <c r="H19" s="237"/>
      <c r="I19" s="237"/>
      <c r="J19" s="237"/>
      <c r="K19" s="237"/>
      <c r="L19" s="237"/>
      <c r="M19" s="237"/>
      <c r="N19" s="237"/>
      <c r="O19" s="237"/>
      <c r="P19" s="237"/>
      <c r="Q19" s="237"/>
      <c r="R19" s="237"/>
      <c r="S19" s="237"/>
      <c r="T19" s="237"/>
      <c r="U19" s="237"/>
      <c r="V19" s="237"/>
      <c r="W19" s="237"/>
      <c r="X19" s="237"/>
      <c r="Y19" s="237"/>
      <c r="Z19" s="237"/>
      <c r="AA19" s="237"/>
      <c r="AB19" s="237"/>
      <c r="AC19" s="237"/>
      <c r="AD19" s="237"/>
      <c r="AE19" s="237"/>
      <c r="AF19" s="237"/>
      <c r="AG19" s="237"/>
      <c r="AH19" s="237"/>
      <c r="AI19" s="237"/>
    </row>
    <row r="20" spans="1:35" ht="15" thickBot="1">
      <c r="A20" s="201" t="str">
        <f t="array" ref="A20">IFERROR(INDEX(MassBalance[Type], SMALL(IF(TRIM(CLEAN(MassBalance[PROCESS])) = TRIM(CLEAN('Algorithm Inputs'!$Z$2)), ROW(MassBalance[Type]) - ROW(INDEX(MassBalance[Type],1,1)) + 1), ROW(A16))), "")</f>
        <v/>
      </c>
      <c r="B20" s="201" t="str">
        <f t="array" ref="B20">IF(A20="","", INDEX(MassBalance[Component], SMALL(IF(TRIM(CLEAN(MassBalance[PROCESS])) = TRIM(CLEAN('Algorithm Inputs'!$Z$2)), ROW(MassBalance[Component]) - ROW(INDEX(MassBalance[Component],1,1)) + 1), ROW(A16))))</f>
        <v/>
      </c>
      <c r="C20" s="235" t="str">
        <f t="array" ref="C20">IF(B20="","", INDEX(MassBalance[Flow per MTPA H2], SMALL(IF(TRIM(CLEAN(MassBalance[PROCESS])) = TRIM(CLEAN('Algorithm Inputs'!$Z$2)), ROW(MassBalance[Flow per MTPA H2]) - ROW(INDEX(MassBalance[Flow per MTPA H2],1,1)) + 1), ROW(A16))))</f>
        <v/>
      </c>
      <c r="D20" s="201" t="str">
        <f t="array" ref="D20">IF(B20="","", INDEX(MassBalance[Units], SMALL(IF(TRIM(CLEAN(MassBalance[PROCESS])) = TRIM(CLEAN('Algorithm Inputs'!$Z$2)), ROW(MassBalance[Units]) - ROW(INDEX(MassBalance[Units],1,1)) + 1), ROW(A16))))</f>
        <v/>
      </c>
      <c r="E20" s="235" t="str">
        <f>IF(C20="","", C20 * 'Algorithm Inputs'!$C$3)</f>
        <v/>
      </c>
      <c r="F20" s="237"/>
      <c r="G20" s="237"/>
      <c r="H20" s="237"/>
      <c r="I20" s="237"/>
      <c r="J20" s="237"/>
      <c r="K20" s="237"/>
      <c r="L20" s="237"/>
      <c r="M20" s="237"/>
      <c r="N20" s="237"/>
      <c r="O20" s="237"/>
      <c r="P20" s="237"/>
      <c r="Q20" s="237"/>
      <c r="R20" s="237"/>
      <c r="S20" s="237"/>
      <c r="T20" s="237"/>
      <c r="U20" s="237"/>
      <c r="V20" s="237"/>
      <c r="W20" s="237"/>
      <c r="X20" s="237"/>
      <c r="Y20" s="237"/>
      <c r="Z20" s="237"/>
      <c r="AA20" s="237"/>
      <c r="AB20" s="237"/>
      <c r="AC20" s="237"/>
      <c r="AD20" s="237"/>
      <c r="AE20" s="237"/>
      <c r="AF20" s="237"/>
      <c r="AG20" s="237"/>
      <c r="AH20" s="237"/>
      <c r="AI20" s="237"/>
    </row>
    <row r="21" spans="1:35" ht="15" thickBot="1">
      <c r="A21" s="255" t="str">
        <f t="array" ref="A21">IFERROR(INDEX(MassBalance[Type], SMALL(IF(TRIM(CLEAN(MassBalance[PROCESS])) = TRIM(CLEAN('Algorithm Inputs'!$Z$2)), ROW(MassBalance[Type]) - ROW(INDEX(MassBalance[Type],1,1)) + 1), ROW(A17))), "")</f>
        <v/>
      </c>
      <c r="B21" s="256" t="str">
        <f t="array" ref="B21">IF(A21="","", INDEX(MassBalance[Component], SMALL(IF(TRIM(CLEAN(MassBalance[PROCESS])) = TRIM(CLEAN('Algorithm Inputs'!$Z$2)), ROW(MassBalance[Component]) - ROW(INDEX(MassBalance[Component],1,1)) + 1), ROW(A17))))</f>
        <v/>
      </c>
      <c r="C21" s="257"/>
      <c r="D21" s="256"/>
      <c r="E21" s="258" t="str">
        <f>IF(C21="","", C21 * 'Algorithm Inputs'!$C$3)</f>
        <v/>
      </c>
      <c r="F21" s="237"/>
      <c r="G21" s="237"/>
      <c r="H21" s="237"/>
      <c r="I21" s="237"/>
      <c r="J21" s="237"/>
      <c r="K21" s="237"/>
      <c r="L21" s="237"/>
      <c r="M21" s="237"/>
      <c r="N21" s="237"/>
      <c r="O21" s="237"/>
      <c r="P21" s="237"/>
      <c r="Q21" s="237"/>
      <c r="R21" s="237"/>
      <c r="S21" s="237"/>
      <c r="T21" s="237"/>
      <c r="U21" s="237"/>
      <c r="V21" s="237"/>
      <c r="W21" s="237"/>
      <c r="X21" s="237"/>
      <c r="Y21" s="237"/>
      <c r="Z21" s="237"/>
      <c r="AA21" s="237"/>
      <c r="AB21" s="237"/>
      <c r="AC21" s="237"/>
      <c r="AD21" s="237"/>
      <c r="AE21" s="237"/>
      <c r="AF21" s="237"/>
      <c r="AG21" s="237"/>
      <c r="AH21" s="237"/>
      <c r="AI21" s="237"/>
    </row>
    <row r="22" spans="1:35" ht="15.6">
      <c r="A22" s="238" t="s">
        <v>701</v>
      </c>
      <c r="B22" s="239"/>
      <c r="C22" s="248"/>
      <c r="D22" s="239"/>
      <c r="E22" s="249" t="str">
        <f>IF(C22="","", C22 * 'Algorithm Inputs'!$C$3)</f>
        <v/>
      </c>
      <c r="F22" s="237"/>
      <c r="G22" s="237"/>
      <c r="H22" s="237"/>
      <c r="I22" s="237"/>
      <c r="J22" s="237"/>
      <c r="K22" s="237"/>
      <c r="L22" s="237"/>
      <c r="M22" s="237"/>
      <c r="N22" s="237"/>
      <c r="O22" s="237"/>
      <c r="P22" s="237"/>
      <c r="Q22" s="237"/>
      <c r="R22" s="237"/>
      <c r="S22" s="237"/>
      <c r="T22" s="237"/>
      <c r="U22" s="237"/>
      <c r="V22" s="237"/>
      <c r="W22" s="237"/>
      <c r="X22" s="237"/>
      <c r="Y22" s="237"/>
      <c r="Z22" s="237"/>
      <c r="AA22" s="237"/>
      <c r="AB22" s="237"/>
      <c r="AC22" s="237"/>
      <c r="AD22" s="237"/>
      <c r="AE22" s="237"/>
      <c r="AF22" s="237"/>
      <c r="AG22" s="237"/>
      <c r="AH22" s="237"/>
      <c r="AI22" s="237"/>
    </row>
    <row r="23" spans="1:35">
      <c r="A23" s="240" t="s">
        <v>702</v>
      </c>
      <c r="B23" s="200" t="str">
        <f>'Algorithm Inputs'!B2</f>
        <v>Steam Methane Reforming</v>
      </c>
      <c r="C23" s="233"/>
      <c r="D23" s="200"/>
      <c r="E23" s="250" t="str">
        <f>IF(C23="","", C23 * 'Algorithm Inputs'!$C$3)</f>
        <v/>
      </c>
      <c r="F23" s="237"/>
      <c r="G23" s="237"/>
      <c r="H23" s="237"/>
      <c r="I23" s="237"/>
      <c r="J23" s="237"/>
      <c r="K23" s="237"/>
      <c r="L23" s="237"/>
      <c r="M23" s="237"/>
      <c r="N23" s="237"/>
      <c r="O23" s="237"/>
      <c r="P23" s="237"/>
      <c r="Q23" s="237"/>
      <c r="R23" s="237"/>
      <c r="S23" s="237"/>
      <c r="T23" s="237"/>
      <c r="U23" s="237"/>
      <c r="V23" s="237"/>
      <c r="W23" s="237"/>
      <c r="X23" s="237"/>
      <c r="Y23" s="237"/>
      <c r="Z23" s="237"/>
      <c r="AA23" s="237"/>
      <c r="AB23" s="237"/>
      <c r="AC23" s="237"/>
      <c r="AD23" s="237"/>
      <c r="AE23" s="237"/>
      <c r="AF23" s="237"/>
      <c r="AG23" s="237"/>
      <c r="AH23" s="237"/>
      <c r="AI23" s="237"/>
    </row>
    <row r="24" spans="1:35">
      <c r="A24" s="240" t="s">
        <v>703</v>
      </c>
      <c r="B24" s="200" t="str">
        <f>'Algorithm Inputs'!B4</f>
        <v>For Sale</v>
      </c>
      <c r="C24" s="233">
        <f>'Algorithm Inputs'!B5</f>
        <v>0</v>
      </c>
      <c r="D24" s="200"/>
      <c r="E24" s="250"/>
      <c r="F24" s="237"/>
      <c r="G24" s="237"/>
      <c r="H24" s="237"/>
      <c r="I24" s="237"/>
      <c r="J24" s="237"/>
      <c r="K24" s="237"/>
      <c r="L24" s="237"/>
      <c r="M24" s="237"/>
      <c r="N24" s="237"/>
      <c r="O24" s="237"/>
      <c r="P24" s="237"/>
      <c r="Q24" s="237"/>
      <c r="R24" s="237"/>
      <c r="S24" s="237"/>
      <c r="T24" s="237"/>
      <c r="U24" s="237"/>
      <c r="V24" s="237"/>
      <c r="W24" s="237"/>
      <c r="X24" s="237"/>
      <c r="Y24" s="237"/>
      <c r="Z24" s="237"/>
      <c r="AA24" s="237"/>
      <c r="AB24" s="237"/>
      <c r="AC24" s="237"/>
      <c r="AD24" s="237"/>
      <c r="AE24" s="237"/>
      <c r="AF24" s="237"/>
      <c r="AG24" s="237"/>
      <c r="AH24" s="237"/>
      <c r="AI24" s="237"/>
    </row>
    <row r="25" spans="1:35">
      <c r="A25" s="241" t="s">
        <v>695</v>
      </c>
      <c r="B25" s="232" t="s">
        <v>696</v>
      </c>
      <c r="C25" s="234" t="s">
        <v>697</v>
      </c>
      <c r="D25" s="232" t="s">
        <v>698</v>
      </c>
      <c r="E25" s="250"/>
      <c r="F25" s="237"/>
      <c r="G25" s="237"/>
      <c r="H25" s="237"/>
      <c r="I25" s="237"/>
      <c r="J25" s="237"/>
      <c r="K25" s="237"/>
      <c r="L25" s="237"/>
      <c r="M25" s="237"/>
      <c r="N25" s="237"/>
      <c r="O25" s="237"/>
      <c r="P25" s="237"/>
      <c r="Q25" s="237"/>
      <c r="R25" s="237"/>
      <c r="S25" s="237"/>
      <c r="T25" s="237"/>
      <c r="U25" s="237"/>
      <c r="V25" s="237"/>
      <c r="W25" s="237"/>
      <c r="X25" s="237"/>
      <c r="Y25" s="237"/>
      <c r="Z25" s="237"/>
      <c r="AA25" s="237"/>
      <c r="AB25" s="237"/>
      <c r="AC25" s="237"/>
      <c r="AD25" s="237"/>
      <c r="AE25" s="237"/>
      <c r="AF25" s="237"/>
      <c r="AG25" s="237"/>
      <c r="AH25" s="237"/>
      <c r="AI25" s="237"/>
    </row>
    <row r="26" spans="1:35">
      <c r="A26" s="240" t="str">
        <f t="array" ref="A26">IFERROR(INDEX(EnergyConsumption[Utility Type], SMALL(
  IF(
    (
      ('Algorithm Inputs'!$Z$7 = "Downstream Process") *
      ((EnergyConsumption[Process]='Algorithm Inputs'!$Z$2)+(EnergyConsumption[Process]='Algorithm Inputs'!$Z$8)) +
      ('Algorithm Inputs'!$Z$7 &lt;&gt; "Downstream Process") *
      (EnergyConsumption[Process]='Algorithm Inputs'!$Z$2)
    ) * (EnergyConsumption[MWh per MT H2] &gt; 0),
    ROW(EnergyConsumption[Process]) - MIN(ROW(EnergyConsumption[Process])) + 1
  ),
  ROW(A1)
)), "")</f>
        <v>Electrical</v>
      </c>
      <c r="B26" s="200" t="str">
        <f t="array" ref="B26">IF(A26="", "", INDEX(EnergyConsumption[Energy Type], SMALL(
  IF(
    (
      ('Algorithm Inputs'!$Z$7 = "Downstream Process") *
      ((EnergyConsumption[Process]='Algorithm Inputs'!$Z$2)+(EnergyConsumption[Process]='Algorithm Inputs'!$Z$8)) +
      ('Algorithm Inputs'!$Z$7 &lt;&gt; "Downstream Process") *
      (EnergyConsumption[Process]='Algorithm Inputs'!$Z$2)
    ) * (EnergyConsumption[MWh per MT H2] &gt; 0),
    ROW(EnergyConsumption[Process]) - MIN(ROW(EnergyConsumption[Process])) + 1
  ),
  ROW(A1)
)))</f>
        <v>Grid</v>
      </c>
      <c r="C26" s="233">
        <f t="array" ref="C26">IF(D26="", "", D26 * 'Algorithm Inputs'!$C$3)</f>
        <v>322260.54399999999</v>
      </c>
      <c r="D26" s="233">
        <f t="array" ref="D26">IF(A26="", "", INDEX(EnergyConsumption[MWh per MT H2], SMALL(
  IF(
    (
      ('Algorithm Inputs'!$Z$7 = "Downstream Process") *
      ((EnergyConsumption[Process]='Algorithm Inputs'!$Z$2)+(EnergyConsumption[Process]='Algorithm Inputs'!$Z$8)) +
      ('Algorithm Inputs'!$Z$7 &lt;&gt; "Downstream Process") *
      (EnergyConsumption[Process]='Algorithm Inputs'!$Z$2)
    ) * (EnergyConsumption[MWh per MT H2] &gt; 0),
    ROW(EnergyConsumption[Process]) - MIN(ROW(EnergyConsumption[Process])) + 1
  ),
  ROW(A1)
)))</f>
        <v>8.8290559999999996</v>
      </c>
      <c r="E26" s="250"/>
      <c r="F26" s="237"/>
      <c r="G26" s="237"/>
      <c r="H26" s="237"/>
      <c r="I26" s="237"/>
      <c r="J26" s="237"/>
      <c r="K26" s="237"/>
      <c r="L26" s="237"/>
      <c r="M26" s="237"/>
      <c r="N26" s="237"/>
      <c r="O26" s="237"/>
      <c r="P26" s="237"/>
      <c r="Q26" s="237"/>
      <c r="R26" s="237"/>
      <c r="S26" s="237"/>
      <c r="T26" s="237"/>
      <c r="U26" s="237"/>
      <c r="V26" s="237"/>
      <c r="W26" s="237"/>
      <c r="X26" s="237"/>
      <c r="Y26" s="237"/>
      <c r="Z26" s="237"/>
      <c r="AA26" s="237"/>
      <c r="AB26" s="237"/>
      <c r="AC26" s="237"/>
      <c r="AD26" s="237"/>
      <c r="AE26" s="237"/>
      <c r="AF26" s="237"/>
      <c r="AG26" s="237"/>
      <c r="AH26" s="237"/>
      <c r="AI26" s="237"/>
    </row>
    <row r="27" spans="1:35">
      <c r="A27" s="240" t="str">
        <f t="array" ref="A27">IFERROR(INDEX(EnergyConsumption[Utility Type], SMALL(
  IF(
    (
      ('Algorithm Inputs'!$Z$7 = "Downstream Process") *
      ((EnergyConsumption[Process]='Algorithm Inputs'!$Z$2)+(EnergyConsumption[Process]='Algorithm Inputs'!$Z$8)) +
      ('Algorithm Inputs'!$Z$7 &lt;&gt; "Downstream Process") *
      (EnergyConsumption[Process]='Algorithm Inputs'!$Z$2)
    ) * (EnergyConsumption[MWh per MT H2] &gt; 0),
    ROW(EnergyConsumption[Process]) - MIN(ROW(EnergyConsumption[Process])) + 1
  ),
  ROW(A2)
)), "")</f>
        <v>Cooling</v>
      </c>
      <c r="B27" s="200" t="str">
        <f t="array" ref="B27">IF(A27="", "", INDEX(EnergyConsumption[Energy Type], SMALL(
  IF(
    (
      ('Algorithm Inputs'!$Z$7 = "Downstream Process") *
      ((EnergyConsumption[Process]='Algorithm Inputs'!$Z$2)+(EnergyConsumption[Process]='Algorithm Inputs'!$Z$8)) +
      ('Algorithm Inputs'!$Z$7 &lt;&gt; "Downstream Process") *
      (EnergyConsumption[Process]='Algorithm Inputs'!$Z$2)
    ) * (EnergyConsumption[MWh per MT H2] &gt; 0),
    ROW(EnergyConsumption[Process]) - MIN(ROW(EnergyConsumption[Process])) + 1
  ),
  ROW(A2)
)))</f>
        <v>Thermal</v>
      </c>
      <c r="C27" s="233">
        <f t="array" ref="C27">IF(D27="", "", D27 * 'Algorithm Inputs'!$C$3)</f>
        <v>684355.65499999991</v>
      </c>
      <c r="D27" s="233">
        <f t="array" ref="D27">IF(A27="", "", INDEX(EnergyConsumption[MWh per MT H2], SMALL(
  IF(
    (
      ('Algorithm Inputs'!$Z$7 = "Downstream Process") *
      ((EnergyConsumption[Process]='Algorithm Inputs'!$Z$2)+(EnergyConsumption[Process]='Algorithm Inputs'!$Z$8)) +
      ('Algorithm Inputs'!$Z$7 &lt;&gt; "Downstream Process") *
      (EnergyConsumption[Process]='Algorithm Inputs'!$Z$2)
    ) * (EnergyConsumption[MWh per MT H2] &gt; 0),
    ROW(EnergyConsumption[Process]) - MIN(ROW(EnergyConsumption[Process])) + 1
  ),
  ROW(A2)
)))</f>
        <v>18.749469999999999</v>
      </c>
      <c r="E27" s="250"/>
      <c r="F27" s="237"/>
      <c r="G27" s="237"/>
      <c r="H27" s="237"/>
      <c r="I27" s="237"/>
      <c r="J27" s="237"/>
      <c r="K27" s="237"/>
      <c r="L27" s="237"/>
      <c r="M27" s="237"/>
      <c r="N27" s="237"/>
      <c r="O27" s="237"/>
      <c r="P27" s="237"/>
      <c r="Q27" s="237"/>
      <c r="R27" s="237"/>
      <c r="S27" s="237"/>
      <c r="T27" s="237"/>
      <c r="U27" s="237"/>
      <c r="V27" s="237"/>
      <c r="W27" s="237"/>
      <c r="X27" s="237"/>
      <c r="Y27" s="237"/>
      <c r="Z27" s="237"/>
      <c r="AA27" s="237"/>
      <c r="AB27" s="237"/>
      <c r="AC27" s="237"/>
      <c r="AD27" s="237"/>
      <c r="AE27" s="237"/>
      <c r="AF27" s="237"/>
      <c r="AG27" s="237"/>
      <c r="AH27" s="237"/>
      <c r="AI27" s="237"/>
    </row>
    <row r="28" spans="1:35">
      <c r="A28" s="240" t="str">
        <f t="array" ref="A28">IFERROR(INDEX(EnergyConsumption[Utility Type], SMALL(
  IF(
    (
      ('Algorithm Inputs'!$Z$7 = "Downstream Process") *
      ((EnergyConsumption[Process]='Algorithm Inputs'!$Z$2)+(EnergyConsumption[Process]='Algorithm Inputs'!$Z$8)) +
      ('Algorithm Inputs'!$Z$7 &lt;&gt; "Downstream Process") *
      (EnergyConsumption[Process]='Algorithm Inputs'!$Z$2)
    ) * (EnergyConsumption[MWh per MT H2] &gt; 0),
    ROW(EnergyConsumption[Process]) - MIN(ROW(EnergyConsumption[Process])) + 1
  ),
  ROW(A3)
)), "")</f>
        <v>Heating</v>
      </c>
      <c r="B28" s="200" t="str">
        <f t="array" ref="B28">IF(A28="", "", INDEX(EnergyConsumption[Energy Type], SMALL(
  IF(
    (
      ('Algorithm Inputs'!$Z$7 = "Downstream Process") *
      ((EnergyConsumption[Process]='Algorithm Inputs'!$Z$2)+(EnergyConsumption[Process]='Algorithm Inputs'!$Z$8)) +
      ('Algorithm Inputs'!$Z$7 &lt;&gt; "Downstream Process") *
      (EnergyConsumption[Process]='Algorithm Inputs'!$Z$2)
    ) * (EnergyConsumption[MWh per MT H2] &gt; 0),
    ROW(EnergyConsumption[Process]) - MIN(ROW(EnergyConsumption[Process])) + 1
  ),
  ROW(A3)
)))</f>
        <v>Thermal</v>
      </c>
      <c r="C28" s="233">
        <f t="array" ref="C28">IF(D28="", "", D28 * 'Algorithm Inputs'!$C$3)</f>
        <v>1004915.591</v>
      </c>
      <c r="D28" s="233">
        <f t="array" ref="D28">IF(A28="", "", INDEX(EnergyConsumption[MWh per MT H2], SMALL(
  IF(
    (
      ('Algorithm Inputs'!$Z$7 = "Downstream Process") *
      ((EnergyConsumption[Process]='Algorithm Inputs'!$Z$2)+(EnergyConsumption[Process]='Algorithm Inputs'!$Z$8)) +
      ('Algorithm Inputs'!$Z$7 &lt;&gt; "Downstream Process") *
      (EnergyConsumption[Process]='Algorithm Inputs'!$Z$2)
    ) * (EnergyConsumption[MWh per MT H2] &gt; 0),
    ROW(EnergyConsumption[Process]) - MIN(ROW(EnergyConsumption[Process])) + 1
  ),
  ROW(A3)
)))</f>
        <v>27.531934</v>
      </c>
      <c r="E28" s="250"/>
      <c r="F28" s="237"/>
      <c r="G28" s="237"/>
      <c r="H28" s="237"/>
      <c r="I28" s="237"/>
      <c r="J28" s="237"/>
      <c r="K28" s="237"/>
      <c r="L28" s="237"/>
      <c r="M28" s="237"/>
      <c r="N28" s="237"/>
      <c r="O28" s="237"/>
      <c r="P28" s="237"/>
      <c r="Q28" s="237"/>
      <c r="R28" s="237"/>
      <c r="S28" s="237"/>
      <c r="T28" s="237"/>
      <c r="U28" s="237"/>
      <c r="V28" s="237"/>
      <c r="W28" s="237"/>
      <c r="X28" s="237"/>
      <c r="Y28" s="237"/>
      <c r="Z28" s="237"/>
      <c r="AA28" s="237"/>
      <c r="AB28" s="237"/>
      <c r="AC28" s="237"/>
      <c r="AD28" s="237"/>
      <c r="AE28" s="237"/>
      <c r="AF28" s="237"/>
      <c r="AG28" s="237"/>
      <c r="AH28" s="237"/>
      <c r="AI28" s="237"/>
    </row>
    <row r="29" spans="1:35">
      <c r="A29" s="240" t="str">
        <f t="array" ref="A29">IFERROR(INDEX(EnergyConsumption[Utility Type], SMALL(
  IF(
    (
      ('Algorithm Inputs'!$Z$7 = "Downstream Process") *
      ((EnergyConsumption[Process]='Algorithm Inputs'!$Z$2)+(EnergyConsumption[Process]='Algorithm Inputs'!$Z$8)) +
      ('Algorithm Inputs'!$Z$7 &lt;&gt; "Downstream Process") *
      (EnergyConsumption[Process]='Algorithm Inputs'!$Z$2)
    ) * (EnergyConsumption[MWh per MT H2] &gt; 0),
    ROW(EnergyConsumption[Process]) - MIN(ROW(EnergyConsumption[Process])) + 1
  ),
  ROW(A4)
)), "")</f>
        <v/>
      </c>
      <c r="B29" s="200" t="str">
        <f t="array" ref="B29">IF(A29="", "", INDEX(EnergyConsumption[Energy Type], SMALL(
  IF(
    (
      ('Algorithm Inputs'!$Z$7 = "Downstream Process") *
      ((EnergyConsumption[Process]='Algorithm Inputs'!$Z$2)+(EnergyConsumption[Process]='Algorithm Inputs'!$Z$8)) +
      ('Algorithm Inputs'!$Z$7 &lt;&gt; "Downstream Process") *
      (EnergyConsumption[Process]='Algorithm Inputs'!$Z$2)
    ) * (EnergyConsumption[MWh per MT H2] &gt; 0),
    ROW(EnergyConsumption[Process]) - MIN(ROW(EnergyConsumption[Process])) + 1
  ),
  ROW(A4)
)))</f>
        <v/>
      </c>
      <c r="C29" s="233" t="str">
        <f t="array" ref="C29">IF(D29="", "", D29 * 'Algorithm Inputs'!$C$3)</f>
        <v/>
      </c>
      <c r="D29" s="233" t="str">
        <f t="array" ref="D29">IF(A29="", "", INDEX(EnergyConsumption[MWh per MT H2], SMALL(
  IF(
    (
      ('Algorithm Inputs'!$Z$7 = "Downstream Process") *
      ((EnergyConsumption[Process]='Algorithm Inputs'!$Z$2)+(EnergyConsumption[Process]='Algorithm Inputs'!$Z$8)) +
      ('Algorithm Inputs'!$Z$7 &lt;&gt; "Downstream Process") *
      (EnergyConsumption[Process]='Algorithm Inputs'!$Z$2)
    ) * (EnergyConsumption[MWh per MT H2] &gt; 0),
    ROW(EnergyConsumption[Process]) - MIN(ROW(EnergyConsumption[Process])) + 1
  ),
  ROW(A4)
)))</f>
        <v/>
      </c>
      <c r="E29" s="250"/>
      <c r="F29" s="237"/>
      <c r="G29" s="237"/>
      <c r="H29" s="237"/>
      <c r="I29" s="237"/>
      <c r="J29" s="237"/>
      <c r="K29" s="237"/>
      <c r="L29" s="237"/>
      <c r="M29" s="237"/>
      <c r="N29" s="237"/>
      <c r="O29" s="237"/>
      <c r="P29" s="237"/>
      <c r="Q29" s="237"/>
      <c r="R29" s="237"/>
      <c r="S29" s="237"/>
      <c r="T29" s="237"/>
      <c r="U29" s="237"/>
      <c r="V29" s="237"/>
      <c r="W29" s="237"/>
      <c r="X29" s="237"/>
      <c r="Y29" s="237"/>
      <c r="Z29" s="237"/>
      <c r="AA29" s="237"/>
      <c r="AB29" s="237"/>
      <c r="AC29" s="237"/>
      <c r="AD29" s="237"/>
      <c r="AE29" s="237"/>
      <c r="AF29" s="237"/>
      <c r="AG29" s="237"/>
      <c r="AH29" s="237"/>
      <c r="AI29" s="237"/>
    </row>
    <row r="30" spans="1:35">
      <c r="A30" s="240" t="str">
        <f t="array" ref="A30">IFERROR(INDEX(EnergyConsumption[Utility Type], SMALL(
  IF(
    (
      ('Algorithm Inputs'!$Z$7 = "Downstream Process") *
      ((EnergyConsumption[Process]='Algorithm Inputs'!$Z$2)+(EnergyConsumption[Process]='Algorithm Inputs'!$Z$8)) +
      ('Algorithm Inputs'!$Z$7 &lt;&gt; "Downstream Process") *
      (EnergyConsumption[Process]='Algorithm Inputs'!$Z$2)
    ) * (EnergyConsumption[MWh per MT H2] &gt; 0),
    ROW(EnergyConsumption[Process]) - MIN(ROW(EnergyConsumption[Process])) + 1
  ),
  ROW(A5)
)), "")</f>
        <v/>
      </c>
      <c r="B30" s="200" t="str">
        <f t="array" ref="B30">IF(A30="", "", INDEX(EnergyConsumption[Energy Type], SMALL(
  IF(
    (
      ('Algorithm Inputs'!$Z$7 = "Downstream Process") *
      ((EnergyConsumption[Process]='Algorithm Inputs'!$Z$2)+(EnergyConsumption[Process]='Algorithm Inputs'!$Z$8)) +
      ('Algorithm Inputs'!$Z$7 &lt;&gt; "Downstream Process") *
      (EnergyConsumption[Process]='Algorithm Inputs'!$Z$2)
    ) * (EnergyConsumption[MWh per MT H2] &gt; 0),
    ROW(EnergyConsumption[Process]) - MIN(ROW(EnergyConsumption[Process])) + 1
  ),
  ROW(A5)
)))</f>
        <v/>
      </c>
      <c r="C30" s="233" t="str">
        <f t="array" ref="C30">IF(D30="", "", D30 * 'Algorithm Inputs'!$C$3)</f>
        <v/>
      </c>
      <c r="D30" s="233" t="str">
        <f t="array" ref="D30">IF(A30="", "", INDEX(EnergyConsumption[MWh per MT H2], SMALL(
  IF(
    (
      ('Algorithm Inputs'!$Z$7 = "Downstream Process") *
      ((EnergyConsumption[Process]='Algorithm Inputs'!$Z$2)+(EnergyConsumption[Process]='Algorithm Inputs'!$Z$8)) +
      ('Algorithm Inputs'!$Z$7 &lt;&gt; "Downstream Process") *
      (EnergyConsumption[Process]='Algorithm Inputs'!$Z$2)
    ) * (EnergyConsumption[MWh per MT H2] &gt; 0),
    ROW(EnergyConsumption[Process]) - MIN(ROW(EnergyConsumption[Process])) + 1
  ),
  ROW(A5)
)))</f>
        <v/>
      </c>
      <c r="E30" s="250"/>
      <c r="F30" s="237"/>
      <c r="G30" s="237"/>
      <c r="H30" s="237"/>
      <c r="I30" s="237"/>
      <c r="J30" s="237"/>
      <c r="K30" s="237"/>
      <c r="L30" s="237"/>
      <c r="M30" s="237"/>
      <c r="N30" s="237"/>
      <c r="O30" s="237"/>
      <c r="P30" s="237"/>
      <c r="Q30" s="237"/>
      <c r="R30" s="237"/>
      <c r="S30" s="237"/>
      <c r="T30" s="237"/>
      <c r="U30" s="237"/>
      <c r="V30" s="237"/>
      <c r="W30" s="237"/>
      <c r="X30" s="237"/>
      <c r="Y30" s="237"/>
      <c r="Z30" s="237"/>
      <c r="AA30" s="237"/>
      <c r="AB30" s="237"/>
      <c r="AC30" s="237"/>
      <c r="AD30" s="237"/>
      <c r="AE30" s="237"/>
      <c r="AF30" s="237"/>
      <c r="AG30" s="237"/>
      <c r="AH30" s="237"/>
      <c r="AI30" s="237"/>
    </row>
    <row r="31" spans="1:35" ht="15" thickBot="1">
      <c r="A31" s="251" t="str">
        <f t="array" ref="A31">IFERROR(INDEX(EnergyConsumption[Utility Type], SMALL(
  IF(
    (
      ('Algorithm Inputs'!$Z$7 = "Downstream Process") *
      ((EnergyConsumption[Process]='Algorithm Inputs'!$Z$2)+(EnergyConsumption[Process]='Algorithm Inputs'!$Z$8)) +
      ('Algorithm Inputs'!$Z$7 &lt;&gt; "Downstream Process") *
      (EnergyConsumption[Process]='Algorithm Inputs'!$Z$2)
    ) * (EnergyConsumption[MWh per MT H2] &gt; 0),
    ROW(EnergyConsumption[Process]) - MIN(ROW(EnergyConsumption[Process])) + 1
  ),
  ROW(A6)
)), "")</f>
        <v/>
      </c>
      <c r="B31" s="252" t="str">
        <f t="array" ref="B31">IF(A31="", "", INDEX(EnergyConsumption[Energy Type], SMALL(
  IF(
    (
      ('Algorithm Inputs'!$Z$7 = "Downstream Process") *
      ((EnergyConsumption[Process]='Algorithm Inputs'!$Z$2)+(EnergyConsumption[Process]='Algorithm Inputs'!$Z$8)) +
      ('Algorithm Inputs'!$Z$7 &lt;&gt; "Downstream Process") *
      (EnergyConsumption[Process]='Algorithm Inputs'!$Z$2)
    ) * (EnergyConsumption[MWh per MT H2] &gt; 0),
    ROW(EnergyConsumption[Process]) - MIN(ROW(EnergyConsumption[Process])) + 1
  ),
  ROW(A6)
)))</f>
        <v/>
      </c>
      <c r="C31" s="253" t="str">
        <f t="array" ref="C31">IF(D31="", "", D31 * 'Algorithm Inputs'!$C$3)</f>
        <v/>
      </c>
      <c r="D31" s="253" t="str">
        <f t="array" ref="D31">IF(A31="", "", INDEX(EnergyConsumption[MWh per MT H2], SMALL(
  IF(
    (
      ('Algorithm Inputs'!$Z$7 = "Downstream Process") *
      ((EnergyConsumption[Process]='Algorithm Inputs'!$Z$2)+(EnergyConsumption[Process]='Algorithm Inputs'!$Z$8)) +
      ('Algorithm Inputs'!$Z$7 &lt;&gt; "Downstream Process") *
      (EnergyConsumption[Process]='Algorithm Inputs'!$Z$2)
    ) * (EnergyConsumption[MWh per MT H2] &gt; 0),
    ROW(EnergyConsumption[Process]) - MIN(ROW(EnergyConsumption[Process])) + 1
  ),
  ROW(A6)
)))</f>
        <v/>
      </c>
      <c r="E31" s="254"/>
      <c r="F31" s="237"/>
      <c r="G31" s="237"/>
      <c r="H31" s="237"/>
      <c r="I31" s="237"/>
      <c r="J31" s="237"/>
      <c r="K31" s="237"/>
      <c r="L31" s="237"/>
      <c r="M31" s="237"/>
      <c r="N31" s="237"/>
      <c r="O31" s="237"/>
      <c r="P31" s="237"/>
      <c r="Q31" s="237"/>
      <c r="R31" s="237"/>
      <c r="S31" s="237"/>
      <c r="T31" s="237"/>
      <c r="U31" s="237"/>
      <c r="V31" s="237"/>
      <c r="W31" s="237"/>
      <c r="X31" s="237"/>
      <c r="Y31" s="237"/>
      <c r="Z31" s="237"/>
      <c r="AA31" s="237"/>
      <c r="AB31" s="237"/>
      <c r="AC31" s="237"/>
      <c r="AD31" s="237"/>
      <c r="AE31" s="237"/>
      <c r="AF31" s="237"/>
      <c r="AG31" s="237"/>
      <c r="AH31" s="237"/>
      <c r="AI31" s="237"/>
    </row>
    <row r="32" spans="1:35">
      <c r="A32" s="240" t="str">
        <f t="array" ref="A32">IFERROR(INDEX(EnergyConsumption[Utility Type], SMALL(
  IF(
    (
      ('Algorithm Inputs'!$Z$7 = "Downstream Process") *
      ((EnergyConsumption[Process]='Algorithm Inputs'!$Z$2)+(EnergyConsumption[Process]='Algorithm Inputs'!$Z$8)) +
      ('Algorithm Inputs'!$Z$7 &lt;&gt; "Downstream Process") *
      (EnergyConsumption[Process]='Algorithm Inputs'!$Z$2)
    ) * (EnergyConsumption[MWh per MT H2] &gt; 0),
    ROW(EnergyConsumption[Process]) - MIN(ROW(EnergyConsumption[Process])) + 1
  ),
  ROW(A7)
)), "")</f>
        <v/>
      </c>
      <c r="B32" s="200" t="str">
        <f t="array" ref="B32">IF(A32="", "", INDEX(EnergyConsumption[Energy Type], SMALL(
  IF(
    (
      ('Algorithm Inputs'!$Z$7 = "Downstream Process") *
      ((EnergyConsumption[Process]='Algorithm Inputs'!$Z$2)+(EnergyConsumption[Process]='Algorithm Inputs'!$Z$8)) +
      ('Algorithm Inputs'!$Z$7 &lt;&gt; "Downstream Process") *
      (EnergyConsumption[Process]='Algorithm Inputs'!$Z$2)
    ) * (EnergyConsumption[MWh per MT H2] &gt; 0),
    ROW(EnergyConsumption[Process]) - MIN(ROW(EnergyConsumption[Process])) + 1
  ),
  ROW(A7)
)))</f>
        <v/>
      </c>
      <c r="C32" s="233" t="str">
        <f t="array" ref="C32">IF(D32="", "", D32 * 'Algorithm Inputs'!$C$3)</f>
        <v/>
      </c>
      <c r="D32" s="233" t="str">
        <f t="array" ref="D32">IF(A32="", "", INDEX(EnergyConsumption[MWh per MT H2], SMALL(
  IF(
    (
      ('Algorithm Inputs'!$Z$7 = "Downstream Process") *
      ((EnergyConsumption[Process]='Algorithm Inputs'!$Z$2)+(EnergyConsumption[Process]='Algorithm Inputs'!$Z$8)) +
      ('Algorithm Inputs'!$Z$7 &lt;&gt; "Downstream Process") *
      (EnergyConsumption[Process]='Algorithm Inputs'!$Z$2)
    ) * (EnergyConsumption[MWh per MT H2] &gt; 0),
    ROW(EnergyConsumption[Process]) - MIN(ROW(EnergyConsumption[Process])) + 1
  ),
  ROW(A7)
)))</f>
        <v/>
      </c>
      <c r="E32" s="250"/>
      <c r="F32" s="237"/>
      <c r="G32" s="237"/>
      <c r="H32" s="237"/>
      <c r="I32" s="237"/>
      <c r="J32" s="237"/>
      <c r="K32" s="237"/>
      <c r="L32" s="237"/>
      <c r="M32" s="237"/>
      <c r="N32" s="237"/>
      <c r="O32" s="237"/>
      <c r="P32" s="237"/>
      <c r="Q32" s="237"/>
      <c r="R32" s="237"/>
      <c r="S32" s="237"/>
      <c r="T32" s="237"/>
      <c r="U32" s="237"/>
      <c r="V32" s="237"/>
      <c r="W32" s="237"/>
      <c r="X32" s="237"/>
      <c r="Y32" s="237"/>
      <c r="Z32" s="237"/>
      <c r="AA32" s="237"/>
      <c r="AB32" s="237"/>
      <c r="AC32" s="237"/>
      <c r="AD32" s="237"/>
      <c r="AE32" s="237"/>
      <c r="AF32" s="237"/>
      <c r="AG32" s="237"/>
      <c r="AH32" s="237"/>
      <c r="AI32" s="237"/>
    </row>
    <row r="33" spans="1:35">
      <c r="A33" s="240" t="str">
        <f t="array" ref="A33">IFERROR(INDEX(EnergyConsumption[Utility Type], SMALL(
  IF(
    (
      ('Algorithm Inputs'!$Z$7 = "Downstream Process") *
      ((EnergyConsumption[Process]='Algorithm Inputs'!$Z$2)+(EnergyConsumption[Process]='Algorithm Inputs'!$Z$8)) +
      ('Algorithm Inputs'!$Z$7 &lt;&gt; "Downstream Process") *
      (EnergyConsumption[Process]='Algorithm Inputs'!$Z$2)
    ) * (EnergyConsumption[MWh per MT H2] &gt; 0),
    ROW(EnergyConsumption[Process]) - MIN(ROW(EnergyConsumption[Process])) + 1
  ),
  ROW(A8)
)), "")</f>
        <v/>
      </c>
      <c r="B33" s="200" t="str">
        <f t="array" ref="B33">IF(A33="", "", INDEX(EnergyConsumption[Energy Type], SMALL(
  IF(
    (
      ('Algorithm Inputs'!$Z$7 = "Downstream Process") *
      ((EnergyConsumption[Process]='Algorithm Inputs'!$Z$2)+(EnergyConsumption[Process]='Algorithm Inputs'!$Z$8)) +
      ('Algorithm Inputs'!$Z$7 &lt;&gt; "Downstream Process") *
      (EnergyConsumption[Process]='Algorithm Inputs'!$Z$2)
    ) * (EnergyConsumption[MWh per MT H2] &gt; 0),
    ROW(EnergyConsumption[Process]) - MIN(ROW(EnergyConsumption[Process])) + 1
  ),
  ROW(A8)
)))</f>
        <v/>
      </c>
      <c r="C33" s="233" t="str">
        <f t="array" ref="C33">IF(D33="", "", D33 * 'Algorithm Inputs'!$C$3)</f>
        <v/>
      </c>
      <c r="D33" s="233" t="str">
        <f t="array" ref="D33">IF(A33="", "", INDEX(EnergyConsumption[MWh per MT H2], SMALL(
  IF(
    (
      ('Algorithm Inputs'!$Z$7 = "Downstream Process") *
      ((EnergyConsumption[Process]='Algorithm Inputs'!$Z$2)+(EnergyConsumption[Process]='Algorithm Inputs'!$Z$8)) +
      ('Algorithm Inputs'!$Z$7 &lt;&gt; "Downstream Process") *
      (EnergyConsumption[Process]='Algorithm Inputs'!$Z$2)
    ) * (EnergyConsumption[MWh per MT H2] &gt; 0),
    ROW(EnergyConsumption[Process]) - MIN(ROW(EnergyConsumption[Process])) + 1
  ),
  ROW(A8)
)))</f>
        <v/>
      </c>
      <c r="E33" s="250"/>
      <c r="F33" s="237"/>
      <c r="G33" s="237"/>
      <c r="H33" s="237"/>
      <c r="I33" s="237"/>
      <c r="J33" s="237"/>
      <c r="K33" s="237"/>
      <c r="L33" s="237"/>
      <c r="M33" s="237"/>
      <c r="N33" s="237"/>
      <c r="O33" s="237"/>
      <c r="P33" s="237"/>
      <c r="Q33" s="237"/>
      <c r="R33" s="237"/>
      <c r="S33" s="237"/>
      <c r="T33" s="237"/>
      <c r="U33" s="237"/>
      <c r="V33" s="237"/>
      <c r="W33" s="237"/>
      <c r="X33" s="237"/>
      <c r="Y33" s="237"/>
      <c r="Z33" s="237"/>
      <c r="AA33" s="237"/>
      <c r="AB33" s="237"/>
      <c r="AC33" s="237"/>
      <c r="AD33" s="237"/>
      <c r="AE33" s="237"/>
      <c r="AF33" s="237"/>
      <c r="AG33" s="237"/>
      <c r="AH33" s="237"/>
      <c r="AI33" s="237"/>
    </row>
    <row r="34" spans="1:35" ht="15" thickBot="1">
      <c r="A34" s="251" t="str">
        <f t="array" ref="A34">IFERROR(INDEX(EnergyConsumption[Utility Type], SMALL(
  IF(
    (
      ('Algorithm Inputs'!$Z$7 = "Downstream Process") *
      ((EnergyConsumption[Process]='Algorithm Inputs'!$Z$2)+(EnergyConsumption[Process]='Algorithm Inputs'!$Z$8)) +
      ('Algorithm Inputs'!$Z$7 &lt;&gt; "Downstream Process") *
      (EnergyConsumption[Process]='Algorithm Inputs'!$Z$2)
    ) * (EnergyConsumption[MWh per MT H2] &gt; 0),
    ROW(EnergyConsumption[Process]) - MIN(ROW(EnergyConsumption[Process])) + 1
  ),
  ROW(A9)
)), "")</f>
        <v/>
      </c>
      <c r="B34" s="252" t="str">
        <f t="array" ref="B34">IF(A34="", "", INDEX(EnergyConsumption[Energy Type], SMALL(
  IF(
    (
      ('Algorithm Inputs'!$Z$7 = "Downstream Process") *
      ((EnergyConsumption[Process]='Algorithm Inputs'!$Z$2)+(EnergyConsumption[Process]='Algorithm Inputs'!$Z$8)) +
      ('Algorithm Inputs'!$Z$7 &lt;&gt; "Downstream Process") *
      (EnergyConsumption[Process]='Algorithm Inputs'!$Z$2)
    ) * (EnergyConsumption[MWh per MT H2] &gt; 0),
    ROW(EnergyConsumption[Process]) - MIN(ROW(EnergyConsumption[Process])) + 1
  ),
  ROW(A9)
)))</f>
        <v/>
      </c>
      <c r="C34" s="253"/>
      <c r="D34" s="253" t="str">
        <f t="array" ref="D34">IF(A34="", "", INDEX(EnergyConsumption[MWh per MT H2], SMALL(
  IF(
    (
      ('Algorithm Inputs'!$Z$7 = "Downstream Process") *
      ((EnergyConsumption[Process]='Algorithm Inputs'!$Z$2)+(EnergyConsumption[Process]='Algorithm Inputs'!$Z$8)) +
      ('Algorithm Inputs'!$Z$7 &lt;&gt; "Downstream Process") *
      (EnergyConsumption[Process]='Algorithm Inputs'!$Z$2)
    ) * (EnergyConsumption[MWh per MT H2] &gt; 0),
    ROW(EnergyConsumption[Process]) - MIN(ROW(EnergyConsumption[Process])) + 1
  ),
  ROW(A9)
)))</f>
        <v/>
      </c>
      <c r="E34" s="254"/>
      <c r="F34" s="237"/>
      <c r="G34" s="237"/>
      <c r="H34" s="237"/>
      <c r="I34" s="237"/>
      <c r="J34" s="237"/>
      <c r="K34" s="237"/>
      <c r="L34" s="237"/>
      <c r="M34" s="237"/>
      <c r="N34" s="237"/>
      <c r="O34" s="237"/>
      <c r="P34" s="237"/>
      <c r="Q34" s="237"/>
      <c r="R34" s="237"/>
      <c r="S34" s="237"/>
      <c r="T34" s="237"/>
      <c r="U34" s="237"/>
      <c r="V34" s="237"/>
      <c r="W34" s="237"/>
      <c r="X34" s="237"/>
      <c r="Y34" s="237"/>
      <c r="Z34" s="237"/>
      <c r="AA34" s="237"/>
      <c r="AB34" s="237"/>
      <c r="AC34" s="237"/>
      <c r="AD34" s="237"/>
      <c r="AE34" s="237"/>
      <c r="AF34" s="237"/>
      <c r="AG34" s="237"/>
      <c r="AH34" s="237"/>
      <c r="AI34" s="237"/>
    </row>
    <row r="35" spans="1:35">
      <c r="A35" s="200"/>
      <c r="B35" s="200"/>
      <c r="C35" s="233"/>
      <c r="D35" s="233"/>
      <c r="E35" s="233"/>
      <c r="F35" s="237"/>
      <c r="G35" s="237"/>
      <c r="H35" s="237"/>
      <c r="I35" s="237"/>
      <c r="J35" s="237"/>
      <c r="K35" s="237"/>
      <c r="L35" s="237"/>
      <c r="M35" s="237"/>
      <c r="N35" s="237"/>
      <c r="O35" s="237"/>
      <c r="P35" s="237"/>
      <c r="Q35" s="237"/>
      <c r="R35" s="237"/>
      <c r="S35" s="237"/>
      <c r="T35" s="237"/>
      <c r="U35" s="237"/>
      <c r="V35" s="237"/>
      <c r="W35" s="237"/>
      <c r="X35" s="237"/>
      <c r="Y35" s="237"/>
      <c r="Z35" s="237"/>
      <c r="AA35" s="237"/>
      <c r="AB35" s="237"/>
      <c r="AC35" s="237"/>
      <c r="AD35" s="237"/>
      <c r="AE35" s="237"/>
      <c r="AF35" s="237"/>
      <c r="AG35" s="237"/>
      <c r="AH35" s="237"/>
      <c r="AI35" s="237"/>
    </row>
    <row r="36" spans="1:35">
      <c r="A36" s="200"/>
      <c r="B36" s="200"/>
      <c r="C36" s="233"/>
      <c r="D36" s="233"/>
      <c r="E36" s="233"/>
      <c r="F36" s="237"/>
      <c r="G36" s="237"/>
      <c r="H36" s="237"/>
      <c r="I36" s="237"/>
      <c r="J36" s="237"/>
      <c r="K36" s="237"/>
      <c r="L36" s="237"/>
      <c r="M36" s="237"/>
      <c r="N36" s="237"/>
      <c r="O36" s="237"/>
      <c r="P36" s="237"/>
      <c r="Q36" s="237"/>
      <c r="R36" s="237"/>
      <c r="S36" s="237"/>
      <c r="T36" s="237"/>
      <c r="U36" s="237"/>
      <c r="V36" s="237"/>
      <c r="W36" s="237"/>
      <c r="X36" s="237"/>
      <c r="Y36" s="237"/>
      <c r="Z36" s="237"/>
      <c r="AA36" s="237"/>
      <c r="AB36" s="237"/>
      <c r="AC36" s="237"/>
      <c r="AD36" s="237"/>
      <c r="AE36" s="237"/>
      <c r="AF36" s="237"/>
      <c r="AG36" s="237"/>
      <c r="AH36" s="237"/>
      <c r="AI36" s="237"/>
    </row>
    <row r="37" spans="1:35">
      <c r="A37" s="200"/>
      <c r="B37" s="200"/>
      <c r="C37" s="233"/>
      <c r="D37" s="233"/>
      <c r="E37" s="233"/>
      <c r="F37" s="237"/>
      <c r="G37" s="237"/>
      <c r="H37" s="237"/>
      <c r="I37" s="237"/>
      <c r="J37" s="237"/>
      <c r="K37" s="237"/>
      <c r="L37" s="237"/>
      <c r="M37" s="237"/>
      <c r="N37" s="237"/>
      <c r="O37" s="237"/>
      <c r="P37" s="237"/>
      <c r="Q37" s="237"/>
      <c r="R37" s="237"/>
      <c r="S37" s="237"/>
      <c r="T37" s="237"/>
      <c r="U37" s="237"/>
      <c r="V37" s="237"/>
      <c r="W37" s="237"/>
      <c r="X37" s="237"/>
      <c r="Y37" s="237"/>
      <c r="Z37" s="237"/>
      <c r="AA37" s="237"/>
      <c r="AB37" s="237"/>
      <c r="AC37" s="237"/>
      <c r="AD37" s="237"/>
      <c r="AE37" s="237"/>
      <c r="AF37" s="237"/>
      <c r="AG37" s="237"/>
      <c r="AH37" s="237"/>
      <c r="AI37" s="237"/>
    </row>
    <row r="38" spans="1:35">
      <c r="A38" s="200"/>
      <c r="B38" s="200"/>
      <c r="C38" s="233"/>
      <c r="D38" s="233"/>
      <c r="E38" s="233"/>
      <c r="F38" s="237"/>
      <c r="G38" s="237"/>
      <c r="H38" s="237"/>
      <c r="I38" s="237"/>
      <c r="J38" s="237"/>
      <c r="K38" s="237"/>
      <c r="L38" s="237"/>
      <c r="M38" s="237"/>
      <c r="N38" s="237"/>
      <c r="O38" s="237"/>
      <c r="P38" s="237"/>
      <c r="Q38" s="237"/>
      <c r="R38" s="237"/>
      <c r="S38" s="237"/>
      <c r="T38" s="237"/>
      <c r="U38" s="237"/>
      <c r="V38" s="237"/>
      <c r="W38" s="237"/>
      <c r="X38" s="237"/>
      <c r="Y38" s="237"/>
      <c r="Z38" s="237"/>
      <c r="AA38" s="237"/>
      <c r="AB38" s="237"/>
      <c r="AC38" s="237"/>
      <c r="AD38" s="237"/>
      <c r="AE38" s="237"/>
      <c r="AF38" s="237"/>
      <c r="AG38" s="237"/>
      <c r="AH38" s="237"/>
      <c r="AI38" s="237"/>
    </row>
    <row r="39" spans="1:35">
      <c r="A39" s="200"/>
      <c r="B39" s="200"/>
      <c r="C39" s="233"/>
      <c r="D39" s="233"/>
      <c r="E39" s="233"/>
      <c r="F39" s="237"/>
      <c r="G39" s="237"/>
      <c r="H39" s="237"/>
      <c r="I39" s="237"/>
      <c r="J39" s="237"/>
      <c r="K39" s="237"/>
      <c r="L39" s="237"/>
      <c r="M39" s="237"/>
      <c r="N39" s="237"/>
      <c r="O39" s="237"/>
      <c r="P39" s="237"/>
      <c r="Q39" s="237"/>
      <c r="R39" s="237"/>
      <c r="S39" s="237"/>
      <c r="T39" s="237"/>
      <c r="U39" s="237"/>
      <c r="V39" s="237"/>
      <c r="W39" s="237"/>
      <c r="X39" s="237"/>
      <c r="Y39" s="237"/>
      <c r="Z39" s="237"/>
      <c r="AA39" s="237"/>
      <c r="AB39" s="237"/>
      <c r="AC39" s="237"/>
      <c r="AD39" s="237"/>
      <c r="AE39" s="237"/>
      <c r="AF39" s="237"/>
      <c r="AG39" s="237"/>
      <c r="AH39" s="237"/>
      <c r="AI39" s="237"/>
    </row>
    <row r="40" spans="1:35">
      <c r="A40" s="200"/>
      <c r="B40" s="200"/>
      <c r="C40" s="233"/>
      <c r="D40" s="233"/>
      <c r="E40" s="233"/>
      <c r="F40" s="237"/>
      <c r="G40" s="237"/>
      <c r="H40" s="237"/>
      <c r="I40" s="237"/>
      <c r="J40" s="237"/>
      <c r="K40" s="237"/>
      <c r="L40" s="237"/>
      <c r="M40" s="237"/>
      <c r="N40" s="237"/>
      <c r="O40" s="237"/>
      <c r="P40" s="237"/>
      <c r="Q40" s="237"/>
      <c r="R40" s="237"/>
      <c r="S40" s="237"/>
      <c r="T40" s="237"/>
      <c r="U40" s="237"/>
      <c r="V40" s="237"/>
      <c r="W40" s="237"/>
      <c r="X40" s="237"/>
      <c r="Y40" s="237"/>
      <c r="Z40" s="237"/>
      <c r="AA40" s="237"/>
      <c r="AB40" s="237"/>
      <c r="AC40" s="237"/>
      <c r="AD40" s="237"/>
      <c r="AE40" s="237"/>
      <c r="AF40" s="237"/>
      <c r="AG40" s="237"/>
      <c r="AH40" s="237"/>
      <c r="AI40" s="237"/>
    </row>
    <row r="41" spans="1:35">
      <c r="A41" s="200"/>
      <c r="B41" s="200"/>
      <c r="C41" s="233"/>
      <c r="D41" s="233"/>
      <c r="E41" s="233"/>
      <c r="F41" s="237"/>
      <c r="G41" s="237"/>
      <c r="H41" s="237"/>
      <c r="I41" s="237"/>
      <c r="J41" s="237"/>
      <c r="K41" s="237"/>
      <c r="L41" s="237"/>
      <c r="M41" s="237"/>
      <c r="N41" s="237"/>
      <c r="O41" s="237"/>
      <c r="P41" s="237"/>
      <c r="Q41" s="237"/>
      <c r="R41" s="237"/>
      <c r="S41" s="237"/>
      <c r="T41" s="237"/>
      <c r="U41" s="237"/>
      <c r="V41" s="237"/>
      <c r="W41" s="237"/>
      <c r="X41" s="237"/>
      <c r="Y41" s="237"/>
      <c r="Z41" s="237"/>
      <c r="AA41" s="237"/>
      <c r="AB41" s="237"/>
      <c r="AC41" s="237"/>
      <c r="AD41" s="237"/>
      <c r="AE41" s="237"/>
      <c r="AF41" s="237"/>
      <c r="AG41" s="237"/>
      <c r="AH41" s="237"/>
      <c r="AI41" s="237"/>
    </row>
    <row r="42" spans="1:35">
      <c r="A42" s="200"/>
      <c r="B42" s="200"/>
      <c r="C42" s="233"/>
      <c r="D42" s="233"/>
      <c r="E42" s="233"/>
      <c r="F42" s="237"/>
      <c r="G42" s="237"/>
      <c r="H42" s="237"/>
      <c r="I42" s="237"/>
      <c r="J42" s="237"/>
      <c r="K42" s="237"/>
      <c r="L42" s="237"/>
      <c r="M42" s="237"/>
      <c r="N42" s="237"/>
      <c r="O42" s="237"/>
      <c r="P42" s="237"/>
      <c r="Q42" s="237"/>
      <c r="R42" s="237"/>
      <c r="S42" s="237"/>
      <c r="T42" s="237"/>
      <c r="U42" s="237"/>
      <c r="V42" s="237"/>
      <c r="W42" s="237"/>
      <c r="X42" s="237"/>
      <c r="Y42" s="237"/>
      <c r="Z42" s="237"/>
      <c r="AA42" s="237"/>
      <c r="AB42" s="237"/>
      <c r="AC42" s="237"/>
      <c r="AD42" s="237"/>
      <c r="AE42" s="237"/>
      <c r="AF42" s="237"/>
      <c r="AG42" s="237"/>
      <c r="AH42" s="237"/>
      <c r="AI42" s="237"/>
    </row>
    <row r="43" spans="1:35">
      <c r="A43" s="200"/>
      <c r="B43" s="200"/>
      <c r="C43" s="233"/>
      <c r="D43" s="233"/>
      <c r="E43" s="233"/>
      <c r="F43" s="237"/>
      <c r="G43" s="237"/>
      <c r="H43" s="237"/>
      <c r="I43" s="237"/>
      <c r="J43" s="237"/>
      <c r="K43" s="237"/>
      <c r="L43" s="237"/>
      <c r="M43" s="237"/>
      <c r="N43" s="237"/>
      <c r="O43" s="237"/>
      <c r="P43" s="237"/>
      <c r="Q43" s="237"/>
      <c r="R43" s="237"/>
      <c r="S43" s="237"/>
      <c r="T43" s="237"/>
      <c r="U43" s="237"/>
      <c r="V43" s="237"/>
      <c r="W43" s="237"/>
      <c r="X43" s="237"/>
      <c r="Y43" s="237"/>
      <c r="Z43" s="237"/>
      <c r="AA43" s="237"/>
      <c r="AB43" s="237"/>
      <c r="AC43" s="237"/>
      <c r="AD43" s="237"/>
      <c r="AE43" s="237"/>
      <c r="AF43" s="237"/>
      <c r="AG43" s="237"/>
      <c r="AH43" s="237"/>
      <c r="AI43" s="237"/>
    </row>
    <row r="44" spans="1:35">
      <c r="A44" s="200"/>
      <c r="B44" s="200"/>
      <c r="C44" s="233"/>
      <c r="D44" s="233"/>
      <c r="E44" s="233"/>
      <c r="F44" s="237"/>
      <c r="G44" s="237"/>
      <c r="H44" s="237"/>
      <c r="I44" s="237"/>
      <c r="J44" s="237"/>
      <c r="K44" s="237"/>
      <c r="L44" s="237"/>
      <c r="M44" s="237"/>
      <c r="N44" s="237"/>
      <c r="O44" s="237"/>
      <c r="P44" s="237"/>
      <c r="Q44" s="237"/>
      <c r="R44" s="237"/>
      <c r="S44" s="237"/>
      <c r="T44" s="237"/>
      <c r="U44" s="237"/>
      <c r="V44" s="237"/>
      <c r="W44" s="237"/>
      <c r="X44" s="237"/>
      <c r="Y44" s="237"/>
      <c r="Z44" s="237"/>
      <c r="AA44" s="237"/>
      <c r="AB44" s="237"/>
      <c r="AC44" s="237"/>
      <c r="AD44" s="237"/>
      <c r="AE44" s="237"/>
      <c r="AF44" s="237"/>
      <c r="AG44" s="237"/>
      <c r="AH44" s="237"/>
      <c r="AI44" s="237"/>
    </row>
    <row r="45" spans="1:35">
      <c r="C45" s="44"/>
      <c r="D45" s="44"/>
      <c r="E45" s="44"/>
      <c r="F45" s="237"/>
      <c r="G45" s="237"/>
      <c r="H45" s="237"/>
      <c r="I45" s="237"/>
      <c r="J45" s="237"/>
      <c r="K45" s="237"/>
      <c r="L45" s="237"/>
      <c r="M45" s="237"/>
      <c r="N45" s="237"/>
      <c r="O45" s="237"/>
      <c r="P45" s="237"/>
      <c r="Q45" s="237"/>
      <c r="R45" s="237"/>
      <c r="S45" s="237"/>
      <c r="T45" s="237"/>
      <c r="U45" s="237"/>
      <c r="V45" s="237"/>
      <c r="W45" s="237"/>
      <c r="X45" s="237"/>
      <c r="Y45" s="237"/>
      <c r="Z45" s="237"/>
      <c r="AA45" s="237"/>
      <c r="AB45" s="237"/>
      <c r="AC45" s="237"/>
      <c r="AD45" s="237"/>
      <c r="AE45" s="237"/>
      <c r="AF45" s="237"/>
      <c r="AG45" s="237"/>
      <c r="AH45" s="237"/>
      <c r="AI45" s="237"/>
    </row>
    <row r="46" spans="1:35">
      <c r="C46" s="44"/>
      <c r="D46" s="44"/>
      <c r="E46" s="44"/>
      <c r="F46" s="237"/>
      <c r="G46" s="237"/>
      <c r="H46" s="237"/>
      <c r="I46" s="237"/>
      <c r="J46" s="237"/>
      <c r="K46" s="237"/>
      <c r="L46" s="237"/>
      <c r="M46" s="237"/>
      <c r="N46" s="237"/>
      <c r="O46" s="237"/>
      <c r="P46" s="237"/>
      <c r="Q46" s="237"/>
      <c r="R46" s="237"/>
      <c r="S46" s="237"/>
      <c r="T46" s="237"/>
      <c r="U46" s="237"/>
      <c r="V46" s="237"/>
      <c r="W46" s="237"/>
      <c r="X46" s="237"/>
      <c r="Y46" s="237"/>
      <c r="Z46" s="237"/>
      <c r="AA46" s="237"/>
      <c r="AB46" s="237"/>
      <c r="AC46" s="237"/>
      <c r="AD46" s="237"/>
      <c r="AE46" s="237"/>
      <c r="AF46" s="237"/>
      <c r="AG46" s="237"/>
      <c r="AH46" s="237"/>
      <c r="AI46" s="237"/>
    </row>
    <row r="47" spans="1:35">
      <c r="C47" s="44"/>
      <c r="D47" s="44"/>
      <c r="E47" s="44"/>
      <c r="F47" s="237"/>
      <c r="G47" s="237"/>
      <c r="H47" s="237"/>
      <c r="I47" s="237"/>
      <c r="J47" s="237"/>
      <c r="K47" s="237"/>
      <c r="L47" s="237"/>
      <c r="M47" s="237"/>
      <c r="N47" s="237"/>
      <c r="O47" s="237"/>
      <c r="P47" s="237"/>
      <c r="Q47" s="237"/>
      <c r="R47" s="237"/>
      <c r="S47" s="237"/>
      <c r="T47" s="237"/>
      <c r="U47" s="237"/>
      <c r="V47" s="237"/>
      <c r="W47" s="237"/>
      <c r="X47" s="237"/>
      <c r="Y47" s="237"/>
      <c r="Z47" s="237"/>
      <c r="AA47" s="237"/>
      <c r="AB47" s="237"/>
      <c r="AC47" s="237"/>
      <c r="AD47" s="237"/>
      <c r="AE47" s="237"/>
      <c r="AF47" s="237"/>
      <c r="AG47" s="237"/>
      <c r="AH47" s="237"/>
      <c r="AI47" s="237"/>
    </row>
    <row r="48" spans="1:35">
      <c r="C48" s="44"/>
      <c r="D48" s="44"/>
      <c r="E48" s="44"/>
      <c r="F48" s="237"/>
      <c r="G48" s="237"/>
      <c r="H48" s="237"/>
      <c r="I48" s="237"/>
      <c r="J48" s="237"/>
      <c r="K48" s="237"/>
      <c r="L48" s="237"/>
      <c r="M48" s="237"/>
      <c r="N48" s="237"/>
      <c r="O48" s="237"/>
      <c r="P48" s="237"/>
      <c r="Q48" s="237"/>
      <c r="R48" s="237"/>
      <c r="S48" s="237"/>
      <c r="T48" s="237"/>
      <c r="U48" s="237"/>
      <c r="V48" s="237"/>
      <c r="W48" s="237"/>
      <c r="X48" s="237"/>
      <c r="Y48" s="237"/>
      <c r="Z48" s="237"/>
      <c r="AA48" s="237"/>
      <c r="AB48" s="237"/>
      <c r="AC48" s="237"/>
      <c r="AD48" s="237"/>
      <c r="AE48" s="237"/>
      <c r="AF48" s="237"/>
      <c r="AG48" s="237"/>
      <c r="AH48" s="237"/>
      <c r="AI48" s="237"/>
    </row>
    <row r="49" spans="3:35">
      <c r="C49" s="44"/>
      <c r="D49" s="44"/>
      <c r="E49" s="44"/>
      <c r="F49" s="237"/>
      <c r="G49" s="237"/>
      <c r="H49" s="237"/>
      <c r="I49" s="237"/>
      <c r="J49" s="237"/>
      <c r="K49" s="237"/>
      <c r="L49" s="237"/>
      <c r="M49" s="237"/>
      <c r="N49" s="237"/>
      <c r="O49" s="237"/>
      <c r="P49" s="237"/>
      <c r="Q49" s="237"/>
      <c r="R49" s="237"/>
      <c r="S49" s="237"/>
      <c r="T49" s="237"/>
      <c r="U49" s="237"/>
      <c r="V49" s="237"/>
      <c r="W49" s="237"/>
      <c r="X49" s="237"/>
      <c r="Y49" s="237"/>
      <c r="Z49" s="237"/>
      <c r="AA49" s="237"/>
      <c r="AB49" s="237"/>
      <c r="AC49" s="237"/>
      <c r="AD49" s="237"/>
      <c r="AE49" s="237"/>
      <c r="AF49" s="237"/>
      <c r="AG49" s="237"/>
      <c r="AH49" s="237"/>
      <c r="AI49" s="237"/>
    </row>
    <row r="50" spans="3:35">
      <c r="C50" s="44"/>
      <c r="D50" s="44"/>
      <c r="E50" s="44"/>
      <c r="F50" s="237"/>
      <c r="G50" s="237"/>
      <c r="H50" s="237"/>
      <c r="I50" s="237"/>
      <c r="J50" s="237"/>
      <c r="K50" s="237"/>
      <c r="L50" s="237"/>
      <c r="M50" s="237"/>
      <c r="N50" s="237"/>
      <c r="O50" s="237"/>
      <c r="P50" s="237"/>
      <c r="Q50" s="237"/>
      <c r="R50" s="237"/>
      <c r="S50" s="237"/>
      <c r="T50" s="237"/>
      <c r="U50" s="237"/>
      <c r="V50" s="237"/>
      <c r="W50" s="237"/>
      <c r="X50" s="237"/>
      <c r="Y50" s="237"/>
      <c r="Z50" s="237"/>
      <c r="AA50" s="237"/>
      <c r="AB50" s="237"/>
      <c r="AC50" s="237"/>
      <c r="AD50" s="237"/>
      <c r="AE50" s="237"/>
      <c r="AF50" s="237"/>
      <c r="AG50" s="237"/>
      <c r="AH50" s="237"/>
      <c r="AI50" s="237"/>
    </row>
    <row r="51" spans="3:35">
      <c r="C51" s="44"/>
      <c r="D51" s="44"/>
      <c r="E51" s="44"/>
      <c r="F51" s="237"/>
      <c r="G51" s="237"/>
      <c r="H51" s="237"/>
      <c r="I51" s="237"/>
      <c r="J51" s="237"/>
      <c r="K51" s="237"/>
      <c r="L51" s="237"/>
      <c r="M51" s="237"/>
      <c r="N51" s="237"/>
      <c r="O51" s="237"/>
      <c r="P51" s="237"/>
      <c r="Q51" s="237"/>
      <c r="R51" s="237"/>
      <c r="S51" s="237"/>
      <c r="T51" s="237"/>
      <c r="U51" s="237"/>
      <c r="V51" s="237"/>
      <c r="W51" s="237"/>
      <c r="X51" s="237"/>
      <c r="Y51" s="237"/>
      <c r="Z51" s="237"/>
      <c r="AA51" s="237"/>
      <c r="AB51" s="237"/>
      <c r="AC51" s="237"/>
      <c r="AD51" s="237"/>
      <c r="AE51" s="237"/>
      <c r="AF51" s="237"/>
      <c r="AG51" s="237"/>
      <c r="AH51" s="237"/>
      <c r="AI51" s="237"/>
    </row>
    <row r="52" spans="3:35">
      <c r="C52" s="44"/>
      <c r="D52" s="44"/>
      <c r="E52" s="44"/>
      <c r="F52" s="237"/>
      <c r="G52" s="237"/>
      <c r="H52" s="237"/>
      <c r="I52" s="237"/>
      <c r="J52" s="237"/>
      <c r="K52" s="237"/>
      <c r="L52" s="237"/>
      <c r="M52" s="237"/>
      <c r="N52" s="237"/>
      <c r="O52" s="237"/>
      <c r="P52" s="237"/>
      <c r="Q52" s="237"/>
      <c r="R52" s="237"/>
      <c r="S52" s="237"/>
      <c r="T52" s="237"/>
      <c r="U52" s="237"/>
      <c r="V52" s="237"/>
      <c r="W52" s="237"/>
      <c r="X52" s="237"/>
      <c r="Y52" s="237"/>
      <c r="Z52" s="237"/>
      <c r="AA52" s="237"/>
      <c r="AB52" s="237"/>
      <c r="AC52" s="237"/>
      <c r="AD52" s="237"/>
      <c r="AE52" s="237"/>
      <c r="AF52" s="237"/>
      <c r="AG52" s="237"/>
      <c r="AH52" s="237"/>
      <c r="AI52" s="237"/>
    </row>
    <row r="53" spans="3:35">
      <c r="C53" s="44"/>
      <c r="D53" s="44"/>
      <c r="E53" s="44"/>
      <c r="F53" s="237"/>
      <c r="G53" s="237"/>
      <c r="H53" s="237"/>
      <c r="I53" s="237"/>
      <c r="J53" s="237"/>
      <c r="K53" s="237"/>
      <c r="L53" s="237"/>
      <c r="M53" s="237"/>
      <c r="N53" s="237"/>
      <c r="O53" s="237"/>
      <c r="P53" s="237"/>
      <c r="Q53" s="237"/>
      <c r="R53" s="237"/>
      <c r="S53" s="237"/>
      <c r="T53" s="237"/>
      <c r="U53" s="237"/>
      <c r="V53" s="237"/>
      <c r="W53" s="237"/>
      <c r="X53" s="237"/>
      <c r="Y53" s="237"/>
      <c r="Z53" s="237"/>
      <c r="AA53" s="237"/>
      <c r="AB53" s="237"/>
      <c r="AC53" s="237"/>
      <c r="AD53" s="237"/>
      <c r="AE53" s="237"/>
      <c r="AF53" s="237"/>
      <c r="AG53" s="237"/>
      <c r="AH53" s="237"/>
      <c r="AI53" s="237"/>
    </row>
    <row r="54" spans="3:35">
      <c r="C54" s="44"/>
      <c r="D54" s="44"/>
      <c r="E54" s="44"/>
      <c r="F54" s="237"/>
      <c r="G54" s="237"/>
      <c r="H54" s="237"/>
      <c r="I54" s="237"/>
      <c r="J54" s="237"/>
      <c r="K54" s="237"/>
      <c r="L54" s="237"/>
      <c r="M54" s="237"/>
      <c r="N54" s="237"/>
      <c r="O54" s="237"/>
      <c r="P54" s="237"/>
      <c r="Q54" s="237"/>
      <c r="R54" s="237"/>
      <c r="S54" s="237"/>
      <c r="T54" s="237"/>
      <c r="U54" s="237"/>
      <c r="V54" s="237"/>
      <c r="W54" s="237"/>
      <c r="X54" s="237"/>
      <c r="Y54" s="237"/>
      <c r="Z54" s="237"/>
      <c r="AA54" s="237"/>
      <c r="AB54" s="237"/>
      <c r="AC54" s="237"/>
      <c r="AD54" s="237"/>
      <c r="AE54" s="237"/>
      <c r="AF54" s="237"/>
      <c r="AG54" s="237"/>
      <c r="AH54" s="237"/>
      <c r="AI54" s="237"/>
    </row>
    <row r="55" spans="3:35">
      <c r="C55" s="44"/>
      <c r="D55" s="44"/>
      <c r="E55" s="44"/>
      <c r="F55" s="237"/>
      <c r="G55" s="237"/>
      <c r="H55" s="237"/>
      <c r="I55" s="237"/>
      <c r="J55" s="237"/>
      <c r="K55" s="237"/>
      <c r="L55" s="237"/>
      <c r="M55" s="237"/>
      <c r="N55" s="237"/>
      <c r="O55" s="237"/>
      <c r="P55" s="237"/>
      <c r="Q55" s="237"/>
      <c r="R55" s="237"/>
      <c r="S55" s="237"/>
      <c r="T55" s="237"/>
      <c r="U55" s="237"/>
      <c r="V55" s="237"/>
      <c r="W55" s="237"/>
      <c r="X55" s="237"/>
      <c r="Y55" s="237"/>
      <c r="Z55" s="237"/>
      <c r="AA55" s="237"/>
      <c r="AB55" s="237"/>
      <c r="AC55" s="237"/>
      <c r="AD55" s="237"/>
      <c r="AE55" s="237"/>
      <c r="AF55" s="237"/>
      <c r="AG55" s="237"/>
      <c r="AH55" s="237"/>
      <c r="AI55" s="237"/>
    </row>
    <row r="56" spans="3:35">
      <c r="C56" s="44"/>
      <c r="D56" s="44"/>
      <c r="E56" s="44"/>
      <c r="F56" s="237"/>
      <c r="G56" s="237"/>
      <c r="H56" s="237"/>
      <c r="I56" s="237"/>
      <c r="J56" s="237"/>
      <c r="K56" s="237"/>
      <c r="L56" s="237"/>
      <c r="M56" s="237"/>
      <c r="N56" s="237"/>
      <c r="O56" s="237"/>
      <c r="P56" s="237"/>
      <c r="Q56" s="237"/>
      <c r="R56" s="237"/>
      <c r="S56" s="237"/>
      <c r="T56" s="237"/>
      <c r="U56" s="237"/>
      <c r="V56" s="237"/>
      <c r="W56" s="237"/>
      <c r="X56" s="237"/>
      <c r="Y56" s="237"/>
      <c r="Z56" s="237"/>
      <c r="AA56" s="237"/>
      <c r="AB56" s="237"/>
      <c r="AC56" s="237"/>
      <c r="AD56" s="237"/>
      <c r="AE56" s="237"/>
      <c r="AF56" s="237"/>
      <c r="AG56" s="237"/>
      <c r="AH56" s="237"/>
      <c r="AI56" s="237"/>
    </row>
    <row r="57" spans="3:35">
      <c r="C57" s="44"/>
      <c r="D57" s="44"/>
      <c r="E57" s="44"/>
      <c r="F57" s="237"/>
      <c r="G57" s="237"/>
      <c r="H57" s="237"/>
      <c r="I57" s="237"/>
      <c r="J57" s="237"/>
      <c r="K57" s="237"/>
      <c r="L57" s="237"/>
      <c r="M57" s="237"/>
      <c r="N57" s="237"/>
      <c r="O57" s="237"/>
      <c r="P57" s="237"/>
      <c r="Q57" s="237"/>
      <c r="R57" s="237"/>
      <c r="S57" s="237"/>
      <c r="T57" s="237"/>
      <c r="U57" s="237"/>
      <c r="V57" s="237"/>
      <c r="W57" s="237"/>
      <c r="X57" s="237"/>
      <c r="Y57" s="237"/>
      <c r="Z57" s="237"/>
      <c r="AA57" s="237"/>
      <c r="AB57" s="237"/>
      <c r="AC57" s="237"/>
      <c r="AD57" s="237"/>
      <c r="AE57" s="237"/>
      <c r="AF57" s="237"/>
      <c r="AG57" s="237"/>
      <c r="AH57" s="237"/>
      <c r="AI57" s="237"/>
    </row>
    <row r="58" spans="3:35">
      <c r="C58" s="44"/>
      <c r="D58" s="44"/>
      <c r="E58" s="44"/>
      <c r="F58" s="237"/>
      <c r="G58" s="237"/>
      <c r="H58" s="237"/>
      <c r="I58" s="237"/>
      <c r="J58" s="237"/>
      <c r="K58" s="237"/>
      <c r="L58" s="237"/>
      <c r="M58" s="237"/>
      <c r="N58" s="237"/>
      <c r="O58" s="237"/>
      <c r="P58" s="237"/>
      <c r="Q58" s="237"/>
      <c r="R58" s="237"/>
      <c r="S58" s="237"/>
      <c r="T58" s="237"/>
      <c r="U58" s="237"/>
      <c r="V58" s="237"/>
      <c r="W58" s="237"/>
      <c r="X58" s="237"/>
      <c r="Y58" s="237"/>
      <c r="Z58" s="237"/>
      <c r="AA58" s="237"/>
      <c r="AB58" s="237"/>
      <c r="AC58" s="237"/>
      <c r="AD58" s="237"/>
      <c r="AE58" s="237"/>
      <c r="AF58" s="237"/>
      <c r="AG58" s="237"/>
      <c r="AH58" s="237"/>
      <c r="AI58" s="237"/>
    </row>
    <row r="59" spans="3:35">
      <c r="C59" s="44"/>
      <c r="D59" s="44"/>
      <c r="E59" s="44"/>
      <c r="F59" s="237"/>
      <c r="G59" s="237"/>
      <c r="H59" s="237"/>
      <c r="I59" s="237"/>
      <c r="J59" s="237"/>
      <c r="K59" s="237"/>
      <c r="L59" s="237"/>
      <c r="M59" s="237"/>
      <c r="N59" s="237"/>
      <c r="O59" s="237"/>
      <c r="P59" s="237"/>
      <c r="Q59" s="237"/>
      <c r="R59" s="237"/>
      <c r="S59" s="237"/>
      <c r="T59" s="237"/>
      <c r="U59" s="237"/>
      <c r="V59" s="237"/>
      <c r="W59" s="237"/>
      <c r="X59" s="237"/>
      <c r="Y59" s="237"/>
      <c r="Z59" s="237"/>
      <c r="AA59" s="237"/>
      <c r="AB59" s="237"/>
      <c r="AC59" s="237"/>
      <c r="AD59" s="237"/>
      <c r="AE59" s="237"/>
      <c r="AF59" s="237"/>
      <c r="AG59" s="237"/>
      <c r="AH59" s="237"/>
      <c r="AI59" s="237"/>
    </row>
    <row r="60" spans="3:35">
      <c r="C60" s="44"/>
      <c r="D60" s="44"/>
      <c r="E60" s="44"/>
      <c r="F60" s="237"/>
      <c r="G60" s="237"/>
      <c r="H60" s="237"/>
      <c r="I60" s="237"/>
      <c r="J60" s="237"/>
      <c r="K60" s="237"/>
      <c r="L60" s="237"/>
      <c r="M60" s="237"/>
      <c r="N60" s="237"/>
      <c r="O60" s="237"/>
      <c r="P60" s="237"/>
      <c r="Q60" s="237"/>
      <c r="R60" s="237"/>
      <c r="S60" s="237"/>
      <c r="T60" s="237"/>
      <c r="U60" s="237"/>
      <c r="V60" s="237"/>
      <c r="W60" s="237"/>
      <c r="X60" s="237"/>
      <c r="Y60" s="237"/>
      <c r="Z60" s="237"/>
      <c r="AA60" s="237"/>
      <c r="AB60" s="237"/>
      <c r="AC60" s="237"/>
      <c r="AD60" s="237"/>
      <c r="AE60" s="237"/>
      <c r="AF60" s="237"/>
      <c r="AG60" s="237"/>
      <c r="AH60" s="237"/>
      <c r="AI60" s="237"/>
    </row>
    <row r="61" spans="3:35">
      <c r="C61" s="44"/>
      <c r="D61" s="44"/>
      <c r="E61" s="44"/>
      <c r="F61" s="237"/>
      <c r="G61" s="237"/>
      <c r="H61" s="237"/>
      <c r="I61" s="237"/>
      <c r="J61" s="237"/>
      <c r="K61" s="237"/>
      <c r="L61" s="237"/>
      <c r="M61" s="237"/>
      <c r="N61" s="237"/>
      <c r="O61" s="237"/>
      <c r="P61" s="237"/>
      <c r="Q61" s="237"/>
      <c r="R61" s="237"/>
      <c r="S61" s="237"/>
      <c r="T61" s="237"/>
      <c r="U61" s="237"/>
      <c r="V61" s="237"/>
      <c r="W61" s="237"/>
      <c r="X61" s="237"/>
      <c r="Y61" s="237"/>
      <c r="Z61" s="237"/>
      <c r="AA61" s="237"/>
      <c r="AB61" s="237"/>
      <c r="AC61" s="237"/>
      <c r="AD61" s="237"/>
      <c r="AE61" s="237"/>
      <c r="AF61" s="237"/>
      <c r="AG61" s="237"/>
      <c r="AH61" s="237"/>
      <c r="AI61" s="237"/>
    </row>
    <row r="62" spans="3:35">
      <c r="C62" s="44"/>
      <c r="D62" s="44"/>
      <c r="E62" s="44"/>
      <c r="F62" s="237"/>
      <c r="G62" s="237"/>
      <c r="H62" s="237"/>
      <c r="I62" s="237"/>
      <c r="J62" s="237"/>
      <c r="K62" s="237"/>
      <c r="L62" s="237"/>
      <c r="M62" s="237"/>
      <c r="N62" s="237"/>
      <c r="O62" s="237"/>
      <c r="P62" s="237"/>
      <c r="Q62" s="237"/>
      <c r="R62" s="237"/>
      <c r="S62" s="237"/>
      <c r="T62" s="237"/>
      <c r="U62" s="237"/>
      <c r="V62" s="237"/>
      <c r="W62" s="237"/>
      <c r="X62" s="237"/>
      <c r="Y62" s="237"/>
      <c r="Z62" s="237"/>
      <c r="AA62" s="237"/>
      <c r="AB62" s="237"/>
      <c r="AC62" s="237"/>
      <c r="AD62" s="237"/>
      <c r="AE62" s="237"/>
      <c r="AF62" s="237"/>
      <c r="AG62" s="237"/>
      <c r="AH62" s="237"/>
      <c r="AI62" s="237"/>
    </row>
    <row r="63" spans="3:35">
      <c r="C63" s="44"/>
      <c r="D63" s="44"/>
      <c r="E63" s="44"/>
      <c r="F63" s="237"/>
      <c r="G63" s="237"/>
      <c r="H63" s="237"/>
      <c r="I63" s="237"/>
      <c r="J63" s="237"/>
      <c r="K63" s="237"/>
      <c r="L63" s="237"/>
      <c r="M63" s="237"/>
      <c r="N63" s="237"/>
      <c r="O63" s="237"/>
      <c r="P63" s="237"/>
      <c r="Q63" s="237"/>
      <c r="R63" s="237"/>
      <c r="S63" s="237"/>
      <c r="T63" s="237"/>
      <c r="U63" s="237"/>
      <c r="V63" s="237"/>
      <c r="W63" s="237"/>
      <c r="X63" s="237"/>
      <c r="Y63" s="237"/>
      <c r="Z63" s="237"/>
      <c r="AA63" s="237"/>
      <c r="AB63" s="237"/>
      <c r="AC63" s="237"/>
      <c r="AD63" s="237"/>
      <c r="AE63" s="237"/>
      <c r="AF63" s="237"/>
      <c r="AG63" s="237"/>
      <c r="AH63" s="237"/>
      <c r="AI63" s="237"/>
    </row>
    <row r="64" spans="3:35">
      <c r="C64" s="44"/>
      <c r="D64" s="44"/>
      <c r="E64" s="44"/>
      <c r="F64" s="237"/>
      <c r="G64" s="237"/>
      <c r="H64" s="237"/>
      <c r="I64" s="237"/>
      <c r="J64" s="237"/>
      <c r="K64" s="237"/>
      <c r="L64" s="237"/>
      <c r="M64" s="237"/>
      <c r="N64" s="237"/>
      <c r="O64" s="237"/>
      <c r="P64" s="237"/>
      <c r="Q64" s="237"/>
      <c r="R64" s="237"/>
      <c r="S64" s="237"/>
      <c r="T64" s="237"/>
      <c r="U64" s="237"/>
      <c r="V64" s="237"/>
      <c r="W64" s="237"/>
      <c r="X64" s="237"/>
      <c r="Y64" s="237"/>
      <c r="Z64" s="237"/>
      <c r="AA64" s="237"/>
      <c r="AB64" s="237"/>
      <c r="AC64" s="237"/>
      <c r="AD64" s="237"/>
      <c r="AE64" s="237"/>
      <c r="AF64" s="237"/>
      <c r="AG64" s="237"/>
      <c r="AH64" s="237"/>
      <c r="AI64" s="237"/>
    </row>
    <row r="65" spans="3:35">
      <c r="C65" s="44"/>
      <c r="D65" s="44"/>
      <c r="E65" s="44"/>
      <c r="F65" s="237"/>
      <c r="G65" s="237"/>
      <c r="H65" s="237"/>
      <c r="I65" s="237"/>
      <c r="J65" s="237"/>
      <c r="K65" s="237"/>
      <c r="L65" s="237"/>
      <c r="M65" s="237"/>
      <c r="N65" s="237"/>
      <c r="O65" s="237"/>
      <c r="P65" s="237"/>
      <c r="Q65" s="237"/>
      <c r="R65" s="237"/>
      <c r="S65" s="237"/>
      <c r="T65" s="237"/>
      <c r="U65" s="237"/>
      <c r="V65" s="237"/>
      <c r="W65" s="237"/>
      <c r="X65" s="237"/>
      <c r="Y65" s="237"/>
      <c r="Z65" s="237"/>
      <c r="AA65" s="237"/>
      <c r="AB65" s="237"/>
      <c r="AC65" s="237"/>
      <c r="AD65" s="237"/>
      <c r="AE65" s="237"/>
      <c r="AF65" s="237"/>
      <c r="AG65" s="237"/>
      <c r="AH65" s="237"/>
      <c r="AI65" s="237"/>
    </row>
    <row r="66" spans="3:35">
      <c r="C66" s="44"/>
      <c r="D66" s="44"/>
      <c r="E66" s="44"/>
      <c r="F66" s="237"/>
      <c r="G66" s="237"/>
      <c r="H66" s="237"/>
      <c r="I66" s="237"/>
      <c r="J66" s="237"/>
      <c r="K66" s="237"/>
      <c r="L66" s="237"/>
      <c r="M66" s="237"/>
      <c r="N66" s="237"/>
      <c r="O66" s="237"/>
      <c r="P66" s="237"/>
      <c r="Q66" s="237"/>
      <c r="R66" s="237"/>
      <c r="S66" s="237"/>
      <c r="T66" s="237"/>
      <c r="U66" s="237"/>
      <c r="V66" s="237"/>
      <c r="W66" s="237"/>
      <c r="X66" s="237"/>
      <c r="Y66" s="237"/>
      <c r="Z66" s="237"/>
      <c r="AA66" s="237"/>
      <c r="AB66" s="237"/>
      <c r="AC66" s="237"/>
      <c r="AD66" s="237"/>
      <c r="AE66" s="237"/>
      <c r="AF66" s="237"/>
      <c r="AG66" s="237"/>
      <c r="AH66" s="237"/>
      <c r="AI66" s="237"/>
    </row>
    <row r="67" spans="3:35">
      <c r="C67" s="44"/>
      <c r="D67" s="44"/>
      <c r="E67" s="44"/>
      <c r="F67" s="237"/>
      <c r="G67" s="237"/>
      <c r="H67" s="237"/>
      <c r="I67" s="237"/>
      <c r="J67" s="237"/>
      <c r="K67" s="237"/>
      <c r="L67" s="237"/>
      <c r="M67" s="237"/>
      <c r="N67" s="237"/>
      <c r="O67" s="237"/>
      <c r="P67" s="237"/>
      <c r="Q67" s="237"/>
      <c r="R67" s="237"/>
      <c r="S67" s="237"/>
      <c r="T67" s="237"/>
      <c r="U67" s="237"/>
      <c r="V67" s="237"/>
      <c r="W67" s="237"/>
      <c r="X67" s="237"/>
      <c r="Y67" s="237"/>
      <c r="Z67" s="237"/>
      <c r="AA67" s="237"/>
      <c r="AB67" s="237"/>
      <c r="AC67" s="237"/>
      <c r="AD67" s="237"/>
      <c r="AE67" s="237"/>
      <c r="AF67" s="237"/>
      <c r="AG67" s="237"/>
      <c r="AH67" s="237"/>
      <c r="AI67" s="237"/>
    </row>
    <row r="68" spans="3:35">
      <c r="C68" s="44"/>
      <c r="D68" s="44"/>
      <c r="E68" s="44"/>
      <c r="F68" s="237"/>
      <c r="G68" s="237"/>
      <c r="H68" s="237"/>
      <c r="I68" s="237"/>
      <c r="J68" s="237"/>
      <c r="K68" s="237"/>
      <c r="L68" s="237"/>
      <c r="M68" s="237"/>
      <c r="N68" s="237"/>
      <c r="O68" s="237"/>
      <c r="P68" s="237"/>
      <c r="Q68" s="237"/>
      <c r="R68" s="237"/>
      <c r="S68" s="237"/>
      <c r="T68" s="237"/>
      <c r="U68" s="237"/>
      <c r="V68" s="237"/>
      <c r="W68" s="237"/>
      <c r="X68" s="237"/>
      <c r="Y68" s="237"/>
      <c r="Z68" s="237"/>
      <c r="AA68" s="237"/>
      <c r="AB68" s="237"/>
      <c r="AC68" s="237"/>
      <c r="AD68" s="237"/>
      <c r="AE68" s="237"/>
      <c r="AF68" s="237"/>
      <c r="AG68" s="237"/>
      <c r="AH68" s="237"/>
      <c r="AI68" s="237"/>
    </row>
    <row r="69" spans="3:35">
      <c r="C69" s="44"/>
      <c r="D69" s="44"/>
      <c r="E69" s="44"/>
      <c r="F69" s="237"/>
      <c r="G69" s="237"/>
      <c r="H69" s="237"/>
      <c r="I69" s="237"/>
      <c r="J69" s="237"/>
      <c r="K69" s="237"/>
      <c r="L69" s="237"/>
      <c r="M69" s="237"/>
      <c r="N69" s="237"/>
      <c r="O69" s="237"/>
      <c r="P69" s="237"/>
      <c r="Q69" s="237"/>
      <c r="R69" s="237"/>
      <c r="S69" s="237"/>
      <c r="T69" s="237"/>
      <c r="U69" s="237"/>
      <c r="V69" s="237"/>
      <c r="W69" s="237"/>
      <c r="X69" s="237"/>
      <c r="Y69" s="237"/>
      <c r="Z69" s="237"/>
      <c r="AA69" s="237"/>
      <c r="AB69" s="237"/>
      <c r="AC69" s="237"/>
      <c r="AD69" s="237"/>
      <c r="AE69" s="237"/>
      <c r="AF69" s="237"/>
      <c r="AG69" s="237"/>
      <c r="AH69" s="237"/>
      <c r="AI69" s="237"/>
    </row>
    <row r="70" spans="3:35">
      <c r="C70" s="44"/>
      <c r="D70" s="44"/>
      <c r="E70" s="44"/>
      <c r="F70" s="237"/>
      <c r="G70" s="237"/>
      <c r="H70" s="237"/>
      <c r="I70" s="237"/>
      <c r="J70" s="237"/>
      <c r="K70" s="237"/>
      <c r="L70" s="237"/>
      <c r="M70" s="237"/>
      <c r="N70" s="237"/>
      <c r="O70" s="237"/>
      <c r="P70" s="237"/>
      <c r="Q70" s="237"/>
      <c r="R70" s="237"/>
      <c r="S70" s="237"/>
      <c r="T70" s="237"/>
      <c r="U70" s="237"/>
      <c r="V70" s="237"/>
      <c r="W70" s="237"/>
      <c r="X70" s="237"/>
      <c r="Y70" s="237"/>
      <c r="Z70" s="237"/>
      <c r="AA70" s="237"/>
      <c r="AB70" s="237"/>
      <c r="AC70" s="237"/>
      <c r="AD70" s="237"/>
      <c r="AE70" s="237"/>
      <c r="AF70" s="237"/>
      <c r="AG70" s="237"/>
      <c r="AH70" s="237"/>
      <c r="AI70" s="237"/>
    </row>
    <row r="71" spans="3:35">
      <c r="C71" s="44"/>
      <c r="D71" s="44"/>
      <c r="E71" s="44"/>
      <c r="F71" s="237"/>
      <c r="G71" s="237"/>
      <c r="H71" s="237"/>
      <c r="I71" s="237"/>
      <c r="J71" s="237"/>
      <c r="K71" s="237"/>
      <c r="L71" s="237"/>
      <c r="M71" s="237"/>
      <c r="N71" s="237"/>
      <c r="O71" s="237"/>
      <c r="P71" s="237"/>
      <c r="Q71" s="237"/>
      <c r="R71" s="237"/>
      <c r="S71" s="237"/>
      <c r="T71" s="237"/>
      <c r="U71" s="237"/>
      <c r="V71" s="237"/>
      <c r="W71" s="237"/>
      <c r="X71" s="237"/>
      <c r="Y71" s="237"/>
      <c r="Z71" s="237"/>
      <c r="AA71" s="237"/>
      <c r="AB71" s="237"/>
      <c r="AC71" s="237"/>
      <c r="AD71" s="237"/>
      <c r="AE71" s="237"/>
      <c r="AF71" s="237"/>
      <c r="AG71" s="237"/>
      <c r="AH71" s="237"/>
      <c r="AI71" s="237"/>
    </row>
    <row r="72" spans="3:35">
      <c r="C72" s="44"/>
      <c r="D72" s="44"/>
      <c r="E72" s="44"/>
      <c r="F72" s="237"/>
      <c r="G72" s="237"/>
      <c r="H72" s="237"/>
      <c r="I72" s="237"/>
      <c r="J72" s="237"/>
      <c r="K72" s="237"/>
      <c r="L72" s="237"/>
      <c r="M72" s="237"/>
      <c r="N72" s="237"/>
      <c r="O72" s="237"/>
      <c r="P72" s="237"/>
      <c r="Q72" s="237"/>
      <c r="R72" s="237"/>
      <c r="S72" s="237"/>
      <c r="T72" s="237"/>
      <c r="U72" s="237"/>
      <c r="V72" s="237"/>
      <c r="W72" s="237"/>
      <c r="X72" s="237"/>
      <c r="Y72" s="237"/>
      <c r="Z72" s="237"/>
      <c r="AA72" s="237"/>
      <c r="AB72" s="237"/>
      <c r="AC72" s="237"/>
      <c r="AD72" s="237"/>
      <c r="AE72" s="237"/>
      <c r="AF72" s="237"/>
      <c r="AG72" s="237"/>
      <c r="AH72" s="237"/>
      <c r="AI72" s="237"/>
    </row>
    <row r="73" spans="3:35">
      <c r="C73" s="44"/>
      <c r="D73" s="44"/>
      <c r="E73" s="44"/>
      <c r="F73" s="237"/>
      <c r="G73" s="237"/>
      <c r="H73" s="237"/>
      <c r="I73" s="237"/>
      <c r="J73" s="237"/>
      <c r="K73" s="237"/>
      <c r="L73" s="237"/>
      <c r="M73" s="237"/>
      <c r="N73" s="237"/>
      <c r="O73" s="237"/>
      <c r="P73" s="237"/>
      <c r="Q73" s="237"/>
      <c r="R73" s="237"/>
      <c r="S73" s="237"/>
      <c r="T73" s="237"/>
      <c r="U73" s="237"/>
      <c r="V73" s="237"/>
      <c r="W73" s="237"/>
      <c r="X73" s="237"/>
      <c r="Y73" s="237"/>
      <c r="Z73" s="237"/>
      <c r="AA73" s="237"/>
      <c r="AB73" s="237"/>
      <c r="AC73" s="237"/>
      <c r="AD73" s="237"/>
      <c r="AE73" s="237"/>
      <c r="AF73" s="237"/>
      <c r="AG73" s="237"/>
      <c r="AH73" s="237"/>
      <c r="AI73" s="237"/>
    </row>
    <row r="74" spans="3:35">
      <c r="C74" s="44"/>
      <c r="D74" s="44"/>
      <c r="E74" s="44"/>
      <c r="F74" s="237"/>
      <c r="G74" s="237"/>
      <c r="H74" s="237"/>
      <c r="I74" s="237"/>
      <c r="J74" s="237"/>
      <c r="K74" s="237"/>
      <c r="L74" s="237"/>
      <c r="M74" s="237"/>
      <c r="N74" s="237"/>
      <c r="O74" s="237"/>
      <c r="P74" s="237"/>
      <c r="Q74" s="237"/>
      <c r="R74" s="237"/>
      <c r="S74" s="237"/>
      <c r="T74" s="237"/>
      <c r="U74" s="237"/>
      <c r="V74" s="237"/>
      <c r="W74" s="237"/>
      <c r="X74" s="237"/>
      <c r="Y74" s="237"/>
      <c r="Z74" s="237"/>
      <c r="AA74" s="237"/>
      <c r="AB74" s="237"/>
      <c r="AC74" s="237"/>
      <c r="AD74" s="237"/>
      <c r="AE74" s="237"/>
      <c r="AF74" s="237"/>
      <c r="AG74" s="237"/>
      <c r="AH74" s="237"/>
      <c r="AI74" s="237"/>
    </row>
    <row r="75" spans="3:35">
      <c r="C75" s="44"/>
      <c r="D75" s="44"/>
      <c r="E75" s="44"/>
      <c r="F75" s="237"/>
      <c r="G75" s="237"/>
      <c r="H75" s="237"/>
      <c r="I75" s="237"/>
      <c r="J75" s="237"/>
      <c r="K75" s="237"/>
      <c r="L75" s="237"/>
      <c r="M75" s="237"/>
      <c r="N75" s="237"/>
      <c r="O75" s="237"/>
      <c r="P75" s="237"/>
      <c r="Q75" s="237"/>
      <c r="R75" s="237"/>
      <c r="S75" s="237"/>
      <c r="T75" s="237"/>
      <c r="U75" s="237"/>
      <c r="V75" s="237"/>
      <c r="W75" s="237"/>
      <c r="X75" s="237"/>
      <c r="Y75" s="237"/>
      <c r="Z75" s="237"/>
      <c r="AA75" s="237"/>
      <c r="AB75" s="237"/>
      <c r="AC75" s="237"/>
      <c r="AD75" s="237"/>
      <c r="AE75" s="237"/>
      <c r="AF75" s="237"/>
      <c r="AG75" s="237"/>
      <c r="AH75" s="237"/>
      <c r="AI75" s="237"/>
    </row>
    <row r="76" spans="3:35">
      <c r="C76" s="44"/>
      <c r="D76" s="44"/>
      <c r="E76" s="44"/>
      <c r="F76" s="237"/>
      <c r="G76" s="237"/>
      <c r="H76" s="237"/>
      <c r="I76" s="237"/>
      <c r="J76" s="237"/>
      <c r="K76" s="237"/>
      <c r="L76" s="237"/>
      <c r="M76" s="237"/>
      <c r="N76" s="237"/>
      <c r="O76" s="237"/>
      <c r="P76" s="237"/>
      <c r="Q76" s="237"/>
      <c r="R76" s="237"/>
      <c r="S76" s="237"/>
      <c r="T76" s="237"/>
      <c r="U76" s="237"/>
      <c r="V76" s="237"/>
      <c r="W76" s="237"/>
      <c r="X76" s="237"/>
      <c r="Y76" s="237"/>
      <c r="Z76" s="237"/>
      <c r="AA76" s="237"/>
      <c r="AB76" s="237"/>
      <c r="AC76" s="237"/>
      <c r="AD76" s="237"/>
      <c r="AE76" s="237"/>
      <c r="AF76" s="237"/>
      <c r="AG76" s="237"/>
      <c r="AH76" s="237"/>
      <c r="AI76" s="237"/>
    </row>
    <row r="77" spans="3:35">
      <c r="C77" s="44"/>
      <c r="D77" s="44"/>
      <c r="E77" s="44"/>
      <c r="F77" s="237"/>
      <c r="G77" s="237"/>
      <c r="H77" s="237"/>
      <c r="I77" s="237"/>
      <c r="J77" s="237"/>
      <c r="K77" s="237"/>
      <c r="L77" s="237"/>
      <c r="M77" s="237"/>
      <c r="N77" s="237"/>
      <c r="O77" s="237"/>
      <c r="P77" s="237"/>
      <c r="Q77" s="237"/>
      <c r="R77" s="237"/>
      <c r="S77" s="237"/>
      <c r="T77" s="237"/>
      <c r="U77" s="237"/>
      <c r="V77" s="237"/>
      <c r="W77" s="237"/>
      <c r="X77" s="237"/>
      <c r="Y77" s="237"/>
      <c r="Z77" s="237"/>
      <c r="AA77" s="237"/>
      <c r="AB77" s="237"/>
      <c r="AC77" s="237"/>
      <c r="AD77" s="237"/>
      <c r="AE77" s="237"/>
      <c r="AF77" s="237"/>
      <c r="AG77" s="237"/>
      <c r="AH77" s="237"/>
      <c r="AI77" s="237"/>
    </row>
    <row r="78" spans="3:35">
      <c r="C78" s="44"/>
      <c r="D78" s="44"/>
      <c r="E78" s="44"/>
      <c r="F78" s="237"/>
      <c r="G78" s="237"/>
      <c r="H78" s="237"/>
      <c r="I78" s="237"/>
      <c r="J78" s="237"/>
      <c r="K78" s="237"/>
      <c r="L78" s="237"/>
      <c r="M78" s="237"/>
      <c r="N78" s="237"/>
      <c r="O78" s="237"/>
      <c r="P78" s="237"/>
      <c r="Q78" s="237"/>
      <c r="R78" s="237"/>
      <c r="S78" s="237"/>
      <c r="T78" s="237"/>
      <c r="U78" s="237"/>
      <c r="V78" s="237"/>
      <c r="W78" s="237"/>
      <c r="X78" s="237"/>
      <c r="Y78" s="237"/>
      <c r="Z78" s="237"/>
      <c r="AA78" s="237"/>
      <c r="AB78" s="237"/>
      <c r="AC78" s="237"/>
      <c r="AD78" s="237"/>
      <c r="AE78" s="237"/>
      <c r="AF78" s="237"/>
      <c r="AG78" s="237"/>
      <c r="AH78" s="237"/>
      <c r="AI78" s="237"/>
    </row>
    <row r="79" spans="3:35">
      <c r="C79" s="44"/>
      <c r="D79" s="44"/>
      <c r="E79" s="44"/>
      <c r="F79" s="237"/>
      <c r="G79" s="237"/>
      <c r="H79" s="237"/>
      <c r="I79" s="237"/>
      <c r="J79" s="237"/>
      <c r="K79" s="237"/>
      <c r="L79" s="237"/>
      <c r="M79" s="237"/>
      <c r="N79" s="237"/>
      <c r="O79" s="237"/>
      <c r="P79" s="237"/>
      <c r="Q79" s="237"/>
      <c r="R79" s="237"/>
      <c r="S79" s="237"/>
      <c r="T79" s="237"/>
      <c r="U79" s="237"/>
      <c r="V79" s="237"/>
      <c r="W79" s="237"/>
      <c r="X79" s="237"/>
      <c r="Y79" s="237"/>
      <c r="Z79" s="237"/>
      <c r="AA79" s="237"/>
      <c r="AB79" s="237"/>
      <c r="AC79" s="237"/>
      <c r="AD79" s="237"/>
      <c r="AE79" s="237"/>
      <c r="AF79" s="237"/>
      <c r="AG79" s="237"/>
      <c r="AH79" s="237"/>
      <c r="AI79" s="237"/>
    </row>
    <row r="80" spans="3:35">
      <c r="C80" s="44"/>
      <c r="D80" s="44"/>
      <c r="E80" s="44"/>
      <c r="F80" s="237"/>
      <c r="G80" s="237"/>
      <c r="H80" s="237"/>
      <c r="I80" s="237"/>
      <c r="J80" s="237"/>
      <c r="K80" s="237"/>
      <c r="L80" s="237"/>
      <c r="M80" s="237"/>
      <c r="N80" s="237"/>
      <c r="O80" s="237"/>
      <c r="P80" s="237"/>
      <c r="Q80" s="237"/>
      <c r="R80" s="237"/>
      <c r="S80" s="237"/>
      <c r="T80" s="237"/>
      <c r="U80" s="237"/>
      <c r="V80" s="237"/>
      <c r="W80" s="237"/>
      <c r="X80" s="237"/>
      <c r="Y80" s="237"/>
      <c r="Z80" s="237"/>
      <c r="AA80" s="237"/>
      <c r="AB80" s="237"/>
      <c r="AC80" s="237"/>
      <c r="AD80" s="237"/>
      <c r="AE80" s="237"/>
      <c r="AF80" s="237"/>
      <c r="AG80" s="237"/>
      <c r="AH80" s="237"/>
      <c r="AI80" s="237"/>
    </row>
    <row r="81" spans="3:35">
      <c r="C81" s="44"/>
      <c r="D81" s="44"/>
      <c r="E81" s="44"/>
      <c r="F81" s="237"/>
      <c r="G81" s="237"/>
      <c r="H81" s="237"/>
      <c r="I81" s="237"/>
      <c r="J81" s="237"/>
      <c r="K81" s="237"/>
      <c r="L81" s="237"/>
      <c r="M81" s="237"/>
      <c r="N81" s="237"/>
      <c r="O81" s="237"/>
      <c r="P81" s="237"/>
      <c r="Q81" s="237"/>
      <c r="R81" s="237"/>
      <c r="S81" s="237"/>
      <c r="T81" s="237"/>
      <c r="U81" s="237"/>
      <c r="V81" s="237"/>
      <c r="W81" s="237"/>
      <c r="X81" s="237"/>
      <c r="Y81" s="237"/>
      <c r="Z81" s="237"/>
      <c r="AA81" s="237"/>
      <c r="AB81" s="237"/>
      <c r="AC81" s="237"/>
      <c r="AD81" s="237"/>
      <c r="AE81" s="237"/>
      <c r="AF81" s="237"/>
      <c r="AG81" s="237"/>
      <c r="AH81" s="237"/>
      <c r="AI81" s="237"/>
    </row>
    <row r="82" spans="3:35">
      <c r="C82" s="44"/>
      <c r="D82" s="44"/>
      <c r="E82" s="44"/>
      <c r="F82" s="237"/>
      <c r="G82" s="237"/>
      <c r="H82" s="237"/>
      <c r="I82" s="237"/>
      <c r="J82" s="237"/>
      <c r="K82" s="237"/>
      <c r="L82" s="237"/>
      <c r="M82" s="237"/>
      <c r="N82" s="237"/>
      <c r="O82" s="237"/>
      <c r="P82" s="237"/>
      <c r="Q82" s="237"/>
      <c r="R82" s="237"/>
      <c r="S82" s="237"/>
      <c r="T82" s="237"/>
      <c r="U82" s="237"/>
      <c r="V82" s="237"/>
      <c r="W82" s="237"/>
      <c r="X82" s="237"/>
      <c r="Y82" s="237"/>
      <c r="Z82" s="237"/>
      <c r="AA82" s="237"/>
      <c r="AB82" s="237"/>
      <c r="AC82" s="237"/>
      <c r="AD82" s="237"/>
      <c r="AE82" s="237"/>
      <c r="AF82" s="237"/>
      <c r="AG82" s="237"/>
      <c r="AH82" s="237"/>
      <c r="AI82" s="237"/>
    </row>
    <row r="83" spans="3:35">
      <c r="C83" s="44"/>
      <c r="D83" s="44"/>
      <c r="E83" s="44"/>
      <c r="F83" s="237"/>
      <c r="G83" s="237"/>
      <c r="H83" s="237"/>
      <c r="I83" s="237"/>
      <c r="J83" s="237"/>
      <c r="K83" s="237"/>
      <c r="L83" s="237"/>
      <c r="M83" s="237"/>
      <c r="N83" s="237"/>
      <c r="O83" s="237"/>
      <c r="P83" s="237"/>
      <c r="Q83" s="237"/>
      <c r="R83" s="237"/>
      <c r="S83" s="237"/>
      <c r="T83" s="237"/>
      <c r="U83" s="237"/>
      <c r="V83" s="237"/>
      <c r="W83" s="237"/>
      <c r="X83" s="237"/>
      <c r="Y83" s="237"/>
      <c r="Z83" s="237"/>
      <c r="AA83" s="237"/>
      <c r="AB83" s="237"/>
      <c r="AC83" s="237"/>
      <c r="AD83" s="237"/>
      <c r="AE83" s="237"/>
      <c r="AF83" s="237"/>
      <c r="AG83" s="237"/>
      <c r="AH83" s="237"/>
      <c r="AI83" s="237"/>
    </row>
    <row r="84" spans="3:35">
      <c r="C84" s="44"/>
      <c r="D84" s="44"/>
      <c r="E84" s="44"/>
      <c r="F84" s="237"/>
      <c r="G84" s="237"/>
      <c r="H84" s="237"/>
      <c r="I84" s="237"/>
      <c r="J84" s="237"/>
      <c r="K84" s="237"/>
      <c r="L84" s="237"/>
      <c r="M84" s="237"/>
      <c r="N84" s="237"/>
      <c r="O84" s="237"/>
      <c r="P84" s="237"/>
      <c r="Q84" s="237"/>
      <c r="R84" s="237"/>
      <c r="S84" s="237"/>
      <c r="T84" s="237"/>
      <c r="U84" s="237"/>
      <c r="V84" s="237"/>
      <c r="W84" s="237"/>
      <c r="X84" s="237"/>
      <c r="Y84" s="237"/>
      <c r="Z84" s="237"/>
      <c r="AA84" s="237"/>
      <c r="AB84" s="237"/>
      <c r="AC84" s="237"/>
      <c r="AD84" s="237"/>
      <c r="AE84" s="237"/>
      <c r="AF84" s="237"/>
      <c r="AG84" s="237"/>
      <c r="AH84" s="237"/>
      <c r="AI84" s="237"/>
    </row>
    <row r="85" spans="3:35">
      <c r="C85" s="44"/>
      <c r="D85" s="44"/>
      <c r="E85" s="44"/>
      <c r="F85" s="237"/>
      <c r="G85" s="237"/>
      <c r="H85" s="237"/>
      <c r="I85" s="237"/>
      <c r="J85" s="237"/>
      <c r="K85" s="237"/>
      <c r="L85" s="237"/>
      <c r="M85" s="237"/>
      <c r="N85" s="237"/>
      <c r="O85" s="237"/>
      <c r="P85" s="237"/>
      <c r="Q85" s="237"/>
      <c r="R85" s="237"/>
      <c r="S85" s="237"/>
      <c r="T85" s="237"/>
      <c r="U85" s="237"/>
      <c r="V85" s="237"/>
      <c r="W85" s="237"/>
      <c r="X85" s="237"/>
      <c r="Y85" s="237"/>
      <c r="Z85" s="237"/>
      <c r="AA85" s="237"/>
      <c r="AB85" s="237"/>
      <c r="AC85" s="237"/>
      <c r="AD85" s="237"/>
      <c r="AE85" s="237"/>
      <c r="AF85" s="237"/>
      <c r="AG85" s="237"/>
      <c r="AH85" s="237"/>
      <c r="AI85" s="237"/>
    </row>
    <row r="86" spans="3:35">
      <c r="C86" s="44"/>
      <c r="D86" s="44"/>
      <c r="E86" s="44"/>
      <c r="F86" s="237"/>
      <c r="G86" s="237"/>
      <c r="H86" s="237"/>
      <c r="I86" s="237"/>
      <c r="J86" s="237"/>
      <c r="K86" s="237"/>
      <c r="L86" s="237"/>
      <c r="M86" s="237"/>
      <c r="N86" s="237"/>
      <c r="O86" s="237"/>
      <c r="P86" s="237"/>
      <c r="Q86" s="237"/>
      <c r="R86" s="237"/>
      <c r="S86" s="237"/>
      <c r="T86" s="237"/>
      <c r="U86" s="237"/>
      <c r="V86" s="237"/>
      <c r="W86" s="237"/>
      <c r="X86" s="237"/>
      <c r="Y86" s="237"/>
      <c r="Z86" s="237"/>
      <c r="AA86" s="237"/>
      <c r="AB86" s="237"/>
      <c r="AC86" s="237"/>
      <c r="AD86" s="237"/>
      <c r="AE86" s="237"/>
      <c r="AF86" s="237"/>
      <c r="AG86" s="237"/>
      <c r="AH86" s="237"/>
      <c r="AI86" s="237"/>
    </row>
    <row r="87" spans="3:35">
      <c r="C87" s="44"/>
      <c r="D87" s="44"/>
      <c r="E87" s="44"/>
      <c r="F87" s="237"/>
      <c r="G87" s="237"/>
      <c r="H87" s="237"/>
      <c r="I87" s="237"/>
      <c r="J87" s="237"/>
      <c r="K87" s="237"/>
      <c r="L87" s="237"/>
      <c r="M87" s="237"/>
      <c r="N87" s="237"/>
      <c r="O87" s="237"/>
      <c r="P87" s="237"/>
      <c r="Q87" s="237"/>
      <c r="R87" s="237"/>
      <c r="S87" s="237"/>
      <c r="T87" s="237"/>
      <c r="U87" s="237"/>
      <c r="V87" s="237"/>
      <c r="W87" s="237"/>
      <c r="X87" s="237"/>
      <c r="Y87" s="237"/>
      <c r="Z87" s="237"/>
      <c r="AA87" s="237"/>
      <c r="AB87" s="237"/>
      <c r="AC87" s="237"/>
      <c r="AD87" s="237"/>
      <c r="AE87" s="237"/>
      <c r="AF87" s="237"/>
      <c r="AG87" s="237"/>
      <c r="AH87" s="237"/>
      <c r="AI87" s="237"/>
    </row>
    <row r="88" spans="3:35">
      <c r="C88" s="44"/>
      <c r="D88" s="44"/>
      <c r="E88" s="44"/>
      <c r="F88" s="237"/>
      <c r="G88" s="237"/>
      <c r="H88" s="237"/>
      <c r="I88" s="237"/>
      <c r="J88" s="237"/>
      <c r="K88" s="237"/>
      <c r="L88" s="237"/>
      <c r="M88" s="237"/>
      <c r="N88" s="237"/>
      <c r="O88" s="237"/>
      <c r="P88" s="237"/>
      <c r="Q88" s="237"/>
      <c r="R88" s="237"/>
      <c r="S88" s="237"/>
      <c r="T88" s="237"/>
      <c r="U88" s="237"/>
      <c r="V88" s="237"/>
      <c r="W88" s="237"/>
      <c r="X88" s="237"/>
      <c r="Y88" s="237"/>
      <c r="Z88" s="237"/>
      <c r="AA88" s="237"/>
      <c r="AB88" s="237"/>
      <c r="AC88" s="237"/>
      <c r="AD88" s="237"/>
      <c r="AE88" s="237"/>
      <c r="AF88" s="237"/>
      <c r="AG88" s="237"/>
      <c r="AH88" s="237"/>
      <c r="AI88" s="237"/>
    </row>
    <row r="89" spans="3:35">
      <c r="C89" s="44"/>
      <c r="D89" s="44"/>
      <c r="E89" s="44"/>
      <c r="F89" s="237"/>
      <c r="G89" s="237"/>
      <c r="H89" s="237"/>
      <c r="I89" s="237"/>
      <c r="J89" s="237"/>
      <c r="K89" s="237"/>
      <c r="L89" s="237"/>
      <c r="M89" s="237"/>
      <c r="N89" s="237"/>
      <c r="O89" s="237"/>
      <c r="P89" s="237"/>
      <c r="Q89" s="237"/>
      <c r="R89" s="237"/>
      <c r="S89" s="237"/>
      <c r="T89" s="237"/>
      <c r="U89" s="237"/>
      <c r="V89" s="237"/>
      <c r="W89" s="237"/>
      <c r="X89" s="237"/>
      <c r="Y89" s="237"/>
      <c r="Z89" s="237"/>
      <c r="AA89" s="237"/>
      <c r="AB89" s="237"/>
      <c r="AC89" s="237"/>
      <c r="AD89" s="237"/>
      <c r="AE89" s="237"/>
      <c r="AF89" s="237"/>
      <c r="AG89" s="237"/>
      <c r="AH89" s="237"/>
      <c r="AI89" s="237"/>
    </row>
    <row r="90" spans="3:35">
      <c r="C90" s="44"/>
      <c r="D90" s="44"/>
      <c r="E90" s="44"/>
      <c r="F90" s="237"/>
      <c r="G90" s="237"/>
      <c r="H90" s="237"/>
      <c r="I90" s="237"/>
      <c r="J90" s="237"/>
      <c r="K90" s="237"/>
      <c r="L90" s="237"/>
      <c r="M90" s="237"/>
      <c r="N90" s="237"/>
      <c r="O90" s="237"/>
      <c r="P90" s="237"/>
      <c r="Q90" s="237"/>
      <c r="R90" s="237"/>
      <c r="S90" s="237"/>
      <c r="T90" s="237"/>
      <c r="U90" s="237"/>
      <c r="V90" s="237"/>
      <c r="W90" s="237"/>
      <c r="X90" s="237"/>
      <c r="Y90" s="237"/>
      <c r="Z90" s="237"/>
      <c r="AA90" s="237"/>
      <c r="AB90" s="237"/>
      <c r="AC90" s="237"/>
      <c r="AD90" s="237"/>
      <c r="AE90" s="237"/>
      <c r="AF90" s="237"/>
      <c r="AG90" s="237"/>
      <c r="AH90" s="237"/>
      <c r="AI90" s="237"/>
    </row>
    <row r="91" spans="3:35">
      <c r="C91" s="44"/>
      <c r="D91" s="44"/>
      <c r="E91" s="44"/>
      <c r="F91" s="237"/>
      <c r="G91" s="237"/>
      <c r="H91" s="237"/>
      <c r="I91" s="237"/>
      <c r="J91" s="237"/>
      <c r="K91" s="237"/>
      <c r="L91" s="237"/>
      <c r="M91" s="237"/>
      <c r="N91" s="237"/>
      <c r="O91" s="237"/>
      <c r="P91" s="237"/>
      <c r="Q91" s="237"/>
      <c r="R91" s="237"/>
      <c r="S91" s="237"/>
      <c r="T91" s="237"/>
      <c r="U91" s="237"/>
      <c r="V91" s="237"/>
      <c r="W91" s="237"/>
      <c r="X91" s="237"/>
      <c r="Y91" s="237"/>
      <c r="Z91" s="237"/>
      <c r="AA91" s="237"/>
      <c r="AB91" s="237"/>
      <c r="AC91" s="237"/>
      <c r="AD91" s="237"/>
      <c r="AE91" s="237"/>
      <c r="AF91" s="237"/>
      <c r="AG91" s="237"/>
      <c r="AH91" s="237"/>
      <c r="AI91" s="237"/>
    </row>
    <row r="92" spans="3:35">
      <c r="C92" s="44"/>
      <c r="D92" s="44"/>
      <c r="E92" s="44"/>
      <c r="F92" s="237"/>
      <c r="G92" s="237"/>
      <c r="H92" s="237"/>
      <c r="I92" s="237"/>
      <c r="J92" s="237"/>
      <c r="K92" s="237"/>
      <c r="L92" s="237"/>
      <c r="M92" s="237"/>
      <c r="N92" s="237"/>
      <c r="O92" s="237"/>
      <c r="P92" s="237"/>
      <c r="Q92" s="237"/>
      <c r="R92" s="237"/>
      <c r="S92" s="237"/>
      <c r="T92" s="237"/>
      <c r="U92" s="237"/>
      <c r="V92" s="237"/>
      <c r="W92" s="237"/>
      <c r="X92" s="237"/>
      <c r="Y92" s="237"/>
      <c r="Z92" s="237"/>
      <c r="AA92" s="237"/>
      <c r="AB92" s="237"/>
      <c r="AC92" s="237"/>
      <c r="AD92" s="237"/>
      <c r="AE92" s="237"/>
      <c r="AF92" s="237"/>
      <c r="AG92" s="237"/>
      <c r="AH92" s="237"/>
      <c r="AI92" s="237"/>
    </row>
    <row r="93" spans="3:35">
      <c r="C93" s="44"/>
      <c r="D93" s="44"/>
      <c r="E93" s="44"/>
      <c r="F93" s="237"/>
      <c r="G93" s="237"/>
      <c r="H93" s="237"/>
      <c r="I93" s="237"/>
      <c r="J93" s="237"/>
      <c r="K93" s="237"/>
      <c r="L93" s="237"/>
      <c r="M93" s="237"/>
      <c r="N93" s="237"/>
      <c r="O93" s="237"/>
      <c r="P93" s="237"/>
      <c r="Q93" s="237"/>
      <c r="R93" s="237"/>
      <c r="S93" s="237"/>
      <c r="T93" s="237"/>
      <c r="U93" s="237"/>
      <c r="V93" s="237"/>
      <c r="W93" s="237"/>
      <c r="X93" s="237"/>
      <c r="Y93" s="237"/>
      <c r="Z93" s="237"/>
      <c r="AA93" s="237"/>
      <c r="AB93" s="237"/>
      <c r="AC93" s="237"/>
      <c r="AD93" s="237"/>
      <c r="AE93" s="237"/>
      <c r="AF93" s="237"/>
      <c r="AG93" s="237"/>
      <c r="AH93" s="237"/>
      <c r="AI93" s="237"/>
    </row>
    <row r="94" spans="3:35">
      <c r="C94" s="44"/>
      <c r="D94" s="44"/>
      <c r="E94" s="44"/>
      <c r="F94" s="237"/>
      <c r="G94" s="237"/>
      <c r="H94" s="237"/>
      <c r="I94" s="237"/>
      <c r="J94" s="237"/>
      <c r="K94" s="237"/>
      <c r="L94" s="237"/>
      <c r="M94" s="237"/>
      <c r="N94" s="237"/>
      <c r="O94" s="237"/>
      <c r="P94" s="237"/>
      <c r="Q94" s="237"/>
      <c r="R94" s="237"/>
      <c r="S94" s="237"/>
      <c r="T94" s="237"/>
      <c r="U94" s="237"/>
      <c r="V94" s="237"/>
      <c r="W94" s="237"/>
      <c r="X94" s="237"/>
      <c r="Y94" s="237"/>
      <c r="Z94" s="237"/>
      <c r="AA94" s="237"/>
      <c r="AB94" s="237"/>
      <c r="AC94" s="237"/>
      <c r="AD94" s="237"/>
      <c r="AE94" s="237"/>
      <c r="AF94" s="237"/>
      <c r="AG94" s="237"/>
      <c r="AH94" s="237"/>
      <c r="AI94" s="237"/>
    </row>
    <row r="95" spans="3:35">
      <c r="C95" s="44"/>
      <c r="D95" s="44"/>
      <c r="E95" s="44"/>
      <c r="F95" s="237"/>
      <c r="G95" s="237"/>
      <c r="H95" s="237"/>
      <c r="I95" s="237"/>
      <c r="J95" s="237"/>
      <c r="K95" s="237"/>
      <c r="L95" s="237"/>
      <c r="M95" s="237"/>
      <c r="N95" s="237"/>
      <c r="O95" s="237"/>
      <c r="P95" s="237"/>
      <c r="Q95" s="237"/>
      <c r="R95" s="237"/>
      <c r="S95" s="237"/>
      <c r="T95" s="237"/>
      <c r="U95" s="237"/>
      <c r="V95" s="237"/>
      <c r="W95" s="237"/>
      <c r="X95" s="237"/>
      <c r="Y95" s="237"/>
      <c r="Z95" s="237"/>
      <c r="AA95" s="237"/>
      <c r="AB95" s="237"/>
      <c r="AC95" s="237"/>
      <c r="AD95" s="237"/>
      <c r="AE95" s="237"/>
      <c r="AF95" s="237"/>
      <c r="AG95" s="237"/>
      <c r="AH95" s="237"/>
      <c r="AI95" s="237"/>
    </row>
    <row r="96" spans="3:35">
      <c r="C96" s="44"/>
      <c r="D96" s="44"/>
      <c r="E96" s="44"/>
      <c r="F96" s="237"/>
      <c r="G96" s="237"/>
      <c r="H96" s="237"/>
      <c r="I96" s="237"/>
      <c r="J96" s="237"/>
      <c r="K96" s="237"/>
      <c r="L96" s="237"/>
      <c r="M96" s="237"/>
      <c r="N96" s="237"/>
      <c r="O96" s="237"/>
      <c r="P96" s="237"/>
      <c r="Q96" s="237"/>
      <c r="R96" s="237"/>
      <c r="S96" s="237"/>
      <c r="T96" s="237"/>
      <c r="U96" s="237"/>
      <c r="V96" s="237"/>
      <c r="W96" s="237"/>
      <c r="X96" s="237"/>
      <c r="Y96" s="237"/>
      <c r="Z96" s="237"/>
      <c r="AA96" s="237"/>
      <c r="AB96" s="237"/>
      <c r="AC96" s="237"/>
      <c r="AD96" s="237"/>
      <c r="AE96" s="237"/>
      <c r="AF96" s="237"/>
      <c r="AG96" s="237"/>
      <c r="AH96" s="237"/>
      <c r="AI96" s="237"/>
    </row>
    <row r="97" spans="3:35">
      <c r="C97" s="44"/>
      <c r="D97" s="44"/>
      <c r="E97" s="44"/>
      <c r="F97" s="237"/>
      <c r="G97" s="237"/>
      <c r="H97" s="237"/>
      <c r="I97" s="237"/>
      <c r="J97" s="237"/>
      <c r="K97" s="237"/>
      <c r="L97" s="237"/>
      <c r="M97" s="237"/>
      <c r="N97" s="237"/>
      <c r="O97" s="237"/>
      <c r="P97" s="237"/>
      <c r="Q97" s="237"/>
      <c r="R97" s="237"/>
      <c r="S97" s="237"/>
      <c r="T97" s="237"/>
      <c r="U97" s="237"/>
      <c r="V97" s="237"/>
      <c r="W97" s="237"/>
      <c r="X97" s="237"/>
      <c r="Y97" s="237"/>
      <c r="Z97" s="237"/>
      <c r="AA97" s="237"/>
      <c r="AB97" s="237"/>
      <c r="AC97" s="237"/>
      <c r="AD97" s="237"/>
      <c r="AE97" s="237"/>
      <c r="AF97" s="237"/>
      <c r="AG97" s="237"/>
      <c r="AH97" s="237"/>
      <c r="AI97" s="237"/>
    </row>
    <row r="98" spans="3:35">
      <c r="C98" s="44"/>
      <c r="D98" s="44"/>
      <c r="E98" s="44"/>
      <c r="F98" s="237"/>
      <c r="G98" s="237"/>
      <c r="H98" s="237"/>
      <c r="I98" s="237"/>
      <c r="J98" s="237"/>
      <c r="K98" s="237"/>
      <c r="L98" s="237"/>
      <c r="M98" s="237"/>
      <c r="N98" s="237"/>
      <c r="O98" s="237"/>
      <c r="P98" s="237"/>
      <c r="Q98" s="237"/>
      <c r="R98" s="237"/>
      <c r="S98" s="237"/>
      <c r="T98" s="237"/>
      <c r="U98" s="237"/>
      <c r="V98" s="237"/>
      <c r="W98" s="237"/>
      <c r="X98" s="237"/>
      <c r="Y98" s="237"/>
      <c r="Z98" s="237"/>
      <c r="AA98" s="237"/>
      <c r="AB98" s="237"/>
      <c r="AC98" s="237"/>
      <c r="AD98" s="237"/>
      <c r="AE98" s="237"/>
      <c r="AF98" s="237"/>
      <c r="AG98" s="237"/>
      <c r="AH98" s="237"/>
      <c r="AI98" s="237"/>
    </row>
    <row r="99" spans="3:35">
      <c r="C99" s="44"/>
      <c r="D99" s="44"/>
      <c r="E99" s="44"/>
      <c r="F99" s="237"/>
      <c r="G99" s="237"/>
      <c r="H99" s="237"/>
      <c r="I99" s="237"/>
      <c r="J99" s="237"/>
      <c r="K99" s="237"/>
      <c r="L99" s="237"/>
      <c r="M99" s="237"/>
      <c r="N99" s="237"/>
      <c r="O99" s="237"/>
      <c r="P99" s="237"/>
      <c r="Q99" s="237"/>
    </row>
    <row r="100" spans="3:35">
      <c r="C100" s="44"/>
      <c r="D100" s="44"/>
      <c r="E100" s="44"/>
    </row>
  </sheetData>
  <mergeCells count="1">
    <mergeCell ref="A1:L1"/>
  </mergeCells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792D405-E7FB-4914-846C-0AB91A001174}">
  <sheetPr codeName="Sheet16"/>
  <dimension ref="A1:AB94"/>
  <sheetViews>
    <sheetView topLeftCell="A58" zoomScale="70" zoomScaleNormal="70" workbookViewId="0">
      <selection activeCell="D32" sqref="D32"/>
    </sheetView>
  </sheetViews>
  <sheetFormatPr defaultRowHeight="14.4"/>
  <cols>
    <col min="1" max="1" width="19.88671875" style="200" customWidth="1"/>
    <col min="2" max="2" width="22.33203125" style="200" bestFit="1" customWidth="1"/>
    <col min="3" max="3" width="15.6640625" style="200" customWidth="1"/>
    <col min="4" max="4" width="19.6640625" style="200" customWidth="1"/>
    <col min="5" max="5" width="36" style="200" bestFit="1" customWidth="1"/>
    <col min="6" max="8" width="8.88671875" style="200"/>
    <col min="9" max="9" width="19.6640625" style="200" bestFit="1" customWidth="1"/>
    <col min="10" max="10" width="18.6640625" style="200" customWidth="1"/>
    <col min="11" max="11" width="14.6640625" style="200" customWidth="1"/>
    <col min="12" max="20" width="8.88671875" style="200"/>
    <col min="21" max="21" width="11.109375" style="201" customWidth="1"/>
    <col min="22" max="22" width="15" style="237" customWidth="1"/>
    <col min="23" max="23" width="8.88671875" style="237"/>
    <col min="24" max="24" width="12.88671875" style="237" bestFit="1" customWidth="1"/>
    <col min="25" max="25" width="15.5546875" style="237" bestFit="1" customWidth="1"/>
    <col min="26" max="26" width="14.5546875" style="237" bestFit="1" customWidth="1"/>
    <col min="27" max="27" width="23.5546875" style="105" bestFit="1" customWidth="1"/>
    <col min="28" max="28" width="9.5546875" style="105" bestFit="1" customWidth="1"/>
  </cols>
  <sheetData>
    <row r="1" spans="1:28" ht="15.6">
      <c r="A1" s="339" t="s">
        <v>834</v>
      </c>
      <c r="B1" s="332"/>
      <c r="C1" s="332"/>
      <c r="D1" s="332"/>
      <c r="E1" s="332"/>
      <c r="F1" s="332"/>
      <c r="G1" s="332"/>
      <c r="H1" s="332"/>
      <c r="I1" s="332"/>
      <c r="J1" s="332"/>
      <c r="K1" s="332"/>
      <c r="L1" s="332"/>
      <c r="M1" s="231"/>
      <c r="N1" s="231"/>
      <c r="O1" s="231"/>
      <c r="P1" s="231"/>
      <c r="Q1" s="231"/>
      <c r="R1" s="231"/>
      <c r="S1" s="231"/>
      <c r="T1" s="231"/>
      <c r="U1" s="302" t="s">
        <v>783</v>
      </c>
      <c r="V1" t="s">
        <v>789</v>
      </c>
      <c r="W1" t="s">
        <v>785</v>
      </c>
      <c r="X1" t="s">
        <v>790</v>
      </c>
      <c r="Y1" t="s">
        <v>791</v>
      </c>
      <c r="Z1" t="s">
        <v>792</v>
      </c>
    </row>
    <row r="2" spans="1:28">
      <c r="A2" s="201"/>
      <c r="B2" s="201"/>
      <c r="C2" s="201"/>
      <c r="D2" s="201"/>
      <c r="E2" s="201"/>
      <c r="F2" s="201"/>
      <c r="G2" s="201"/>
      <c r="H2" s="201"/>
      <c r="I2" s="201"/>
      <c r="J2" s="201"/>
      <c r="K2" s="201"/>
      <c r="L2" s="201"/>
      <c r="M2" s="201"/>
      <c r="N2" s="201"/>
      <c r="O2" s="201"/>
      <c r="P2" s="201"/>
      <c r="Q2" s="201"/>
      <c r="R2" s="201"/>
      <c r="S2" s="201"/>
      <c r="T2" s="201"/>
      <c r="U2" s="259">
        <v>-0.5</v>
      </c>
      <c r="V2">
        <f>0.5*AB3</f>
        <v>1250</v>
      </c>
      <c r="W2" s="19">
        <f t="array" ref="W2">IF(
  (V2 * $AB$4 / 1000000 + $AB$5 - TAC) &gt;= 0,
  ((V2 * $AB$4 / 1000000 + $AB$5 - TAC) * (1 - Tax_Rate) + Depreciation) / TCI * 100,
  ((V2 * $AB$4 / 1000000 + $AB$5 - TAC) + Depreciation) / TCI * 100
)</f>
        <v>-26.195555357266031</v>
      </c>
      <c r="X2" s="19">
        <f t="shared" ref="X2:X8" si="0">W2-$W$4</f>
        <v>-40.27705010391314</v>
      </c>
      <c r="Y2" s="19">
        <f t="shared" ref="Y2:Y8" si="1">IF(X2 &lt; 0, X2, 0)</f>
        <v>-40.27705010391314</v>
      </c>
      <c r="Z2" s="19">
        <f t="shared" ref="Z2:Z8" si="2">IF(X2 &gt; 0, X2, 0)</f>
        <v>0</v>
      </c>
      <c r="AA2" s="105" t="s">
        <v>402</v>
      </c>
      <c r="AB2" s="105" t="str">
        <f>TRIM(CLEAN(
 IF('Algorithm Inputs'!B4="For Sale", "Hydrogen",
 IF('Algorithm Inputs'!B5="Ammonia", "Ammonia",
 IF('Algorithm Inputs'!B5="Methanol", "Methanol", "")))))</f>
        <v>Hydrogen</v>
      </c>
    </row>
    <row r="3" spans="1:28" ht="15" thickBot="1">
      <c r="A3" s="201"/>
      <c r="B3" s="201"/>
      <c r="C3" s="201"/>
      <c r="D3" s="201"/>
      <c r="E3" s="201"/>
      <c r="F3" s="201"/>
      <c r="G3" s="201"/>
      <c r="H3" s="201"/>
      <c r="I3" s="201"/>
      <c r="J3" s="201"/>
      <c r="K3" s="201"/>
      <c r="L3" s="201"/>
      <c r="M3" s="201"/>
      <c r="N3" s="201"/>
      <c r="O3" s="201"/>
      <c r="P3" s="201"/>
      <c r="Q3" s="201"/>
      <c r="R3" s="201"/>
      <c r="S3" s="201"/>
      <c r="T3" s="201"/>
      <c r="U3" s="259">
        <v>-0.25</v>
      </c>
      <c r="V3">
        <f>0.75*AB3</f>
        <v>1875</v>
      </c>
      <c r="W3" s="19">
        <f t="array" ref="W3">IF(
  (V3 * $AB$4 / 1000000 + $AB$5 - TAC) &gt;= 0,
  ((V3 * $AB$4 / 1000000 + $AB$5 - TAC) * (1 - Tax_Rate) + Depreciation) / TCI * 100,
  ((V3 * $AB$4 / 1000000 + $AB$5 - TAC) + Depreciation) / TCI * 100
)</f>
        <v>-4.750312649109528</v>
      </c>
      <c r="X3" s="19">
        <f t="shared" si="0"/>
        <v>-18.831807395756641</v>
      </c>
      <c r="Y3" s="19">
        <f t="shared" si="1"/>
        <v>-18.831807395756641</v>
      </c>
      <c r="Z3" s="19">
        <f t="shared" si="2"/>
        <v>0</v>
      </c>
      <c r="AA3" s="105" t="s">
        <v>786</v>
      </c>
      <c r="AB3" s="105">
        <f t="array" ref="AB3">INDEX('Algorithm Inputs'!B8:B11, MATCH(AB2, TRIM(CLEAN('Algorithm Inputs'!A8:A11)), 0))</f>
        <v>2500</v>
      </c>
    </row>
    <row r="4" spans="1:28">
      <c r="A4" s="333" t="s">
        <v>763</v>
      </c>
      <c r="B4" s="334"/>
      <c r="C4" s="334"/>
      <c r="D4" s="335"/>
      <c r="E4" s="201"/>
      <c r="F4" s="201"/>
      <c r="G4" s="201"/>
      <c r="H4" s="201"/>
      <c r="I4" s="200" t="s">
        <v>488</v>
      </c>
      <c r="J4" s="200" t="s">
        <v>769</v>
      </c>
      <c r="K4" s="200" t="s">
        <v>768</v>
      </c>
      <c r="L4" s="201"/>
      <c r="M4" s="201"/>
      <c r="N4" s="201"/>
      <c r="O4" s="201"/>
      <c r="P4" s="201"/>
      <c r="Q4" s="201"/>
      <c r="R4" s="201"/>
      <c r="S4" s="201"/>
      <c r="T4" s="201"/>
      <c r="U4" s="259">
        <v>0</v>
      </c>
      <c r="V4">
        <f>AB3</f>
        <v>2500</v>
      </c>
      <c r="W4" s="19">
        <f t="array" ref="W4">IF(
  (V4 * $AB$4 / 1000000 + $AB$5 - TAC) &gt;= 0,
  ((V4 * $AB$4 / 1000000 + $AB$5 - TAC) * (1 - Tax_Rate) + Depreciation) / TCI * 100,
  ((V4 * $AB$4 / 1000000 + $AB$5 - TAC) + Depreciation) / TCI * 100
)</f>
        <v>14.081494746647111</v>
      </c>
      <c r="X4" s="19">
        <f t="shared" si="0"/>
        <v>0</v>
      </c>
      <c r="Y4" s="19">
        <f t="shared" si="1"/>
        <v>0</v>
      </c>
      <c r="Z4" s="19">
        <f t="shared" si="2"/>
        <v>0</v>
      </c>
      <c r="AA4" s="105" t="s">
        <v>787</v>
      </c>
      <c r="AB4" s="105">
        <f t="array" ref="AB4">IF('Algorithm Inputs'!B4="For Sale", 'Algorithm Inputs'!C3,
 IF('Algorithm Inputs'!B5="Ammonia", 'Algorithm Inputs'!C3 * 5.61,
 IF('Algorithm Inputs'!B5="Methanol", 'Algorithm Inputs'!C3 * 5.68, 0)))</f>
        <v>36500</v>
      </c>
    </row>
    <row r="5" spans="1:28" ht="15" thickBot="1">
      <c r="A5" s="240" t="s">
        <v>402</v>
      </c>
      <c r="B5" s="200" t="s">
        <v>714</v>
      </c>
      <c r="C5" s="200" t="s">
        <v>715</v>
      </c>
      <c r="D5" s="203" t="s">
        <v>716</v>
      </c>
      <c r="E5" s="201"/>
      <c r="F5" s="201"/>
      <c r="G5" s="201"/>
      <c r="H5" s="201"/>
      <c r="I5" s="200" t="s">
        <v>273</v>
      </c>
      <c r="J5" s="260">
        <f t="array" ref="J5">IF(
  'Algorithm Inputs'!B4 = "For Sale",
  B14 / 'Algorithm Inputs'!C3,
  B14 /
    (
      'Algorithm Inputs'!C3 *
      IF('Algorithm Inputs'!B5 = "Ammonia", 5.61, 5.68)
    )
)</f>
        <v>1.2386196958217308E-4</v>
      </c>
      <c r="K5" s="261">
        <f>J5*10^6</f>
        <v>123.86196958217307</v>
      </c>
      <c r="L5" s="201"/>
      <c r="M5" s="201"/>
      <c r="N5" s="201"/>
      <c r="O5" s="201"/>
      <c r="P5" s="201"/>
      <c r="Q5" s="201"/>
      <c r="R5" s="201"/>
      <c r="S5" s="201"/>
      <c r="T5" s="201"/>
      <c r="U5" s="259">
        <v>0.25</v>
      </c>
      <c r="V5">
        <f>1.25*AB3</f>
        <v>3125</v>
      </c>
      <c r="W5" s="19">
        <f t="array" ref="W5">IF(
  (V5 * $AB$4 / 1000000 + $AB$5 - TAC) &gt;= 0,
  ((V5 * $AB$4 / 1000000 + $AB$5 - TAC) * (1 - Tax_Rate) + Depreciation) / TCI * 100,
  ((V5 * $AB$4 / 1000000 + $AB$5 - TAC) + Depreciation) / TCI * 100
)</f>
        <v>31.023236486090749</v>
      </c>
      <c r="X5" s="19">
        <f t="shared" si="0"/>
        <v>16.941741739443636</v>
      </c>
      <c r="Y5" s="19">
        <f t="shared" si="1"/>
        <v>0</v>
      </c>
      <c r="Z5" s="19">
        <f t="shared" si="2"/>
        <v>16.941741739443636</v>
      </c>
      <c r="AA5" s="105" t="s">
        <v>788</v>
      </c>
      <c r="AB5" s="105">
        <f>IF(
  'Algorithm Inputs'!B2 = "Water Electrolysis",
  INDEX('Algorithm Inputs'!B8:B11, MATCH("O₂", 'Algorithm Inputs'!A8:A11, 0)) * 7.95 * 'Algorithm Inputs'!C3 / 1000000,
  IF(
    AND('Algorithm Inputs'!B4 = "For Sale", 'Algorithm Inputs'!B2 = "Steam Methane Reforming"),
    INDEX('Algorithm Inputs'!B8:B11, MATCH("CO₂", 'Algorithm Inputs'!A8:A11, 0)) * 4.45 * 'Algorithm Inputs'!C3 / 1000000,
    IF(
      AND('Algorithm Inputs'!B4 = "Downstream Process", 'Algorithm Inputs'!B2 = "Steam Methane Reforming", 'Algorithm Inputs'!B5 = "Methanol"),
      INDEX('Algorithm Inputs'!B8:B11, MATCH("Hydrogen", 'Algorithm Inputs'!A8:A11, 0)) * 0.094 * 'Algorithm Inputs'!C3 / 1000000,
    0)
  )
)</f>
        <v>0</v>
      </c>
    </row>
    <row r="6" spans="1:28">
      <c r="A6" s="262" t="str">
        <f>'Algorithm Inputs'!A8</f>
        <v>Hydrogen</v>
      </c>
      <c r="B6" s="263">
        <f>IF(A6&lt;&gt;"", INDEX('Algorithm Results'!E6:E50, MATCH(VLOOKUP(A6, SCALING!AG6:AH11, 2, FALSE), 'Algorithm Results'!B6:B50, 0)), "")</f>
        <v>36500</v>
      </c>
      <c r="C6" s="264">
        <f>IF('Algorithm Inputs'!B8&lt;&gt;"", 'Algorithm Inputs'!B8, VLOOKUP(A6, SCALING!AA7:AB21, 2, FALSE))</f>
        <v>2500</v>
      </c>
      <c r="D6" s="265">
        <f>IF(AND(ISNUMBER(B6), ISNUMBER(C6)), B6*C6, "")</f>
        <v>91250000</v>
      </c>
      <c r="E6" s="201"/>
      <c r="F6" s="201"/>
      <c r="G6" s="201"/>
      <c r="H6" s="201"/>
      <c r="I6" s="200" t="s">
        <v>219</v>
      </c>
      <c r="J6" s="260">
        <f t="array" ref="J6">IF(
  'Algorithm Inputs'!B4 = "For Sale",
  B17 / 'Algorithm Inputs'!C3,
  B17 /
    (
      'Algorithm Inputs'!C3 *
      IF('Algorithm Inputs'!B5 = "Ammonia", 5.61, 5.68)
    )
)</f>
        <v>1.8134430778470158E-3</v>
      </c>
      <c r="K6" s="261">
        <f t="shared" ref="K6:K7" si="3">J6*10^6</f>
        <v>1813.4430778470157</v>
      </c>
      <c r="L6" s="201"/>
      <c r="M6" s="201"/>
      <c r="N6" s="201"/>
      <c r="O6" s="201"/>
      <c r="P6" s="201"/>
      <c r="Q6" s="201"/>
      <c r="R6" s="201"/>
      <c r="S6" s="201"/>
      <c r="T6" s="201"/>
      <c r="U6" s="259">
        <v>0.5</v>
      </c>
      <c r="V6">
        <f>1.5*AB3</f>
        <v>3750</v>
      </c>
      <c r="W6" s="19">
        <f t="array" ref="W6">IF(
  (V6 * $AB$4 / 1000000 + $AB$5 - TAC) &gt;= 0,
  ((V6 * $AB$4 / 1000000 + $AB$5 - TAC) * (1 - Tax_Rate) + Depreciation) / TCI * 100,
  ((V6 * $AB$4 / 1000000 + $AB$5 - TAC) + Depreciation) / TCI * 100
)</f>
        <v>47.964978225534381</v>
      </c>
      <c r="X6" s="19">
        <f t="shared" si="0"/>
        <v>33.883483478887271</v>
      </c>
      <c r="Y6" s="19">
        <f t="shared" si="1"/>
        <v>0</v>
      </c>
      <c r="Z6" s="19">
        <f t="shared" si="2"/>
        <v>33.883483478887271</v>
      </c>
      <c r="AB6" s="105" t="str">
        <f>INDEX(ProcessMap[Short Form], MATCH('Algorithm Inputs'!B2, ProcessMap[Full Name], 0))</f>
        <v>SMR</v>
      </c>
    </row>
    <row r="7" spans="1:28">
      <c r="A7" s="266" t="str">
        <f>'Algorithm Inputs'!A9</f>
        <v>CO₂</v>
      </c>
      <c r="B7" s="267">
        <f>IF(A7&lt;&gt;"", INDEX('Algorithm Results'!E7:E51, MATCH(VLOOKUP(A7, SCALING!AG7:AH12, 2, FALSE), 'Algorithm Results'!B7:B51, 0)), "")</f>
        <v>208777.07999999996</v>
      </c>
      <c r="C7" s="268">
        <f>IF('Algorithm Inputs'!B9&lt;&gt;"", 'Algorithm Inputs'!B9, VLOOKUP(A7, SCALING!AA7:AB21, 2, FALSE))</f>
        <v>0</v>
      </c>
      <c r="D7" s="269">
        <f>IF(AND(ISNUMBER(B7), ISNUMBER(C7)), B7*C7, "")</f>
        <v>0</v>
      </c>
      <c r="E7" s="201"/>
      <c r="F7" s="201"/>
      <c r="G7" s="201"/>
      <c r="H7" s="201"/>
      <c r="I7" s="200" t="s">
        <v>210</v>
      </c>
      <c r="J7" s="270">
        <f t="array" ref="J7">IF('Algorithm Inputs'!B4 = "For Sale",
    SCALING!J115,
    IF('Algorithm Inputs'!B5 = "Ammonia",
        SCALING!J118,
        IF('Algorithm Inputs'!B5 = "Methanol",
            SCALING!J119,
            0)))</f>
        <v>1.9999999999999998E-4</v>
      </c>
      <c r="K7" s="200">
        <f t="shared" si="3"/>
        <v>199.99999999999997</v>
      </c>
      <c r="L7" s="201"/>
      <c r="M7" s="201"/>
      <c r="N7" s="201"/>
      <c r="O7" s="201"/>
      <c r="P7" s="201"/>
      <c r="Q7" s="201"/>
      <c r="R7" s="201"/>
      <c r="S7" s="201"/>
      <c r="T7" s="201"/>
      <c r="U7" s="259">
        <v>0.75</v>
      </c>
      <c r="V7">
        <f>1.75*AB3</f>
        <v>4375</v>
      </c>
      <c r="W7" s="19">
        <f t="array" ref="W7">IF(
  (V7 * $AB$4 / 1000000 + $AB$5 - TAC) &gt;= 0,
  ((V7 * $AB$4 / 1000000 + $AB$5 - TAC) * (1 - Tax_Rate) + Depreciation) / TCI * 100,
  ((V7 * $AB$4 / 1000000 + $AB$5 - TAC) + Depreciation) / TCI * 100
)</f>
        <v>64.906719964978024</v>
      </c>
      <c r="X7" s="19">
        <f t="shared" si="0"/>
        <v>50.825225218330914</v>
      </c>
      <c r="Y7" s="19">
        <f t="shared" si="1"/>
        <v>0</v>
      </c>
      <c r="Z7" s="19">
        <f t="shared" si="2"/>
        <v>50.825225218330914</v>
      </c>
      <c r="AA7" s="105" t="s">
        <v>797</v>
      </c>
      <c r="AB7" s="105">
        <f>INDEX(ProcessEcon[Base CAPEX(MM USD)], MATCH(AB6, ProcessEcon[Process], 0))</f>
        <v>90.419237794986358</v>
      </c>
    </row>
    <row r="8" spans="1:28">
      <c r="A8" s="266" t="str">
        <f>'Algorithm Inputs'!A10</f>
        <v/>
      </c>
      <c r="B8" s="267" t="str">
        <f>IF(A8&lt;&gt;"", INDEX('Algorithm Results'!E8:E52, MATCH(VLOOKUP(A8, SCALING!AG8:AH13, 2, FALSE), 'Algorithm Results'!B8:B52, 0)), "")</f>
        <v/>
      </c>
      <c r="C8" s="268" t="e">
        <f>IF('Algorithm Inputs'!B10&lt;&gt;"", 'Algorithm Inputs'!B10, VLOOKUP(A8, SCALING!AA7:AB21, 2, FALSE))</f>
        <v>#N/A</v>
      </c>
      <c r="D8" s="271" t="str">
        <f>IF(AND(ISNUMBER(B8), ISNUMBER(C8)), B8*C8, "")</f>
        <v/>
      </c>
      <c r="E8" s="201"/>
      <c r="F8" s="201"/>
      <c r="G8" s="201"/>
      <c r="H8" s="201"/>
      <c r="I8" s="200" t="s">
        <v>771</v>
      </c>
      <c r="J8" s="270">
        <f>SUM(J5:J7)</f>
        <v>2.137305047429189E-3</v>
      </c>
      <c r="K8" s="261">
        <f>SUM(K5:K7)</f>
        <v>2137.3050474291886</v>
      </c>
      <c r="L8" s="201"/>
      <c r="M8" s="201"/>
      <c r="N8" s="201"/>
      <c r="O8" s="201"/>
      <c r="P8" s="201"/>
      <c r="Q8" s="201"/>
      <c r="R8" s="201"/>
      <c r="S8" s="201"/>
      <c r="T8" s="201"/>
      <c r="U8" s="259">
        <v>1</v>
      </c>
      <c r="V8">
        <f>2*AB3</f>
        <v>5000</v>
      </c>
      <c r="W8" s="19">
        <f t="array" ref="W8">IF(
  (V8 * $AB$4 / 1000000 + $AB$5 - TAC) &gt;= 0,
  ((V8 * $AB$4 / 1000000 + $AB$5 - TAC) * (1 - Tax_Rate) + Depreciation) / TCI * 100,
  ((V8 * $AB$4 / 1000000 + $AB$5 - TAC) + Depreciation) / TCI * 100
)</f>
        <v>81.848461704421666</v>
      </c>
      <c r="X8" s="19">
        <f t="shared" si="0"/>
        <v>67.766966957774557</v>
      </c>
      <c r="Y8" s="19">
        <f t="shared" si="1"/>
        <v>0</v>
      </c>
      <c r="Z8" s="19">
        <f t="shared" si="2"/>
        <v>67.766966957774557</v>
      </c>
      <c r="AA8" s="105" t="s">
        <v>798</v>
      </c>
      <c r="AB8" s="105">
        <f>INDEX(ProcessEcon[Base Capacity(MTPA)], MATCH(AB6, ProcessEcon[Process], 0))</f>
        <v>36500</v>
      </c>
    </row>
    <row r="9" spans="1:28" ht="15" thickBot="1">
      <c r="A9" s="272" t="str">
        <f>'Algorithm Inputs'!A11</f>
        <v/>
      </c>
      <c r="B9" s="273" t="str">
        <f>IF(A9&lt;&gt;"", INDEX('Algorithm Results'!E9:E53, MATCH(VLOOKUP(A9, SCALING!AG9:AH14, 2, FALSE), 'Algorithm Results'!B9:B53, 0)), "")</f>
        <v/>
      </c>
      <c r="C9" s="274" t="e">
        <f>IF('Algorithm Inputs'!B11&lt;&gt;"", 'Algorithm Inputs'!B11, VLOOKUP(A9, SCALING!AA7:AB21, 2, FALSE))</f>
        <v>#N/A</v>
      </c>
      <c r="D9" s="275" t="str">
        <f>IF(AND(ISNUMBER(B9), ISNUMBER(C9)), B9*C9, "")</f>
        <v/>
      </c>
      <c r="E9" s="201"/>
      <c r="F9" s="201"/>
      <c r="G9" s="201"/>
      <c r="H9" s="201"/>
      <c r="I9" s="201"/>
      <c r="J9" s="201"/>
      <c r="K9" s="201"/>
      <c r="L9" s="201"/>
      <c r="M9" s="201"/>
      <c r="N9" s="201"/>
      <c r="O9" s="201"/>
      <c r="P9" s="201"/>
      <c r="Q9" s="201"/>
      <c r="R9" s="201"/>
      <c r="S9" s="201"/>
      <c r="T9" s="201"/>
      <c r="AB9" s="307">
        <f>AB7 * ('Algorithm Inputs'!C3 / AB8)^0.6</f>
        <v>90.419237794986358</v>
      </c>
    </row>
    <row r="10" spans="1:28">
      <c r="A10" s="298"/>
      <c r="B10" s="299"/>
      <c r="C10" s="201"/>
      <c r="D10" s="201"/>
      <c r="E10" s="201"/>
      <c r="F10" s="201"/>
      <c r="G10" s="201"/>
      <c r="H10" s="201"/>
      <c r="I10" s="201"/>
      <c r="J10" s="201"/>
      <c r="K10" s="201"/>
      <c r="L10" s="201"/>
      <c r="M10" s="201"/>
      <c r="N10" s="201"/>
      <c r="O10" s="201"/>
      <c r="P10" s="201"/>
      <c r="Q10" s="201"/>
      <c r="R10" s="201"/>
      <c r="S10" s="201"/>
      <c r="T10" s="201"/>
      <c r="AA10" s="105" t="s">
        <v>796</v>
      </c>
      <c r="AB10" s="105">
        <f>IF('Algorithm Inputs'!B5 = "Ammonia", 'Algorithm Inputs'!C3 * 5.61,
 IF('Algorithm Inputs'!B5 = "Methanol", 'Algorithm Inputs'!C3 * 5.68, 0))</f>
        <v>0</v>
      </c>
    </row>
    <row r="11" spans="1:28">
      <c r="A11" s="278" t="s">
        <v>761</v>
      </c>
      <c r="B11" s="279" t="s">
        <v>762</v>
      </c>
      <c r="C11" s="201"/>
      <c r="D11" s="201"/>
      <c r="E11" s="201"/>
      <c r="F11" s="201"/>
      <c r="G11" s="201"/>
      <c r="H11" s="201"/>
      <c r="I11" s="201"/>
      <c r="J11" s="201"/>
      <c r="K11" s="201"/>
      <c r="L11" s="201"/>
      <c r="M11" s="201"/>
      <c r="N11" s="201"/>
      <c r="O11" s="201"/>
      <c r="P11" s="201"/>
      <c r="Q11" s="201"/>
      <c r="R11" s="201"/>
      <c r="S11" s="201"/>
      <c r="T11" s="201"/>
      <c r="AA11" s="105" t="s">
        <v>665</v>
      </c>
      <c r="AB11" s="105" t="str">
        <f>IF('Algorithm Inputs'!B5 = "Ammonia", "HB", IF('Algorithm Inputs'!B5 = "Methanol", "MeOH", ""))</f>
        <v/>
      </c>
    </row>
    <row r="12" spans="1:28">
      <c r="A12" s="280" t="s">
        <v>722</v>
      </c>
      <c r="B12" s="281">
        <f>SUM(D6:D9)/10^6</f>
        <v>91.25</v>
      </c>
      <c r="C12" s="201"/>
      <c r="D12" s="201"/>
      <c r="E12" s="201"/>
      <c r="F12" s="201"/>
      <c r="G12" s="201"/>
      <c r="H12" s="201"/>
      <c r="I12" s="201"/>
      <c r="J12" s="201"/>
      <c r="K12" s="201"/>
      <c r="L12" s="201"/>
      <c r="M12" s="201"/>
      <c r="N12" s="201"/>
      <c r="O12" s="201"/>
      <c r="P12" s="201"/>
      <c r="Q12" s="201"/>
      <c r="R12" s="201"/>
      <c r="S12" s="201"/>
      <c r="T12" s="201"/>
      <c r="AA12" s="105" t="s">
        <v>800</v>
      </c>
      <c r="AB12" s="105" t="e">
        <f>INDEX(ProcessEcon[Base CAPEX(MM USD)], MATCH(AB11, ProcessEcon[Process], 0))</f>
        <v>#N/A</v>
      </c>
    </row>
    <row r="13" spans="1:28">
      <c r="A13" s="280" t="s">
        <v>273</v>
      </c>
      <c r="B13" s="282">
        <f t="array" ref="B13">IF(
  'Algorithm Inputs'!B4 = "For Sale",
  VLOOKUP(
    VLOOKUP('Algorithm Inputs'!B2, ProcessMap[], 2, FALSE),
    ProcessEcon[], 3, FALSE
  ) *
  ('Algorithm Inputs'!C3 /
    VLOOKUP(
      VLOOKUP('Algorithm Inputs'!B2, ProcessMap[], 2, FALSE),
      ProcessEcon[], 4, FALSE
    )
  )^0.6,
  VLOOKUP(
    VLOOKUP('Algorithm Inputs'!B2, ProcessMap[], 2, FALSE),
    ProcessEcon[], 3, FALSE
  ) *
  ('Algorithm Inputs'!C3 /
    VLOOKUP(
      VLOOKUP('Algorithm Inputs'!B2, ProcessMap[], 2, FALSE),
      ProcessEcon[], 4, FALSE
    )
  )^0.6 +
  VLOOKUP(
    VLOOKUP('Algorithm Inputs'!B5, ProcessMap[], 2, FALSE),
    ProcessEcon[], 3, FALSE
  ) *
  (
    'Algorithm Inputs'!C3 *
    INDEX(
      SCALING!D79:D95,
      MATCH(
        1,
        (SCALING!A79:A95 = VLOOKUP('Algorithm Inputs'!B5, ProcessMap[], 2, FALSE)) *
        (SCALING!C79:C95 = VLOOKUP('Algorithm Inputs'!B5, DownstreamMap[], 2, FALSE)),
        0
      )
    ) /
    VLOOKUP(
      VLOOKUP('Algorithm Inputs'!B5, ProcessMap[], 2, FALSE),
      ProcessEcon[], 4, FALSE
    )
  )^0.6
)</f>
        <v>90.419237794986358</v>
      </c>
      <c r="C13" s="201"/>
      <c r="D13" s="201"/>
      <c r="E13" s="201"/>
      <c r="F13" s="201"/>
      <c r="G13" s="201"/>
      <c r="H13" s="201"/>
      <c r="I13" s="201"/>
      <c r="J13" s="201"/>
      <c r="K13" s="201"/>
      <c r="L13" s="201"/>
      <c r="M13" s="201"/>
      <c r="N13" s="201"/>
      <c r="O13" s="201"/>
      <c r="P13" s="201"/>
      <c r="Q13" s="201"/>
      <c r="R13" s="201"/>
      <c r="S13" s="201"/>
      <c r="T13" s="201"/>
      <c r="AA13" s="105" t="s">
        <v>801</v>
      </c>
      <c r="AB13" s="105" t="e">
        <f>INDEX(ProcessEcon[Base Capacity(MTPA)], MATCH(AB11, ProcessEcon[Process], 0))</f>
        <v>#N/A</v>
      </c>
    </row>
    <row r="14" spans="1:28">
      <c r="A14" s="280" t="s">
        <v>723</v>
      </c>
      <c r="B14" s="283">
        <f t="array" ref="B14">IF(
  AND(
    'Algorithm Inputs'!B4 = "For Sale",
    VLOOKUP('Algorithm Inputs'!B2, ProcessMap[], 2, FALSE) = "WE"
  ),
  CAPEX / 7,
  CAPEX / 20
)</f>
        <v>4.5209618897493176</v>
      </c>
      <c r="C14" s="201"/>
      <c r="D14" s="201"/>
      <c r="E14" s="201"/>
      <c r="F14" s="201"/>
      <c r="G14" s="201"/>
      <c r="H14" s="201"/>
      <c r="I14" s="201"/>
      <c r="J14" s="201"/>
      <c r="K14" s="201"/>
      <c r="L14" s="201"/>
      <c r="M14" s="201"/>
      <c r="N14" s="201"/>
      <c r="O14" s="201"/>
      <c r="P14" s="201"/>
      <c r="Q14" s="201"/>
      <c r="R14" s="201"/>
      <c r="S14" s="201"/>
      <c r="T14" s="201"/>
      <c r="AA14" s="105" t="s">
        <v>799</v>
      </c>
      <c r="AB14" s="105" t="e">
        <f>AB12 * (AB10 / AB13)^0.6</f>
        <v>#N/A</v>
      </c>
    </row>
    <row r="15" spans="1:28">
      <c r="A15" s="280" t="s">
        <v>767</v>
      </c>
      <c r="B15" s="283">
        <f t="array" ref="B15">IF('Algorithm Inputs'!B4 = "For Sale",
   'Algorithm Inputs'!C3 * SCALING!J115,
   IF('Algorithm Inputs'!B5 = "Ammonia",
      'Algorithm Inputs'!C3 * 5.61 * SCALING!J118,
   IF('Algorithm Inputs'!B5 = "Methanol",
      'Algorithm Inputs'!C3 * 5.68 * SCALING!J119,
   0)))</f>
        <v>7.2999999999999989</v>
      </c>
      <c r="C15" s="201"/>
      <c r="D15" s="201"/>
      <c r="E15" s="201"/>
      <c r="F15" s="201"/>
      <c r="G15" s="201"/>
      <c r="H15" s="201"/>
      <c r="I15" s="201"/>
      <c r="J15" s="201"/>
      <c r="K15" s="201"/>
      <c r="L15" s="201"/>
      <c r="M15" s="201"/>
      <c r="N15" s="201"/>
      <c r="O15" s="201"/>
      <c r="P15" s="201"/>
      <c r="Q15" s="201"/>
      <c r="R15" s="201"/>
      <c r="S15" s="201"/>
      <c r="T15" s="201"/>
      <c r="AB15" s="105">
        <f>IF('Algorithm Inputs'!B4 = "For Sale", AB9, AB9 + AB14)</f>
        <v>90.419237794986358</v>
      </c>
    </row>
    <row r="16" spans="1:28" ht="28.8">
      <c r="A16" s="280" t="s">
        <v>724</v>
      </c>
      <c r="B16" s="282">
        <f>B13/0.85</f>
        <v>106.37557387645454</v>
      </c>
      <c r="C16" s="201"/>
      <c r="D16" s="201"/>
      <c r="E16" s="201"/>
      <c r="F16" s="201"/>
      <c r="G16" s="201"/>
      <c r="H16" s="201"/>
      <c r="I16" s="201"/>
      <c r="J16" s="201"/>
      <c r="K16" s="201"/>
      <c r="L16" s="201"/>
      <c r="M16" s="201"/>
      <c r="N16" s="201"/>
      <c r="O16" s="201"/>
      <c r="P16" s="201"/>
      <c r="Q16" s="201"/>
      <c r="R16" s="201"/>
      <c r="S16" s="201"/>
      <c r="T16" s="201"/>
    </row>
    <row r="17" spans="1:20">
      <c r="A17" s="280" t="s">
        <v>219</v>
      </c>
      <c r="B17" s="282">
        <f t="array" ref="B17">IF(
  'Algorithm Inputs'!B4 = "For Sale",
  'Algorithm Inputs'!C3 *
  IF(
    'Algorithm Inputs'!B12 = "Conventional Grid",
    VLOOKUP(VLOOKUP('Algorithm Inputs'!B2, ProcessMap[], 2, FALSE), ProcessEcon[], 6, FALSE),
    VLOOKUP(VLOOKUP('Algorithm Inputs'!B2, ProcessMap[], 2, FALSE), ProcessEcon[], 8, FALSE)
  ),
  'Algorithm Inputs'!C3 *
  (
    IF(
      'Algorithm Inputs'!B12 = "Conventional Grid",
      VLOOKUP(VLOOKUP('Algorithm Inputs'!B2, ProcessMap[], 2, FALSE), ProcessEcon[], 6, FALSE) +
      VLOOKUP(VLOOKUP('Algorithm Inputs'!B5, ProcessMap[], 2, FALSE), ProcessEcon[], 6, FALSE),
      VLOOKUP(VLOOKUP('Algorithm Inputs'!B2, ProcessMap[], 2, FALSE), ProcessEcon[], 8, FALSE) +
      VLOOKUP(VLOOKUP('Algorithm Inputs'!B5, ProcessMap[], 2, FALSE), ProcessEcon[], 8, FALSE)
    )
  )
)</f>
        <v>66.190672341416075</v>
      </c>
      <c r="C17" s="201"/>
      <c r="D17" s="201"/>
      <c r="E17" s="201"/>
      <c r="F17" s="201"/>
      <c r="G17" s="201"/>
      <c r="H17" s="201"/>
      <c r="I17" s="201"/>
      <c r="J17" s="201"/>
      <c r="K17" s="201"/>
      <c r="L17" s="201"/>
      <c r="M17" s="201"/>
      <c r="N17" s="201"/>
      <c r="O17" s="201"/>
      <c r="P17" s="201"/>
      <c r="Q17" s="201"/>
      <c r="R17" s="201"/>
      <c r="S17" s="201"/>
      <c r="T17" s="201"/>
    </row>
    <row r="18" spans="1:20">
      <c r="A18" s="280" t="s">
        <v>725</v>
      </c>
      <c r="B18" s="283">
        <f>CAPEX/Plant_life</f>
        <v>4.5209618897493176</v>
      </c>
      <c r="C18" s="201"/>
      <c r="D18" s="201"/>
      <c r="E18" s="201"/>
      <c r="F18" s="201"/>
      <c r="G18" s="201"/>
      <c r="H18" s="201"/>
      <c r="I18" s="201"/>
      <c r="J18" s="201"/>
      <c r="K18" s="201"/>
      <c r="L18" s="201"/>
      <c r="M18" s="201"/>
      <c r="N18" s="201"/>
      <c r="O18" s="201"/>
      <c r="P18" s="201"/>
      <c r="Q18" s="201"/>
      <c r="R18" s="201"/>
      <c r="S18" s="201"/>
      <c r="T18" s="201"/>
    </row>
    <row r="19" spans="1:20" ht="28.8">
      <c r="A19" s="280" t="s">
        <v>726</v>
      </c>
      <c r="B19" s="282">
        <f>OPEX+Depreciation+Storage</f>
        <v>78.011634231165388</v>
      </c>
      <c r="C19" s="201"/>
      <c r="D19" s="201"/>
      <c r="E19" s="201"/>
      <c r="F19" s="201"/>
      <c r="G19" s="201"/>
      <c r="H19" s="201"/>
      <c r="I19" s="201"/>
      <c r="J19" s="201"/>
      <c r="K19" s="201"/>
      <c r="L19" s="201"/>
      <c r="M19" s="201"/>
      <c r="N19" s="201"/>
      <c r="O19" s="201"/>
      <c r="P19" s="201"/>
      <c r="Q19" s="201"/>
      <c r="R19" s="201"/>
      <c r="S19" s="201"/>
      <c r="T19" s="201"/>
    </row>
    <row r="20" spans="1:20" ht="15" thickBot="1">
      <c r="A20" s="284" t="s">
        <v>727</v>
      </c>
      <c r="B20" s="285">
        <f t="array" ref="B20">IF(
  Revenue - TAC &gt;= 0,
  (Revenue - TAC) * (1 - Tax_Rate) + Depreciation,
  Revenue - TAC + Depreciation
)</f>
        <v>14.979270847128662</v>
      </c>
      <c r="C20" s="201"/>
      <c r="D20" s="201"/>
      <c r="E20" s="201"/>
      <c r="F20" s="201"/>
      <c r="G20" s="201"/>
      <c r="H20" s="201"/>
      <c r="I20" s="201"/>
      <c r="J20" s="201"/>
      <c r="K20" s="201"/>
      <c r="L20" s="201"/>
      <c r="M20" s="201"/>
      <c r="N20" s="201"/>
      <c r="O20" s="201"/>
      <c r="P20" s="201"/>
      <c r="Q20" s="201"/>
      <c r="R20" s="201"/>
      <c r="S20" s="201"/>
      <c r="T20" s="201"/>
    </row>
    <row r="21" spans="1:20" ht="15" thickBot="1">
      <c r="A21" s="286" t="s">
        <v>760</v>
      </c>
      <c r="B21" s="287">
        <f>Net_Profit*100/TCI</f>
        <v>14.08149474664711</v>
      </c>
      <c r="C21" s="201"/>
      <c r="D21" s="201"/>
      <c r="E21" s="201"/>
      <c r="F21" s="201"/>
      <c r="G21" s="201"/>
      <c r="H21" s="201"/>
      <c r="I21" s="201"/>
      <c r="J21" s="201"/>
      <c r="K21" s="201"/>
      <c r="L21" s="201"/>
      <c r="M21" s="201"/>
      <c r="N21" s="201"/>
      <c r="O21" s="201"/>
      <c r="P21" s="201"/>
      <c r="Q21" s="201"/>
      <c r="R21" s="201"/>
      <c r="S21" s="201"/>
      <c r="T21" s="201"/>
    </row>
    <row r="22" spans="1:20" ht="29.4" thickBot="1">
      <c r="A22" s="288" t="s">
        <v>729</v>
      </c>
      <c r="B22" s="289">
        <f t="array" ref="B22">IF(Net_Profit &gt; 0, CAPEX / Net_Profit, "")</f>
        <v>6.0362909995928531</v>
      </c>
      <c r="C22" s="201"/>
      <c r="D22" s="201"/>
      <c r="E22" s="201"/>
      <c r="F22" s="201"/>
      <c r="G22" s="201"/>
      <c r="H22" s="201"/>
      <c r="I22" s="201"/>
      <c r="J22" s="201"/>
      <c r="K22" s="201"/>
      <c r="L22" s="201"/>
      <c r="M22" s="201"/>
      <c r="N22" s="201"/>
      <c r="O22" s="201"/>
      <c r="P22" s="201"/>
      <c r="Q22" s="201"/>
      <c r="R22" s="201"/>
      <c r="S22" s="201"/>
      <c r="T22" s="201"/>
    </row>
    <row r="23" spans="1:20" ht="15" thickBot="1">
      <c r="A23" s="288" t="s">
        <v>836</v>
      </c>
      <c r="B23" s="290">
        <f>E49</f>
        <v>70.410743665647132</v>
      </c>
      <c r="C23" s="201"/>
      <c r="D23" s="201"/>
      <c r="E23" s="201"/>
      <c r="F23" s="201"/>
      <c r="G23" s="201"/>
      <c r="H23" s="201"/>
      <c r="I23" s="201"/>
      <c r="J23" s="201"/>
      <c r="K23" s="201"/>
      <c r="L23" s="201"/>
      <c r="M23" s="201"/>
      <c r="N23" s="201"/>
      <c r="O23" s="201"/>
      <c r="P23" s="201"/>
      <c r="Q23" s="201"/>
      <c r="R23" s="201"/>
      <c r="S23" s="201"/>
      <c r="T23" s="201"/>
    </row>
    <row r="24" spans="1:20" ht="15" thickBot="1">
      <c r="A24" s="288" t="s">
        <v>835</v>
      </c>
      <c r="B24" s="308">
        <f>IF(COUNTA(B29:B49)=21, IRR(B29:B49)*100, "")</f>
        <v>13.035809429964008</v>
      </c>
      <c r="C24" s="201"/>
      <c r="D24" s="201"/>
      <c r="E24" s="201"/>
      <c r="F24" s="201"/>
      <c r="G24" s="201"/>
      <c r="H24" s="201"/>
      <c r="I24" s="201"/>
      <c r="J24" s="201"/>
      <c r="K24" s="201"/>
      <c r="L24" s="201"/>
      <c r="M24" s="201"/>
      <c r="N24" s="201"/>
      <c r="O24" s="201"/>
      <c r="P24" s="201"/>
      <c r="Q24" s="201"/>
      <c r="R24" s="201"/>
      <c r="S24" s="201"/>
      <c r="T24" s="201"/>
    </row>
    <row r="25" spans="1:20" ht="15" thickBot="1">
      <c r="A25" s="298"/>
      <c r="B25" s="300"/>
      <c r="C25" s="201"/>
      <c r="D25" s="201"/>
      <c r="E25" s="201"/>
      <c r="F25" s="201"/>
      <c r="G25" s="201"/>
      <c r="H25" s="201"/>
      <c r="I25" s="201"/>
      <c r="J25" s="201"/>
      <c r="K25" s="201"/>
      <c r="L25" s="201"/>
      <c r="M25" s="201"/>
      <c r="N25" s="201"/>
      <c r="O25" s="201"/>
      <c r="P25" s="201"/>
      <c r="Q25" s="201"/>
      <c r="R25" s="201"/>
      <c r="S25" s="201"/>
      <c r="T25" s="201"/>
    </row>
    <row r="26" spans="1:20" ht="29.4" thickBot="1">
      <c r="A26" s="301" t="s">
        <v>781</v>
      </c>
      <c r="B26" s="291">
        <v>0.06</v>
      </c>
      <c r="C26" s="201"/>
      <c r="D26" s="201"/>
      <c r="E26" s="201"/>
      <c r="F26" s="201"/>
      <c r="G26" s="201"/>
      <c r="H26" s="201"/>
      <c r="I26" s="201"/>
      <c r="J26" s="201"/>
      <c r="K26" s="201"/>
      <c r="L26" s="201"/>
      <c r="M26" s="201"/>
      <c r="N26" s="201"/>
      <c r="O26" s="201"/>
      <c r="P26" s="201"/>
      <c r="Q26" s="201"/>
      <c r="R26" s="201"/>
      <c r="S26" s="201"/>
      <c r="T26" s="201"/>
    </row>
    <row r="27" spans="1:20" ht="15" thickBot="1">
      <c r="A27" s="336" t="s">
        <v>779</v>
      </c>
      <c r="B27" s="337"/>
      <c r="C27" s="337"/>
      <c r="D27" s="337"/>
      <c r="E27" s="338"/>
      <c r="F27" s="201"/>
      <c r="G27" s="201"/>
      <c r="H27" s="201"/>
      <c r="I27" s="201"/>
      <c r="J27" s="201"/>
      <c r="K27" s="201"/>
      <c r="L27" s="201"/>
      <c r="M27" s="201"/>
      <c r="N27" s="201"/>
      <c r="O27" s="201"/>
      <c r="P27" s="201"/>
      <c r="Q27" s="201"/>
      <c r="R27" s="201"/>
      <c r="S27" s="201"/>
      <c r="T27" s="201"/>
    </row>
    <row r="28" spans="1:20">
      <c r="A28" s="276" t="s">
        <v>775</v>
      </c>
      <c r="B28" s="292" t="s">
        <v>776</v>
      </c>
      <c r="C28" s="199" t="s">
        <v>777</v>
      </c>
      <c r="D28" s="199" t="s">
        <v>778</v>
      </c>
      <c r="E28" s="199" t="s">
        <v>780</v>
      </c>
      <c r="F28" s="201"/>
      <c r="G28" s="201"/>
      <c r="H28" s="201"/>
      <c r="I28" s="201"/>
      <c r="J28" s="201"/>
      <c r="K28" s="201"/>
      <c r="L28" s="201"/>
      <c r="M28" s="201"/>
      <c r="N28" s="201"/>
      <c r="O28" s="201"/>
      <c r="P28" s="201"/>
      <c r="Q28" s="201"/>
      <c r="R28" s="201"/>
      <c r="S28" s="201"/>
      <c r="T28" s="201"/>
    </row>
    <row r="29" spans="1:20">
      <c r="A29" s="276">
        <v>0</v>
      </c>
      <c r="B29" s="293">
        <f>-TCI</f>
        <v>-106.37557387645454</v>
      </c>
      <c r="C29" s="294">
        <v>1</v>
      </c>
      <c r="D29" s="294">
        <f>NPVTable[[#This Row],[Cash Flow MM $]]*NPVTable[[#This Row],[Discount factor]]</f>
        <v>-106.37557387645454</v>
      </c>
      <c r="E29" s="294">
        <f t="shared" ref="E29" si="4">B29</f>
        <v>-106.37557387645454</v>
      </c>
      <c r="F29" s="201"/>
      <c r="G29" s="201"/>
      <c r="H29" s="201"/>
      <c r="I29" s="201"/>
      <c r="J29" s="201"/>
      <c r="K29" s="201"/>
      <c r="L29" s="201"/>
      <c r="M29" s="201"/>
      <c r="N29" s="201"/>
      <c r="O29" s="201"/>
      <c r="P29" s="201"/>
      <c r="Q29" s="201"/>
      <c r="R29" s="201"/>
      <c r="S29" s="201"/>
      <c r="T29" s="201"/>
    </row>
    <row r="30" spans="1:20">
      <c r="A30" s="199">
        <v>1</v>
      </c>
      <c r="B30" s="294">
        <f t="shared" ref="B30:B48" si="5">Net_Profit</f>
        <v>14.979270847128662</v>
      </c>
      <c r="C30" s="295">
        <f t="shared" ref="C30:C49" si="6">1/(1+DF)^A30</f>
        <v>0.94339622641509424</v>
      </c>
      <c r="D30" s="294">
        <f>NPVTable[[#This Row],[Cash Flow MM $]]*NPVTable[[#This Row],[Discount factor]]</f>
        <v>14.131387591630812</v>
      </c>
      <c r="E30" s="294">
        <f>E29+D30</f>
        <v>-92.244186284823726</v>
      </c>
      <c r="F30" s="201"/>
      <c r="G30" s="201"/>
      <c r="H30" s="201"/>
      <c r="I30" s="201"/>
      <c r="J30" s="201"/>
      <c r="K30" s="201"/>
      <c r="L30" s="201"/>
      <c r="M30" s="201"/>
      <c r="N30" s="201"/>
      <c r="O30" s="201"/>
      <c r="P30" s="201"/>
      <c r="Q30" s="201"/>
      <c r="R30" s="201"/>
      <c r="S30" s="201"/>
      <c r="T30" s="201"/>
    </row>
    <row r="31" spans="1:20">
      <c r="A31" s="276">
        <v>2</v>
      </c>
      <c r="B31" s="294">
        <f t="shared" si="5"/>
        <v>14.979270847128662</v>
      </c>
      <c r="C31" s="295">
        <f t="shared" si="6"/>
        <v>0.88999644001423983</v>
      </c>
      <c r="D31" s="294">
        <f>NPVTable[[#This Row],[Cash Flow MM $]]*NPVTable[[#This Row],[Discount factor]]</f>
        <v>13.331497727953595</v>
      </c>
      <c r="E31" s="294">
        <f t="shared" ref="E31:E48" si="7">E30+D31</f>
        <v>-78.912688556870137</v>
      </c>
      <c r="F31" s="201"/>
      <c r="G31" s="201"/>
      <c r="H31" s="201"/>
      <c r="I31" s="201"/>
      <c r="J31" s="201"/>
      <c r="K31" s="201"/>
      <c r="L31" s="201"/>
      <c r="M31" s="201"/>
      <c r="N31" s="201"/>
      <c r="O31" s="201"/>
      <c r="P31" s="201"/>
      <c r="Q31" s="201"/>
      <c r="R31" s="201"/>
      <c r="S31" s="201"/>
      <c r="T31" s="201"/>
    </row>
    <row r="32" spans="1:20">
      <c r="A32" s="199">
        <v>3</v>
      </c>
      <c r="B32" s="294">
        <f t="shared" si="5"/>
        <v>14.979270847128662</v>
      </c>
      <c r="C32" s="295">
        <f t="shared" si="6"/>
        <v>0.8396192830323016</v>
      </c>
      <c r="D32" s="294">
        <f>NPVTable[[#This Row],[Cash Flow MM $]]*NPVTable[[#This Row],[Discount factor]]</f>
        <v>12.576884649012824</v>
      </c>
      <c r="E32" s="294">
        <f t="shared" si="7"/>
        <v>-66.335803907857311</v>
      </c>
      <c r="F32" s="201"/>
      <c r="G32" s="201"/>
      <c r="H32" s="201"/>
      <c r="I32" s="201"/>
      <c r="J32" s="201"/>
      <c r="K32" s="201"/>
      <c r="L32" s="201"/>
      <c r="M32" s="201"/>
      <c r="N32" s="201"/>
      <c r="O32" s="201"/>
      <c r="P32" s="201"/>
      <c r="Q32" s="201"/>
      <c r="R32" s="201"/>
      <c r="S32" s="201"/>
      <c r="T32" s="201"/>
    </row>
    <row r="33" spans="1:20">
      <c r="A33" s="276">
        <v>4</v>
      </c>
      <c r="B33" s="294">
        <f t="shared" si="5"/>
        <v>14.979270847128662</v>
      </c>
      <c r="C33" s="295">
        <f t="shared" si="6"/>
        <v>0.79209366323802044</v>
      </c>
      <c r="D33" s="294">
        <f>NPVTable[[#This Row],[Cash Flow MM $]]*NPVTable[[#This Row],[Discount factor]]</f>
        <v>11.864985517936628</v>
      </c>
      <c r="E33" s="294">
        <f t="shared" si="7"/>
        <v>-54.47081838992068</v>
      </c>
      <c r="F33" s="201"/>
      <c r="G33" s="201"/>
      <c r="H33" s="201"/>
      <c r="I33" s="201"/>
      <c r="J33" s="201"/>
      <c r="K33" s="201"/>
      <c r="L33" s="201"/>
      <c r="M33" s="201"/>
      <c r="N33" s="201"/>
      <c r="O33" s="201"/>
      <c r="P33" s="201"/>
      <c r="Q33" s="201"/>
      <c r="R33" s="201"/>
      <c r="S33" s="201"/>
      <c r="T33" s="201"/>
    </row>
    <row r="34" spans="1:20">
      <c r="A34" s="199">
        <v>5</v>
      </c>
      <c r="B34" s="294">
        <f t="shared" si="5"/>
        <v>14.979270847128662</v>
      </c>
      <c r="C34" s="295">
        <f t="shared" si="6"/>
        <v>0.74725817286605689</v>
      </c>
      <c r="D34" s="294">
        <f>NPVTable[[#This Row],[Cash Flow MM $]]*NPVTable[[#This Row],[Discount factor]]</f>
        <v>11.193382564091156</v>
      </c>
      <c r="E34" s="294">
        <f t="shared" si="7"/>
        <v>-43.277435825829528</v>
      </c>
      <c r="F34" s="201"/>
      <c r="G34" s="201"/>
      <c r="H34" s="201"/>
      <c r="I34" s="201"/>
      <c r="J34" s="201"/>
      <c r="K34" s="201"/>
      <c r="L34" s="201"/>
      <c r="M34" s="201"/>
      <c r="N34" s="201"/>
      <c r="O34" s="201"/>
      <c r="P34" s="201"/>
      <c r="Q34" s="201"/>
      <c r="R34" s="201"/>
      <c r="S34" s="201"/>
      <c r="T34" s="201"/>
    </row>
    <row r="35" spans="1:20">
      <c r="A35" s="276">
        <v>6</v>
      </c>
      <c r="B35" s="294">
        <f t="shared" si="5"/>
        <v>14.979270847128662</v>
      </c>
      <c r="C35" s="295">
        <f t="shared" si="6"/>
        <v>0.70496054043967626</v>
      </c>
      <c r="D35" s="294">
        <f>NPVTable[[#This Row],[Cash Flow MM $]]*NPVTable[[#This Row],[Discount factor]]</f>
        <v>10.559794871784108</v>
      </c>
      <c r="E35" s="294">
        <f t="shared" si="7"/>
        <v>-32.717640954045422</v>
      </c>
      <c r="F35" s="201"/>
      <c r="G35" s="201"/>
      <c r="H35" s="201"/>
      <c r="I35" s="201"/>
      <c r="J35" s="201"/>
      <c r="K35" s="201"/>
      <c r="L35" s="201"/>
      <c r="M35" s="201"/>
      <c r="N35" s="201"/>
      <c r="O35" s="201"/>
      <c r="P35" s="201"/>
      <c r="Q35" s="201"/>
      <c r="R35" s="201"/>
      <c r="S35" s="201"/>
      <c r="T35" s="201"/>
    </row>
    <row r="36" spans="1:20">
      <c r="A36" s="199">
        <v>7</v>
      </c>
      <c r="B36" s="294">
        <f t="shared" si="5"/>
        <v>14.979270847128662</v>
      </c>
      <c r="C36" s="295">
        <f t="shared" si="6"/>
        <v>0.66505711362233599</v>
      </c>
      <c r="D36" s="294">
        <f>NPVTable[[#This Row],[Cash Flow MM $]]*NPVTable[[#This Row],[Discount factor]]</f>
        <v>9.9620706337585911</v>
      </c>
      <c r="E36" s="294">
        <f t="shared" si="7"/>
        <v>-22.755570320286829</v>
      </c>
      <c r="F36" s="201"/>
      <c r="G36" s="201"/>
      <c r="H36" s="201"/>
      <c r="I36" s="201"/>
      <c r="J36" s="201"/>
      <c r="K36" s="201"/>
      <c r="L36" s="201"/>
      <c r="M36" s="201"/>
      <c r="N36" s="201"/>
      <c r="O36" s="201"/>
      <c r="P36" s="201"/>
      <c r="Q36" s="201"/>
      <c r="R36" s="201"/>
      <c r="S36" s="201"/>
      <c r="T36" s="201"/>
    </row>
    <row r="37" spans="1:20">
      <c r="A37" s="276">
        <v>8</v>
      </c>
      <c r="B37" s="294">
        <f t="shared" si="5"/>
        <v>14.979270847128662</v>
      </c>
      <c r="C37" s="295">
        <f t="shared" si="6"/>
        <v>0.62741237134182648</v>
      </c>
      <c r="D37" s="294">
        <f>NPVTable[[#This Row],[Cash Flow MM $]]*NPVTable[[#This Row],[Discount factor]]</f>
        <v>9.3981798431684833</v>
      </c>
      <c r="E37" s="294">
        <f t="shared" si="7"/>
        <v>-13.357390477118345</v>
      </c>
      <c r="F37" s="201"/>
      <c r="G37" s="201"/>
      <c r="H37" s="201"/>
      <c r="I37" s="201"/>
      <c r="J37" s="201"/>
      <c r="K37" s="201"/>
      <c r="L37" s="201"/>
      <c r="M37" s="201"/>
      <c r="N37" s="201"/>
      <c r="O37" s="201"/>
      <c r="P37" s="201"/>
      <c r="Q37" s="201"/>
      <c r="R37" s="201"/>
      <c r="S37" s="201"/>
      <c r="T37" s="201"/>
    </row>
    <row r="38" spans="1:20">
      <c r="A38" s="199">
        <v>9</v>
      </c>
      <c r="B38" s="294">
        <f t="shared" si="5"/>
        <v>14.979270847128662</v>
      </c>
      <c r="C38" s="295">
        <f t="shared" si="6"/>
        <v>0.59189846353002495</v>
      </c>
      <c r="D38" s="294">
        <f>NPVTable[[#This Row],[Cash Flow MM $]]*NPVTable[[#This Row],[Discount factor]]</f>
        <v>8.8662073992155506</v>
      </c>
      <c r="E38" s="294">
        <f t="shared" si="7"/>
        <v>-4.4911830779027948</v>
      </c>
      <c r="F38" s="201"/>
      <c r="G38" s="201"/>
      <c r="H38" s="201"/>
      <c r="I38" s="201"/>
      <c r="J38" s="201"/>
      <c r="K38" s="201"/>
      <c r="L38" s="201"/>
      <c r="M38" s="201"/>
      <c r="N38" s="201"/>
      <c r="O38" s="201"/>
      <c r="P38" s="201"/>
      <c r="Q38" s="201"/>
      <c r="R38" s="201"/>
      <c r="S38" s="201"/>
      <c r="T38" s="201"/>
    </row>
    <row r="39" spans="1:20">
      <c r="A39" s="276">
        <v>10</v>
      </c>
      <c r="B39" s="294">
        <f t="shared" si="5"/>
        <v>14.979270847128662</v>
      </c>
      <c r="C39" s="295">
        <f t="shared" si="6"/>
        <v>0.55839477691511785</v>
      </c>
      <c r="D39" s="294">
        <f>NPVTable[[#This Row],[Cash Flow MM $]]*NPVTable[[#This Row],[Discount factor]]</f>
        <v>8.3643466030335372</v>
      </c>
      <c r="E39" s="294">
        <f t="shared" si="7"/>
        <v>3.8731635251307424</v>
      </c>
      <c r="F39" s="201"/>
      <c r="G39" s="201"/>
      <c r="H39" s="201"/>
      <c r="I39" s="201"/>
      <c r="J39" s="201"/>
      <c r="K39" s="201"/>
      <c r="L39" s="201"/>
      <c r="M39" s="201"/>
      <c r="N39" s="201"/>
      <c r="O39" s="201"/>
      <c r="P39" s="201"/>
      <c r="Q39" s="201"/>
      <c r="R39" s="201"/>
      <c r="S39" s="201"/>
      <c r="T39" s="201"/>
    </row>
    <row r="40" spans="1:20">
      <c r="A40" s="199">
        <v>11</v>
      </c>
      <c r="B40" s="294">
        <f t="shared" si="5"/>
        <v>14.979270847128662</v>
      </c>
      <c r="C40" s="295">
        <f t="shared" si="6"/>
        <v>0.52678752539162055</v>
      </c>
      <c r="D40" s="294">
        <f>NPVTable[[#This Row],[Cash Flow MM $]]*NPVTable[[#This Row],[Discount factor]]</f>
        <v>7.8908930217297515</v>
      </c>
      <c r="E40" s="294">
        <f t="shared" si="7"/>
        <v>11.764056546860495</v>
      </c>
      <c r="F40" s="201"/>
      <c r="G40" s="201"/>
      <c r="H40" s="201"/>
      <c r="I40" s="201"/>
      <c r="J40" s="201"/>
      <c r="K40" s="201"/>
      <c r="L40" s="201"/>
      <c r="M40" s="201"/>
      <c r="N40" s="201"/>
      <c r="O40" s="201"/>
      <c r="P40" s="201"/>
      <c r="Q40" s="201"/>
      <c r="R40" s="201"/>
      <c r="S40" s="201"/>
      <c r="T40" s="201"/>
    </row>
    <row r="41" spans="1:20">
      <c r="A41" s="276">
        <v>12</v>
      </c>
      <c r="B41" s="294">
        <f t="shared" si="5"/>
        <v>14.979270847128662</v>
      </c>
      <c r="C41" s="295">
        <f t="shared" si="6"/>
        <v>0.4969693635770005</v>
      </c>
      <c r="D41" s="294">
        <f>NPVTable[[#This Row],[Cash Flow MM $]]*NPVTable[[#This Row],[Discount factor]]</f>
        <v>7.444238699745048</v>
      </c>
      <c r="E41" s="294">
        <f t="shared" si="7"/>
        <v>19.208295246605545</v>
      </c>
      <c r="F41" s="201"/>
      <c r="G41" s="201"/>
      <c r="H41" s="201"/>
      <c r="I41" s="201"/>
      <c r="J41" s="201"/>
      <c r="K41" s="201"/>
      <c r="L41" s="201"/>
      <c r="M41" s="201"/>
      <c r="N41" s="201"/>
      <c r="O41" s="201"/>
      <c r="P41" s="201"/>
      <c r="Q41" s="201"/>
      <c r="R41" s="201"/>
      <c r="S41" s="201"/>
      <c r="T41" s="201"/>
    </row>
    <row r="42" spans="1:20">
      <c r="A42" s="199">
        <v>13</v>
      </c>
      <c r="B42" s="294">
        <f t="shared" si="5"/>
        <v>14.979270847128662</v>
      </c>
      <c r="C42" s="295">
        <f t="shared" si="6"/>
        <v>0.46883902224245327</v>
      </c>
      <c r="D42" s="294">
        <f>NPVTable[[#This Row],[Cash Flow MM $]]*NPVTable[[#This Row],[Discount factor]]</f>
        <v>7.0228666978726864</v>
      </c>
      <c r="E42" s="294">
        <f t="shared" si="7"/>
        <v>26.231161944478231</v>
      </c>
      <c r="F42" s="201"/>
      <c r="G42" s="201"/>
      <c r="H42" s="201"/>
      <c r="I42" s="201"/>
      <c r="J42" s="201"/>
      <c r="K42" s="201"/>
      <c r="L42" s="201"/>
      <c r="M42" s="201"/>
      <c r="N42" s="201"/>
      <c r="O42" s="201"/>
      <c r="P42" s="201"/>
      <c r="Q42" s="201"/>
      <c r="R42" s="201"/>
      <c r="S42" s="201"/>
      <c r="T42" s="201"/>
    </row>
    <row r="43" spans="1:20">
      <c r="A43" s="276">
        <v>14</v>
      </c>
      <c r="B43" s="294">
        <f t="shared" si="5"/>
        <v>14.979270847128662</v>
      </c>
      <c r="C43" s="295">
        <f t="shared" si="6"/>
        <v>0.44230096437967292</v>
      </c>
      <c r="D43" s="294">
        <f>NPVTable[[#This Row],[Cash Flow MM $]]*NPVTable[[#This Row],[Discount factor]]</f>
        <v>6.6253459413893276</v>
      </c>
      <c r="E43" s="294">
        <f t="shared" si="7"/>
        <v>32.856507885867558</v>
      </c>
      <c r="F43" s="201"/>
      <c r="G43" s="201"/>
      <c r="H43" s="201"/>
      <c r="I43" s="201"/>
      <c r="J43" s="201"/>
      <c r="K43" s="201"/>
      <c r="L43" s="201"/>
      <c r="M43" s="201"/>
      <c r="N43" s="201"/>
      <c r="O43" s="201"/>
      <c r="P43" s="201"/>
      <c r="Q43" s="201"/>
      <c r="R43" s="201"/>
      <c r="S43" s="201"/>
      <c r="T43" s="201"/>
    </row>
    <row r="44" spans="1:20">
      <c r="A44" s="199">
        <v>15</v>
      </c>
      <c r="B44" s="294">
        <f t="shared" si="5"/>
        <v>14.979270847128662</v>
      </c>
      <c r="C44" s="295">
        <f t="shared" si="6"/>
        <v>0.41726506073554037</v>
      </c>
      <c r="D44" s="294">
        <f>NPVTable[[#This Row],[Cash Flow MM $]]*NPVTable[[#This Row],[Discount factor]]</f>
        <v>6.2503263598012504</v>
      </c>
      <c r="E44" s="294">
        <f t="shared" si="7"/>
        <v>39.106834245668807</v>
      </c>
      <c r="F44" s="201"/>
      <c r="G44" s="201"/>
      <c r="H44" s="201"/>
      <c r="I44" s="201"/>
      <c r="J44" s="201"/>
      <c r="K44" s="201"/>
      <c r="L44" s="201"/>
      <c r="M44" s="201"/>
      <c r="N44" s="201"/>
      <c r="O44" s="201"/>
      <c r="P44" s="201"/>
      <c r="Q44" s="201"/>
      <c r="R44" s="201"/>
      <c r="S44" s="201"/>
      <c r="T44" s="201"/>
    </row>
    <row r="45" spans="1:20">
      <c r="A45" s="276">
        <v>16</v>
      </c>
      <c r="B45" s="294">
        <f t="shared" si="5"/>
        <v>14.979270847128662</v>
      </c>
      <c r="C45" s="295">
        <f t="shared" si="6"/>
        <v>0.39364628371277405</v>
      </c>
      <c r="D45" s="294">
        <f>NPVTable[[#This Row],[Cash Flow MM $]]*NPVTable[[#This Row],[Discount factor]]</f>
        <v>5.8965343016992948</v>
      </c>
      <c r="E45" s="294">
        <f t="shared" si="7"/>
        <v>45.003368547368105</v>
      </c>
      <c r="F45" s="201"/>
      <c r="G45" s="201"/>
      <c r="H45" s="201"/>
      <c r="I45" s="201"/>
      <c r="J45" s="201"/>
      <c r="K45" s="201"/>
      <c r="L45" s="201"/>
      <c r="M45" s="201"/>
      <c r="N45" s="201"/>
      <c r="O45" s="201"/>
      <c r="P45" s="201"/>
      <c r="Q45" s="201"/>
      <c r="R45" s="201"/>
      <c r="S45" s="201"/>
      <c r="T45" s="201"/>
    </row>
    <row r="46" spans="1:20">
      <c r="A46" s="199">
        <v>17</v>
      </c>
      <c r="B46" s="294">
        <f t="shared" si="5"/>
        <v>14.979270847128662</v>
      </c>
      <c r="C46" s="295">
        <f t="shared" si="6"/>
        <v>0.37136441859695657</v>
      </c>
      <c r="D46" s="294">
        <f>NPVTable[[#This Row],[Cash Flow MM $]]*NPVTable[[#This Row],[Discount factor]]</f>
        <v>5.5627682091502768</v>
      </c>
      <c r="E46" s="294">
        <f t="shared" si="7"/>
        <v>50.566136756518382</v>
      </c>
      <c r="F46" s="201"/>
      <c r="G46" s="201"/>
      <c r="H46" s="201"/>
      <c r="I46" s="201"/>
      <c r="J46" s="201"/>
      <c r="K46" s="201"/>
      <c r="L46" s="201"/>
      <c r="M46" s="201"/>
      <c r="N46" s="201"/>
      <c r="O46" s="201"/>
      <c r="P46" s="201"/>
      <c r="Q46" s="201"/>
      <c r="R46" s="201"/>
      <c r="S46" s="201"/>
      <c r="T46" s="201"/>
    </row>
    <row r="47" spans="1:20">
      <c r="A47" s="276">
        <v>18</v>
      </c>
      <c r="B47" s="294">
        <f t="shared" si="5"/>
        <v>14.979270847128662</v>
      </c>
      <c r="C47" s="295">
        <f t="shared" si="6"/>
        <v>0.35034379112920433</v>
      </c>
      <c r="D47" s="294">
        <f>NPVTable[[#This Row],[Cash Flow MM $]]*NPVTable[[#This Row],[Discount factor]]</f>
        <v>5.2478945369342238</v>
      </c>
      <c r="E47" s="294">
        <f t="shared" si="7"/>
        <v>55.814031293452608</v>
      </c>
      <c r="F47" s="201"/>
      <c r="G47" s="201"/>
      <c r="H47" s="201"/>
      <c r="I47" s="201"/>
      <c r="J47" s="201"/>
      <c r="K47" s="201"/>
      <c r="L47" s="201"/>
      <c r="M47" s="201"/>
      <c r="N47" s="201"/>
      <c r="O47" s="201"/>
      <c r="P47" s="201"/>
      <c r="Q47" s="201"/>
      <c r="R47" s="201"/>
      <c r="S47" s="201"/>
      <c r="T47" s="201"/>
    </row>
    <row r="48" spans="1:20">
      <c r="A48" s="199">
        <v>19</v>
      </c>
      <c r="B48" s="294">
        <f t="shared" si="5"/>
        <v>14.979270847128662</v>
      </c>
      <c r="C48" s="295">
        <f t="shared" si="6"/>
        <v>0.3305130104992493</v>
      </c>
      <c r="D48" s="294">
        <f>NPVTable[[#This Row],[Cash Flow MM $]]*NPVTable[[#This Row],[Discount factor]]</f>
        <v>4.9508439027681348</v>
      </c>
      <c r="E48" s="294">
        <f t="shared" si="7"/>
        <v>60.764875196220743</v>
      </c>
      <c r="F48" s="201"/>
      <c r="G48" s="201"/>
      <c r="H48" s="201"/>
      <c r="I48" s="201"/>
      <c r="J48" s="201"/>
      <c r="K48" s="201"/>
      <c r="L48" s="201"/>
      <c r="M48" s="201"/>
      <c r="N48" s="201"/>
      <c r="O48" s="201"/>
      <c r="P48" s="201"/>
      <c r="Q48" s="201"/>
      <c r="R48" s="201"/>
      <c r="S48" s="201"/>
      <c r="T48" s="201"/>
    </row>
    <row r="49" spans="1:20">
      <c r="A49" s="276">
        <v>20</v>
      </c>
      <c r="B49" s="294">
        <f>Net_Profit + 0.15*TCI</f>
        <v>30.93560692859684</v>
      </c>
      <c r="C49" s="295">
        <f t="shared" si="6"/>
        <v>0.31180472688608429</v>
      </c>
      <c r="D49" s="294">
        <f>NPVTable[[#This Row],[Cash Flow MM $]]*NPVTable[[#This Row],[Discount factor]]</f>
        <v>9.6458684694263948</v>
      </c>
      <c r="E49" s="294">
        <f>E48+D49</f>
        <v>70.410743665647132</v>
      </c>
      <c r="F49" s="201"/>
      <c r="G49" s="201"/>
      <c r="H49" s="201"/>
      <c r="I49" s="201"/>
      <c r="J49" s="201"/>
      <c r="K49" s="201"/>
      <c r="L49" s="201"/>
      <c r="M49" s="201"/>
      <c r="N49" s="201"/>
      <c r="O49" s="201"/>
      <c r="P49" s="201"/>
      <c r="Q49" s="201"/>
      <c r="R49" s="201"/>
      <c r="S49" s="201"/>
      <c r="T49" s="201"/>
    </row>
    <row r="50" spans="1:20">
      <c r="B50" s="201"/>
      <c r="C50" s="201"/>
      <c r="D50" s="201"/>
      <c r="E50" s="201"/>
      <c r="F50" s="201"/>
      <c r="G50" s="201"/>
      <c r="H50" s="201"/>
      <c r="I50" s="201"/>
      <c r="J50" s="201"/>
      <c r="K50" s="201"/>
      <c r="L50" s="201"/>
      <c r="M50" s="201"/>
      <c r="N50" s="201"/>
      <c r="O50" s="201"/>
      <c r="P50" s="201"/>
      <c r="Q50" s="201"/>
      <c r="R50" s="201"/>
      <c r="S50" s="201"/>
      <c r="T50" s="201"/>
    </row>
    <row r="51" spans="1:20">
      <c r="A51" s="200" t="s">
        <v>793</v>
      </c>
      <c r="B51" s="200" t="s">
        <v>784</v>
      </c>
      <c r="C51" s="200" t="s">
        <v>794</v>
      </c>
      <c r="D51" s="201"/>
      <c r="E51" s="201"/>
      <c r="F51" s="201"/>
      <c r="G51" s="201"/>
      <c r="H51" s="201"/>
      <c r="I51" s="201"/>
      <c r="J51" s="201"/>
      <c r="K51" s="201"/>
      <c r="L51" s="201"/>
      <c r="M51" s="201"/>
      <c r="N51" s="201"/>
      <c r="O51" s="201"/>
      <c r="P51" s="201"/>
      <c r="Q51" s="201"/>
      <c r="R51" s="201"/>
      <c r="S51" s="201"/>
      <c r="T51" s="201"/>
    </row>
    <row r="52" spans="1:20">
      <c r="A52" s="259">
        <v>-0.5</v>
      </c>
      <c r="B52" s="200">
        <f>0.5*AB3</f>
        <v>1250</v>
      </c>
      <c r="C52" s="261">
        <f t="array" ref="C52">IF(
  (B52 * $AB$4 / 1000000 + $AB$5 - TAC) &gt;= 0,
  (
    (
      (B52 * $AB$4 / 1000000 + $AB$5 - TAC) * (1 - Tax_Rate)
      + Depreciation
    )
    * ((1 - (1 + DF)^-20) / DF)
  )
  - TCI
  + (0.15 * TCI) / (1 + DF)^20,
  (
    (
      (B52 * $AB$4 / 1000000 + $AB$5 - TAC)
      + Depreciation
    )
    * ((1 - (1 + DF)^-20) / DF)
  )
  - TCI
  + (0.15 * TCI) / (1 + DF)^20
)</f>
        <v>-421.01737932086513</v>
      </c>
      <c r="D52" s="201"/>
      <c r="E52" s="201"/>
      <c r="F52" s="201"/>
      <c r="G52" s="201"/>
      <c r="H52" s="201"/>
      <c r="I52" s="201"/>
      <c r="J52" s="201"/>
      <c r="K52" s="201"/>
      <c r="L52" s="201"/>
      <c r="M52" s="201"/>
      <c r="N52" s="201"/>
      <c r="O52" s="201"/>
      <c r="P52" s="201"/>
      <c r="Q52" s="201"/>
      <c r="R52" s="201"/>
      <c r="S52" s="201"/>
      <c r="T52" s="201"/>
    </row>
    <row r="53" spans="1:20">
      <c r="A53" s="259">
        <v>-0.4</v>
      </c>
      <c r="B53" s="200">
        <f>0.6*AB3</f>
        <v>1500</v>
      </c>
      <c r="C53" s="261">
        <f t="array" ref="C53">IF(
  (B53 * $AB$4 / 1000000 + $AB$5 - TAC) &gt;= 0,
  (
    (
      (B53 * $AB$4 / 1000000 + $AB$5 - TAC) * (1 - Tax_Rate)
      + Depreciation
    )
    * ((1 - (1 + DF)^-20) / DF)
  )
  - TCI
  + (0.15 * TCI) / (1 + DF)^20,
  (
    (
      (B53 * $AB$4 / 1000000 + $AB$5 - TAC)
      + Depreciation
    )
    * ((1 - (1 + DF)^-20) / DF)
  )
  - TCI
  + (0.15 * TCI) / (1 + DF)^20
)</f>
        <v>-316.35434820145713</v>
      </c>
      <c r="D53" s="201"/>
      <c r="E53" s="201"/>
      <c r="F53" s="201"/>
      <c r="G53" s="201"/>
      <c r="H53" s="201"/>
      <c r="I53" s="201"/>
      <c r="J53" s="201"/>
      <c r="K53" s="201"/>
      <c r="L53" s="201"/>
      <c r="M53" s="201"/>
      <c r="N53" s="201"/>
      <c r="O53" s="201"/>
      <c r="P53" s="201"/>
      <c r="Q53" s="201"/>
      <c r="R53" s="201"/>
      <c r="S53" s="201"/>
      <c r="T53" s="201"/>
    </row>
    <row r="54" spans="1:20">
      <c r="A54" s="259">
        <v>-0.3</v>
      </c>
      <c r="B54" s="200">
        <f>0.7*AB3</f>
        <v>1750</v>
      </c>
      <c r="C54" s="261">
        <f t="array" ref="C54">IF(
  (B54 * $AB$4 / 1000000 + $AB$5 - TAC) &gt;= 0,
  (
    (
      (B54 * $AB$4 / 1000000 + $AB$5 - TAC) * (1 - Tax_Rate)
      + Depreciation
    )
    * ((1 - (1 + DF)^-20) / DF)
  )
  - TCI
  + (0.15 * TCI) / (1 + DF)^20,
  (
    (
      (B54 * $AB$4 / 1000000 + $AB$5 - TAC)
      + Depreciation
    )
    * ((1 - (1 + DF)^-20) / DF)
  )
  - TCI
  + (0.15 * TCI) / (1 + DF)^20
)</f>
        <v>-211.6913170820491</v>
      </c>
      <c r="D54" s="201"/>
      <c r="E54" s="201"/>
      <c r="F54" s="201"/>
      <c r="G54" s="201"/>
      <c r="H54" s="201"/>
      <c r="I54" s="201"/>
      <c r="J54" s="201"/>
      <c r="K54" s="201"/>
      <c r="L54" s="201"/>
      <c r="M54" s="201"/>
      <c r="N54" s="201"/>
      <c r="O54" s="201"/>
      <c r="P54" s="201"/>
      <c r="Q54" s="201"/>
      <c r="R54" s="201"/>
      <c r="S54" s="201"/>
      <c r="T54" s="201"/>
    </row>
    <row r="55" spans="1:20">
      <c r="A55" s="259">
        <v>-0.2</v>
      </c>
      <c r="B55" s="200">
        <f>0.8*AB3</f>
        <v>2000</v>
      </c>
      <c r="C55" s="261">
        <f t="array" ref="C55">IF(
  (B55 * $AB$4 / 1000000 + $AB$5 - TAC) &gt;= 0,
  (
    (
      (B55 * $AB$4 / 1000000 + $AB$5 - TAC) * (1 - Tax_Rate)
      + Depreciation
    )
    * ((1 - (1 + DF)^-20) / DF)
  )
  - TCI
  + (0.15 * TCI) / (1 + DF)^20,
  (
    (
      (B55 * $AB$4 / 1000000 + $AB$5 - TAC)
      + Depreciation
    )
    * ((1 - (1 + DF)^-20) / DF)
  )
  - TCI
  + (0.15 * TCI) / (1 + DF)^20
)</f>
        <v>-107.02828596264106</v>
      </c>
      <c r="D55" s="201"/>
      <c r="E55" s="201"/>
      <c r="F55" s="201"/>
      <c r="G55" s="201"/>
      <c r="H55" s="201"/>
      <c r="I55" s="201"/>
      <c r="J55" s="201"/>
      <c r="K55" s="201"/>
      <c r="L55" s="201"/>
      <c r="M55" s="201"/>
      <c r="N55" s="201"/>
      <c r="O55" s="201"/>
      <c r="P55" s="201"/>
      <c r="Q55" s="201"/>
      <c r="R55" s="201"/>
      <c r="S55" s="201"/>
      <c r="T55" s="201"/>
    </row>
    <row r="56" spans="1:20">
      <c r="A56" s="259">
        <v>-0.1</v>
      </c>
      <c r="B56" s="200">
        <f>0.9*AB3</f>
        <v>2250</v>
      </c>
      <c r="C56" s="261">
        <f t="array" ref="C56">IF(
  (B56 * $AB$4 / 1000000 + $AB$5 - TAC) &gt;= 0,
  (
    (
      (B56 * $AB$4 / 1000000 + $AB$5 - TAC) * (1 - Tax_Rate)
      + Depreciation
    )
    * ((1 - (1 + DF)^-20) / DF)
  )
  - TCI
  + (0.15 * TCI) / (1 + DF)^20,
  (
    (
      (B56 * $AB$4 / 1000000 + $AB$5 - TAC)
      + Depreciation
    )
    * ((1 - (1 + DF)^-20) / DF)
  )
  - TCI
  + (0.15 * TCI) / (1 + DF)^20
)</f>
        <v>-12.273050918685021</v>
      </c>
      <c r="D56" s="201"/>
      <c r="E56" s="201"/>
      <c r="F56" s="201"/>
      <c r="G56" s="201"/>
      <c r="H56" s="201"/>
      <c r="I56" s="201"/>
      <c r="J56" s="201"/>
      <c r="K56" s="201"/>
      <c r="L56" s="201"/>
      <c r="M56" s="201"/>
      <c r="N56" s="201"/>
      <c r="O56" s="201"/>
      <c r="P56" s="201"/>
      <c r="Q56" s="201"/>
      <c r="R56" s="201"/>
      <c r="S56" s="201"/>
      <c r="T56" s="201"/>
    </row>
    <row r="57" spans="1:20">
      <c r="A57" s="259">
        <v>0</v>
      </c>
      <c r="B57" s="200">
        <f>AB3</f>
        <v>2500</v>
      </c>
      <c r="C57" s="261">
        <f t="array" ref="C57">IF(
  (B57 * $AB$4 / 1000000 + $AB$5 - TAC) &gt;= 0,
  (
    (
      (B57 * $AB$4 / 1000000 + $AB$5 - TAC) * (1 - Tax_Rate)
      + Depreciation
    )
    * ((1 - (1 + DF)^-20) / DF)
  )
  - TCI
  + (0.15 * TCI) / (1 + DF)^20,
  (
    (
      (B57 * $AB$4 / 1000000 + $AB$5 - TAC)
      + Depreciation
    )
    * ((1 - (1 + DF)^-20) / DF)
  )
  - TCI
  + (0.15 * TCI) / (1 + DF)^20
)</f>
        <v>70.410743665647317</v>
      </c>
      <c r="D57" s="201"/>
      <c r="E57" s="201"/>
      <c r="F57" s="201"/>
      <c r="G57" s="201"/>
      <c r="H57" s="201"/>
      <c r="I57" s="201"/>
      <c r="J57" s="201"/>
      <c r="K57" s="201"/>
      <c r="L57" s="201"/>
      <c r="M57" s="201"/>
      <c r="N57" s="201"/>
      <c r="O57" s="201"/>
      <c r="P57" s="201"/>
      <c r="Q57" s="201"/>
      <c r="R57" s="201"/>
      <c r="S57" s="201"/>
      <c r="T57" s="201"/>
    </row>
    <row r="58" spans="1:20">
      <c r="A58" s="259">
        <v>0.1</v>
      </c>
      <c r="B58" s="200">
        <f>1.1*AB3</f>
        <v>2750</v>
      </c>
      <c r="C58" s="261">
        <f t="array" ref="C58">IF(
  (B58 * $AB$4 / 1000000 + $AB$5 - TAC) &gt;= 0,
  (
    (
      (B58 * $AB$4 / 1000000 + $AB$5 - TAC) * (1 - Tax_Rate)
      + Depreciation
    )
    * ((1 - (1 + DF)^-20) / DF)
  )
  - TCI
  + (0.15 * TCI) / (1 + DF)^20,
  (
    (
      (B58 * $AB$4 / 1000000 + $AB$5 - TAC)
      + Depreciation
    )
    * ((1 - (1 + DF)^-20) / DF)
  )
  - TCI
  + (0.15 * TCI) / (1 + DF)^20
)</f>
        <v>153.09453824997965</v>
      </c>
      <c r="D58" s="201"/>
      <c r="E58" s="201"/>
      <c r="F58" s="201"/>
      <c r="G58" s="201"/>
      <c r="H58" s="201"/>
      <c r="I58" s="201"/>
      <c r="J58" s="201"/>
      <c r="K58" s="201"/>
      <c r="L58" s="201"/>
      <c r="M58" s="201"/>
      <c r="N58" s="201"/>
      <c r="O58" s="201"/>
      <c r="P58" s="201"/>
      <c r="Q58" s="201"/>
      <c r="R58" s="201"/>
      <c r="S58" s="201"/>
      <c r="T58" s="201"/>
    </row>
    <row r="59" spans="1:20">
      <c r="A59" s="259">
        <v>0.2</v>
      </c>
      <c r="B59" s="200">
        <f>1.2*AB3</f>
        <v>3000</v>
      </c>
      <c r="C59" s="261">
        <f t="array" ref="C59">IF(
  (B59 * $AB$4 / 1000000 + $AB$5 - TAC) &gt;= 0,
  (
    (
      (B59 * $AB$4 / 1000000 + $AB$5 - TAC) * (1 - Tax_Rate)
      + Depreciation
    )
    * ((1 - (1 + DF)^-20) / DF)
  )
  - TCI
  + (0.15 * TCI) / (1 + DF)^20,
  (
    (
      (B59 * $AB$4 / 1000000 + $AB$5 - TAC)
      + Depreciation
    )
    * ((1 - (1 + DF)^-20) / DF)
  )
  - TCI
  + (0.15 * TCI) / (1 + DF)^20
)</f>
        <v>235.77833283431201</v>
      </c>
      <c r="D59" s="201"/>
      <c r="E59" s="201"/>
      <c r="F59" s="201"/>
      <c r="G59" s="201"/>
      <c r="H59" s="201"/>
      <c r="I59" s="201"/>
      <c r="J59" s="201"/>
      <c r="K59" s="201"/>
      <c r="L59" s="201"/>
      <c r="M59" s="201"/>
      <c r="N59" s="201"/>
      <c r="O59" s="201"/>
      <c r="P59" s="201"/>
      <c r="Q59" s="201"/>
      <c r="R59" s="201"/>
      <c r="S59" s="201"/>
      <c r="T59" s="201"/>
    </row>
    <row r="60" spans="1:20">
      <c r="A60" s="259">
        <v>0.3</v>
      </c>
      <c r="B60" s="200">
        <f>1.3*AB3</f>
        <v>3250</v>
      </c>
      <c r="C60" s="261">
        <f t="array" ref="C60">IF(
  (B60 * $AB$4 / 1000000 + $AB$5 - TAC) &gt;= 0,
  (
    (
      (B60 * $AB$4 / 1000000 + $AB$5 - TAC) * (1 - Tax_Rate)
      + Depreciation
    )
    * ((1 - (1 + DF)^-20) / DF)
  )
  - TCI
  + (0.15 * TCI) / (1 + DF)^20,
  (
    (
      (B60 * $AB$4 / 1000000 + $AB$5 - TAC)
      + Depreciation
    )
    * ((1 - (1 + DF)^-20) / DF)
  )
  - TCI
  + (0.15 * TCI) / (1 + DF)^20
)</f>
        <v>318.46212741864429</v>
      </c>
      <c r="D60" s="201"/>
      <c r="E60" s="201"/>
      <c r="F60" s="201"/>
      <c r="G60" s="201"/>
      <c r="H60" s="201"/>
      <c r="I60" s="201"/>
      <c r="J60" s="201"/>
      <c r="K60" s="201"/>
      <c r="L60" s="201"/>
      <c r="M60" s="201"/>
      <c r="N60" s="201"/>
      <c r="O60" s="201"/>
      <c r="P60" s="201"/>
      <c r="Q60" s="201"/>
      <c r="R60" s="201"/>
      <c r="S60" s="201"/>
      <c r="T60" s="201"/>
    </row>
    <row r="61" spans="1:20">
      <c r="A61" s="259">
        <v>0.4</v>
      </c>
      <c r="B61" s="200">
        <f>1.4*AB3</f>
        <v>3500</v>
      </c>
      <c r="C61" s="261">
        <f t="array" ref="C61">IF(
  (B61 * $AB$4 / 1000000 + $AB$5 - TAC) &gt;= 0,
  (
    (
      (B61 * $AB$4 / 1000000 + $AB$5 - TAC) * (1 - Tax_Rate)
      + Depreciation
    )
    * ((1 - (1 + DF)^-20) / DF)
  )
  - TCI
  + (0.15 * TCI) / (1 + DF)^20,
  (
    (
      (B61 * $AB$4 / 1000000 + $AB$5 - TAC)
      + Depreciation
    )
    * ((1 - (1 + DF)^-20) / DF)
  )
  - TCI
  + (0.15 * TCI) / (1 + DF)^20
)</f>
        <v>401.1459220029767</v>
      </c>
      <c r="D61" s="201"/>
      <c r="E61" s="201"/>
      <c r="F61" s="201"/>
      <c r="G61" s="201"/>
      <c r="H61" s="201"/>
      <c r="I61" s="201"/>
      <c r="J61" s="201"/>
      <c r="K61" s="201"/>
      <c r="L61" s="201"/>
      <c r="M61" s="201"/>
      <c r="N61" s="201"/>
      <c r="O61" s="201"/>
      <c r="P61" s="201"/>
      <c r="Q61" s="201"/>
      <c r="R61" s="201"/>
      <c r="S61" s="201"/>
      <c r="T61" s="201"/>
    </row>
    <row r="62" spans="1:20">
      <c r="A62" s="259">
        <v>0.5</v>
      </c>
      <c r="B62" s="200">
        <f>1.5*AB3</f>
        <v>3750</v>
      </c>
      <c r="C62" s="261">
        <f t="array" ref="C62">IF(
  (B62 * $AB$4 / 1000000 + $AB$5 - TAC) &gt;= 0,
  (
    (
      (B62 * $AB$4 / 1000000 + $AB$5 - TAC) * (1 - Tax_Rate)
      + Depreciation
    )
    * ((1 - (1 + DF)^-20) / DF)
  )
  - TCI
  + (0.15 * TCI) / (1 + DF)^20,
  (
    (
      (B62 * $AB$4 / 1000000 + $AB$5 - TAC)
      + Depreciation
    )
    * ((1 - (1 + DF)^-20) / DF)
  )
  - TCI
  + (0.15 * TCI) / (1 + DF)^20
)</f>
        <v>483.82971658730906</v>
      </c>
      <c r="D62" s="201"/>
      <c r="E62" s="201"/>
      <c r="F62" s="201"/>
      <c r="G62" s="201"/>
      <c r="H62" s="201"/>
      <c r="I62" s="201"/>
      <c r="J62" s="201"/>
      <c r="K62" s="201"/>
      <c r="L62" s="201"/>
      <c r="M62" s="201"/>
      <c r="N62" s="201"/>
      <c r="O62" s="201"/>
      <c r="P62" s="201"/>
      <c r="Q62" s="201"/>
      <c r="R62" s="201"/>
      <c r="S62" s="201"/>
      <c r="T62" s="201"/>
    </row>
    <row r="63" spans="1:20">
      <c r="A63" s="259"/>
      <c r="D63" s="201"/>
      <c r="E63" s="201"/>
      <c r="F63" s="201"/>
      <c r="G63" s="201"/>
      <c r="H63" s="201"/>
      <c r="I63" s="201"/>
      <c r="J63" s="201"/>
      <c r="K63" s="201"/>
      <c r="L63" s="201"/>
      <c r="M63" s="201"/>
      <c r="N63" s="201"/>
      <c r="O63" s="201"/>
      <c r="P63" s="201"/>
      <c r="Q63" s="201"/>
      <c r="R63" s="201"/>
      <c r="S63" s="201"/>
      <c r="T63" s="201"/>
    </row>
    <row r="64" spans="1:20">
      <c r="A64" s="259"/>
      <c r="D64" s="201"/>
      <c r="E64" s="201"/>
      <c r="F64" s="201"/>
      <c r="G64" s="201"/>
      <c r="H64" s="201"/>
      <c r="I64" s="201"/>
      <c r="J64" s="201"/>
      <c r="K64" s="201"/>
      <c r="L64" s="201"/>
      <c r="M64" s="201"/>
      <c r="N64" s="201"/>
      <c r="O64" s="201"/>
      <c r="P64" s="201"/>
      <c r="Q64" s="201"/>
      <c r="R64" s="201"/>
      <c r="S64" s="201"/>
      <c r="T64" s="201"/>
    </row>
    <row r="65" spans="1:20">
      <c r="D65" s="201"/>
      <c r="E65" s="201"/>
      <c r="F65" s="201"/>
      <c r="G65" s="201"/>
      <c r="H65" s="201"/>
      <c r="I65" s="201"/>
      <c r="J65" s="201"/>
      <c r="K65" s="201"/>
      <c r="L65" s="201"/>
      <c r="M65" s="201"/>
      <c r="N65" s="201"/>
      <c r="O65" s="201"/>
      <c r="P65" s="201"/>
      <c r="Q65" s="201"/>
      <c r="R65" s="201"/>
      <c r="S65" s="201"/>
      <c r="T65" s="201"/>
    </row>
    <row r="66" spans="1:20">
      <c r="D66" s="201"/>
      <c r="E66" s="201"/>
      <c r="F66" s="201"/>
      <c r="G66" s="201"/>
      <c r="H66" s="201"/>
      <c r="I66" s="201"/>
      <c r="J66" s="201"/>
      <c r="K66" s="201"/>
      <c r="L66" s="201"/>
      <c r="M66" s="201"/>
      <c r="N66" s="201"/>
      <c r="O66" s="201"/>
      <c r="P66" s="201"/>
      <c r="Q66" s="201"/>
      <c r="R66" s="201"/>
      <c r="S66" s="201"/>
      <c r="T66" s="201"/>
    </row>
    <row r="67" spans="1:20">
      <c r="A67" s="296" t="s">
        <v>802</v>
      </c>
      <c r="B67" s="296" t="s">
        <v>803</v>
      </c>
      <c r="C67" s="296" t="s">
        <v>804</v>
      </c>
      <c r="D67" s="296" t="s">
        <v>805</v>
      </c>
      <c r="E67" s="201"/>
      <c r="F67" s="201"/>
      <c r="G67" s="201"/>
      <c r="H67" s="201"/>
      <c r="I67" s="201"/>
      <c r="J67" s="201"/>
      <c r="K67" s="201"/>
      <c r="L67" s="201"/>
      <c r="M67" s="201"/>
      <c r="N67" s="201"/>
      <c r="O67" s="201"/>
      <c r="P67" s="201"/>
      <c r="Q67" s="201"/>
      <c r="R67" s="201"/>
      <c r="S67" s="201"/>
      <c r="T67" s="201"/>
    </row>
    <row r="68" spans="1:20">
      <c r="A68" s="297">
        <v>10000</v>
      </c>
      <c r="B68" s="297">
        <v>41.580061090960513</v>
      </c>
      <c r="C68" s="297">
        <v>8.7501838189580834</v>
      </c>
      <c r="D68" s="297">
        <v>2.4659372973593872</v>
      </c>
      <c r="E68" s="201"/>
      <c r="F68" s="201"/>
      <c r="G68" s="201"/>
      <c r="H68" s="201"/>
      <c r="I68" s="201"/>
      <c r="J68" s="201"/>
      <c r="K68" s="201"/>
      <c r="L68" s="201"/>
      <c r="M68" s="201"/>
      <c r="N68" s="201"/>
      <c r="O68" s="201"/>
      <c r="P68" s="201"/>
      <c r="Q68" s="201"/>
      <c r="R68" s="201"/>
      <c r="S68" s="201"/>
      <c r="T68" s="201"/>
    </row>
    <row r="69" spans="1:20">
      <c r="A69" s="297">
        <v>20555.555555555555</v>
      </c>
      <c r="B69" s="297">
        <v>64.068219446771323</v>
      </c>
      <c r="C69" s="297">
        <v>11.375032970964604</v>
      </c>
      <c r="D69" s="297">
        <v>26.492437079497819</v>
      </c>
      <c r="E69" s="201"/>
      <c r="F69" s="201"/>
      <c r="G69" s="201"/>
      <c r="H69" s="201"/>
      <c r="I69" s="201"/>
      <c r="J69" s="201"/>
      <c r="K69" s="201"/>
      <c r="L69" s="201"/>
      <c r="M69" s="201"/>
      <c r="N69" s="201"/>
      <c r="O69" s="201"/>
      <c r="P69" s="201"/>
      <c r="Q69" s="201"/>
      <c r="R69" s="201"/>
      <c r="S69" s="201"/>
      <c r="T69" s="201"/>
    </row>
    <row r="70" spans="1:20">
      <c r="A70" s="297">
        <v>31111.111111111109</v>
      </c>
      <c r="B70" s="297">
        <v>82.155082522065086</v>
      </c>
      <c r="C70" s="297">
        <v>13.265093892591134</v>
      </c>
      <c r="D70" s="297">
        <v>54.924686481282173</v>
      </c>
      <c r="E70" s="201"/>
      <c r="F70" s="201"/>
      <c r="G70" s="201"/>
      <c r="H70" s="201"/>
      <c r="I70" s="201"/>
      <c r="J70" s="201"/>
      <c r="K70" s="201"/>
      <c r="L70" s="201"/>
      <c r="M70" s="201"/>
      <c r="N70" s="201"/>
      <c r="O70" s="201"/>
      <c r="P70" s="201"/>
      <c r="Q70" s="201"/>
      <c r="R70" s="201"/>
      <c r="S70" s="201"/>
      <c r="T70" s="201"/>
    </row>
    <row r="71" spans="1:20">
      <c r="A71" s="297">
        <v>41666.666666666664</v>
      </c>
      <c r="B71" s="297">
        <v>97.894519272384755</v>
      </c>
      <c r="C71" s="297">
        <v>14.798750645003114</v>
      </c>
      <c r="D71" s="297">
        <v>85.706737925247751</v>
      </c>
      <c r="E71" s="201"/>
      <c r="F71" s="201"/>
      <c r="G71" s="201"/>
      <c r="H71" s="201"/>
      <c r="I71" s="201"/>
      <c r="J71" s="201"/>
      <c r="K71" s="201"/>
      <c r="L71" s="201"/>
      <c r="M71" s="201"/>
      <c r="N71" s="201"/>
      <c r="O71" s="201"/>
      <c r="P71" s="201"/>
      <c r="Q71" s="201"/>
      <c r="R71" s="201"/>
      <c r="S71" s="201"/>
      <c r="T71" s="201"/>
    </row>
    <row r="72" spans="1:20">
      <c r="A72" s="297">
        <v>52222.222222222219</v>
      </c>
      <c r="B72" s="297">
        <v>112.09812079534593</v>
      </c>
      <c r="C72" s="297">
        <v>16.113272294701623</v>
      </c>
      <c r="D72" s="297">
        <v>118.02617894148901</v>
      </c>
      <c r="E72" s="201"/>
      <c r="F72" s="201"/>
      <c r="G72" s="201"/>
      <c r="H72" s="201"/>
      <c r="I72" s="201"/>
      <c r="J72" s="201"/>
      <c r="K72" s="201"/>
      <c r="L72" s="201"/>
      <c r="M72" s="201"/>
      <c r="N72" s="201"/>
      <c r="O72" s="201"/>
      <c r="P72" s="201"/>
      <c r="Q72" s="201"/>
      <c r="R72" s="201"/>
      <c r="S72" s="201"/>
      <c r="T72" s="201"/>
    </row>
    <row r="73" spans="1:20">
      <c r="A73" s="297">
        <v>62777.777777777774</v>
      </c>
      <c r="B73" s="297">
        <v>125.1897251939789</v>
      </c>
      <c r="C73" s="297">
        <v>17.27638627842931</v>
      </c>
      <c r="D73" s="297">
        <v>151.45874248083052</v>
      </c>
      <c r="E73" s="201"/>
      <c r="F73" s="201"/>
      <c r="G73" s="201"/>
      <c r="H73" s="201"/>
      <c r="I73" s="201"/>
      <c r="J73" s="201"/>
      <c r="K73" s="201"/>
      <c r="L73" s="201"/>
      <c r="M73" s="201"/>
      <c r="N73" s="201"/>
      <c r="O73" s="201"/>
      <c r="P73" s="201"/>
      <c r="Q73" s="201"/>
      <c r="R73" s="201"/>
      <c r="S73" s="201"/>
      <c r="T73" s="201"/>
    </row>
    <row r="74" spans="1:20">
      <c r="A74" s="297">
        <v>73333.333333333328</v>
      </c>
      <c r="B74" s="297">
        <v>137.42507376086243</v>
      </c>
      <c r="C74" s="297">
        <v>18.327225736376967</v>
      </c>
      <c r="D74" s="297">
        <v>185.74842842723839</v>
      </c>
      <c r="E74" s="201"/>
      <c r="F74" s="201"/>
      <c r="G74" s="201"/>
      <c r="H74" s="201"/>
      <c r="I74" s="201"/>
      <c r="J74" s="201"/>
      <c r="K74" s="201"/>
      <c r="L74" s="201"/>
      <c r="M74" s="201"/>
      <c r="N74" s="201"/>
      <c r="O74" s="201"/>
      <c r="P74" s="201"/>
      <c r="Q74" s="201"/>
      <c r="R74" s="201"/>
      <c r="S74" s="201"/>
      <c r="T74" s="201"/>
    </row>
    <row r="75" spans="1:20">
      <c r="A75" s="297">
        <v>83888.888888888876</v>
      </c>
      <c r="B75" s="297">
        <v>148.97307710062483</v>
      </c>
      <c r="C75" s="297">
        <v>19.290741972183582</v>
      </c>
      <c r="D75" s="297">
        <v>220.72615522979146</v>
      </c>
      <c r="E75" s="201"/>
      <c r="F75" s="201"/>
      <c r="G75" s="201"/>
      <c r="H75" s="201"/>
      <c r="I75" s="201"/>
      <c r="J75" s="201"/>
      <c r="K75" s="201"/>
      <c r="L75" s="201"/>
      <c r="M75" s="201"/>
      <c r="N75" s="201"/>
      <c r="O75" s="201"/>
      <c r="P75" s="201"/>
      <c r="Q75" s="201"/>
      <c r="R75" s="201"/>
      <c r="S75" s="201"/>
      <c r="T75" s="201"/>
    </row>
    <row r="76" spans="1:20">
      <c r="A76" s="297">
        <v>94444.444444444438</v>
      </c>
      <c r="B76" s="297">
        <v>159.95247808692403</v>
      </c>
      <c r="C76" s="297">
        <v>20.183960852999196</v>
      </c>
      <c r="D76" s="297">
        <v>256.27305984088468</v>
      </c>
      <c r="E76" s="201"/>
      <c r="F76" s="201"/>
      <c r="G76" s="201"/>
      <c r="H76" s="201"/>
      <c r="I76" s="201"/>
      <c r="J76" s="201"/>
      <c r="K76" s="201"/>
      <c r="L76" s="201"/>
      <c r="M76" s="201"/>
      <c r="N76" s="201"/>
      <c r="O76" s="201"/>
      <c r="P76" s="201"/>
      <c r="Q76" s="201"/>
      <c r="R76" s="201"/>
      <c r="S76" s="201"/>
      <c r="T76" s="201"/>
    </row>
    <row r="77" spans="1:20">
      <c r="A77" s="297">
        <v>105000</v>
      </c>
      <c r="B77" s="297">
        <v>170.45066601456847</v>
      </c>
      <c r="C77" s="297">
        <v>21.019093219512207</v>
      </c>
      <c r="D77" s="297">
        <v>292.3016645232093</v>
      </c>
      <c r="E77" s="201"/>
      <c r="F77" s="201"/>
      <c r="G77" s="201"/>
      <c r="H77" s="201"/>
      <c r="I77" s="201"/>
      <c r="J77" s="201"/>
      <c r="K77" s="201"/>
      <c r="L77" s="201"/>
      <c r="M77" s="201"/>
      <c r="N77" s="201"/>
      <c r="O77" s="201"/>
      <c r="P77" s="201"/>
      <c r="Q77" s="201"/>
      <c r="R77" s="201"/>
      <c r="S77" s="201"/>
      <c r="T77" s="201"/>
    </row>
    <row r="78" spans="1:20">
      <c r="A78" s="297">
        <v>115555.55555555555</v>
      </c>
      <c r="B78" s="297">
        <v>180.53425618977542</v>
      </c>
      <c r="C78" s="297">
        <v>21.805237272517846</v>
      </c>
      <c r="D78" s="297">
        <v>328.74528655240317</v>
      </c>
      <c r="E78" s="201"/>
      <c r="F78" s="201"/>
      <c r="G78" s="201"/>
      <c r="H78" s="201"/>
      <c r="I78" s="201"/>
      <c r="J78" s="201"/>
      <c r="K78" s="201"/>
      <c r="L78" s="201"/>
      <c r="M78" s="201"/>
      <c r="N78" s="201"/>
      <c r="O78" s="201"/>
      <c r="P78" s="201"/>
      <c r="Q78" s="201"/>
      <c r="R78" s="201"/>
      <c r="S78" s="201"/>
      <c r="T78" s="201"/>
    </row>
    <row r="79" spans="1:20">
      <c r="A79" s="297">
        <v>126111.11111111109</v>
      </c>
      <c r="B79" s="297">
        <v>190.25546228475071</v>
      </c>
      <c r="C79" s="297">
        <v>22.549380009759886</v>
      </c>
      <c r="D79" s="297">
        <v>365.5516594133145</v>
      </c>
      <c r="E79" s="201"/>
      <c r="F79" s="201"/>
      <c r="G79" s="201"/>
      <c r="H79" s="201"/>
      <c r="I79" s="201"/>
      <c r="J79" s="201"/>
      <c r="K79" s="201"/>
      <c r="L79" s="201"/>
      <c r="M79" s="201"/>
      <c r="N79" s="201"/>
      <c r="O79" s="201"/>
      <c r="P79" s="201"/>
      <c r="Q79" s="201"/>
      <c r="R79" s="201"/>
      <c r="S79" s="201"/>
      <c r="T79" s="201"/>
    </row>
    <row r="80" spans="1:20">
      <c r="A80" s="297">
        <v>136666.66666666666</v>
      </c>
      <c r="B80" s="297">
        <v>199.6561463159326</v>
      </c>
      <c r="C80" s="297">
        <v>23.257020450838592</v>
      </c>
      <c r="D80" s="297">
        <v>402.67887872297553</v>
      </c>
      <c r="E80" s="201"/>
      <c r="F80" s="201"/>
      <c r="G80" s="201"/>
      <c r="H80" s="201"/>
      <c r="I80" s="201"/>
      <c r="J80" s="201"/>
      <c r="K80" s="201"/>
      <c r="L80" s="201"/>
      <c r="M80" s="201"/>
      <c r="N80" s="201"/>
      <c r="O80" s="201"/>
      <c r="P80" s="201"/>
      <c r="Q80" s="201"/>
      <c r="R80" s="201"/>
      <c r="S80" s="201"/>
      <c r="T80" s="201"/>
    </row>
    <row r="81" spans="1:20">
      <c r="A81" s="297">
        <v>147222.22222222222</v>
      </c>
      <c r="B81" s="297">
        <v>208.77050626724238</v>
      </c>
      <c r="C81" s="297">
        <v>23.932575453843363</v>
      </c>
      <c r="D81" s="297">
        <v>440.09271188732907</v>
      </c>
      <c r="E81" s="201"/>
      <c r="F81" s="201"/>
      <c r="G81" s="201"/>
      <c r="H81" s="201"/>
      <c r="I81" s="201"/>
      <c r="J81" s="201"/>
      <c r="K81" s="201"/>
      <c r="L81" s="201"/>
      <c r="M81" s="201"/>
      <c r="N81" s="201"/>
      <c r="O81" s="201"/>
      <c r="P81" s="201"/>
      <c r="Q81" s="201"/>
      <c r="R81" s="201"/>
      <c r="S81" s="201"/>
      <c r="T81" s="201"/>
    </row>
    <row r="82" spans="1:20">
      <c r="A82" s="297">
        <v>157777.77777777775</v>
      </c>
      <c r="B82" s="297">
        <v>217.62692419185387</v>
      </c>
      <c r="C82" s="297">
        <v>24.579653993436551</v>
      </c>
      <c r="D82" s="297">
        <v>477.76474812909123</v>
      </c>
      <c r="E82" s="201"/>
      <c r="F82" s="201"/>
      <c r="G82" s="201"/>
      <c r="H82" s="201"/>
      <c r="I82" s="201"/>
      <c r="J82" s="201"/>
      <c r="K82" s="201"/>
      <c r="L82" s="201"/>
      <c r="M82" s="201"/>
      <c r="N82" s="201"/>
      <c r="O82" s="201"/>
      <c r="P82" s="201"/>
      <c r="Q82" s="201"/>
      <c r="R82" s="201"/>
      <c r="S82" s="201"/>
      <c r="T82" s="201"/>
    </row>
    <row r="83" spans="1:20">
      <c r="A83" s="297">
        <v>168333.33333333331</v>
      </c>
      <c r="B83" s="297">
        <v>226.24927547077218</v>
      </c>
      <c r="C83" s="297">
        <v>25.201248412663688</v>
      </c>
      <c r="D83" s="297">
        <v>515.67108790413579</v>
      </c>
      <c r="E83" s="201"/>
      <c r="F83" s="201"/>
      <c r="G83" s="201"/>
      <c r="H83" s="201"/>
      <c r="I83" s="201"/>
      <c r="J83" s="201"/>
      <c r="K83" s="201"/>
      <c r="L83" s="201"/>
      <c r="M83" s="201"/>
      <c r="N83" s="201"/>
      <c r="O83" s="201"/>
      <c r="P83" s="201"/>
      <c r="Q83" s="201"/>
      <c r="R83" s="201"/>
      <c r="S83" s="201"/>
      <c r="T83" s="201"/>
    </row>
    <row r="84" spans="1:20">
      <c r="A84" s="297">
        <v>178888.88888888888</v>
      </c>
      <c r="B84" s="297">
        <v>234.65788015245772</v>
      </c>
      <c r="C84" s="297">
        <v>25.799871368415861</v>
      </c>
      <c r="D84" s="297">
        <v>553.79139059905492</v>
      </c>
      <c r="E84" s="201"/>
      <c r="F84" s="201"/>
      <c r="G84" s="201"/>
      <c r="H84" s="201"/>
      <c r="I84" s="201"/>
      <c r="J84" s="201"/>
      <c r="K84" s="201"/>
      <c r="L84" s="201"/>
      <c r="M84" s="201"/>
      <c r="N84" s="201"/>
      <c r="O84" s="201"/>
      <c r="P84" s="201"/>
      <c r="Q84" s="201"/>
      <c r="R84" s="201"/>
      <c r="S84" s="201"/>
      <c r="T84" s="201"/>
    </row>
    <row r="85" spans="1:20">
      <c r="A85" s="297">
        <v>189444.44444444444</v>
      </c>
      <c r="B85" s="297">
        <v>242.87020948424222</v>
      </c>
      <c r="C85" s="297">
        <v>26.377656158685319</v>
      </c>
      <c r="D85" s="297">
        <v>592.10816728471048</v>
      </c>
      <c r="E85" s="201"/>
      <c r="F85" s="201"/>
      <c r="G85" s="201"/>
      <c r="H85" s="201"/>
      <c r="I85" s="201"/>
      <c r="J85" s="201"/>
      <c r="K85" s="201"/>
      <c r="L85" s="201"/>
      <c r="M85" s="201"/>
      <c r="N85" s="201"/>
      <c r="O85" s="201"/>
      <c r="P85" s="201"/>
      <c r="Q85" s="201"/>
      <c r="R85" s="201"/>
      <c r="S85" s="201"/>
      <c r="T85" s="201"/>
    </row>
    <row r="86" spans="1:20">
      <c r="A86" s="297">
        <v>200000</v>
      </c>
      <c r="B86" s="297">
        <v>250.90142070717613</v>
      </c>
      <c r="C86" s="297">
        <v>26.936431700733014</v>
      </c>
      <c r="D86" s="297">
        <v>630.60624538013826</v>
      </c>
      <c r="E86" s="201"/>
      <c r="F86" s="201"/>
      <c r="G86" s="201"/>
      <c r="H86" s="201"/>
      <c r="I86" s="201"/>
      <c r="J86" s="201"/>
      <c r="K86" s="201"/>
      <c r="L86" s="201"/>
      <c r="M86" s="201"/>
      <c r="N86" s="201"/>
      <c r="O86" s="201"/>
      <c r="P86" s="201"/>
      <c r="Q86" s="201"/>
      <c r="R86" s="201"/>
      <c r="S86" s="201"/>
      <c r="T86" s="201"/>
    </row>
    <row r="87" spans="1:20">
      <c r="B87" s="201"/>
      <c r="C87" s="201"/>
      <c r="D87" s="201"/>
      <c r="E87" s="201"/>
      <c r="F87" s="201"/>
      <c r="G87" s="201"/>
      <c r="H87" s="201"/>
      <c r="I87" s="201"/>
      <c r="J87" s="201"/>
      <c r="K87" s="201"/>
      <c r="L87" s="201"/>
      <c r="M87" s="201"/>
      <c r="N87" s="201"/>
      <c r="O87" s="201"/>
      <c r="P87" s="201"/>
      <c r="Q87" s="201"/>
      <c r="R87" s="201"/>
      <c r="S87" s="201"/>
      <c r="T87" s="201"/>
    </row>
    <row r="88" spans="1:20">
      <c r="B88" s="201"/>
      <c r="C88" s="201"/>
      <c r="D88" s="201"/>
      <c r="E88" s="201"/>
      <c r="F88" s="201"/>
      <c r="G88" s="201"/>
      <c r="H88" s="201"/>
      <c r="I88" s="201"/>
      <c r="J88" s="201"/>
      <c r="K88" s="201"/>
      <c r="L88" s="201"/>
      <c r="M88" s="201"/>
      <c r="N88" s="201"/>
      <c r="O88" s="201"/>
      <c r="P88" s="201"/>
      <c r="Q88" s="201"/>
      <c r="R88" s="201"/>
      <c r="S88" s="201"/>
      <c r="T88" s="201"/>
    </row>
    <row r="89" spans="1:20">
      <c r="B89" s="201"/>
      <c r="C89" s="201"/>
      <c r="D89" s="201"/>
      <c r="E89" s="201"/>
      <c r="F89" s="201"/>
      <c r="G89" s="201"/>
      <c r="H89" s="201"/>
      <c r="I89" s="201"/>
      <c r="J89" s="201"/>
      <c r="K89" s="201"/>
      <c r="L89" s="201"/>
      <c r="M89" s="201"/>
      <c r="N89" s="201"/>
      <c r="O89" s="201"/>
      <c r="P89" s="201"/>
      <c r="Q89" s="201"/>
      <c r="R89" s="201"/>
      <c r="S89" s="201"/>
      <c r="T89" s="201"/>
    </row>
    <row r="90" spans="1:20">
      <c r="B90" s="201"/>
      <c r="C90" s="201"/>
      <c r="D90" s="201"/>
      <c r="E90" s="201"/>
      <c r="F90" s="201"/>
      <c r="G90" s="201"/>
      <c r="H90" s="201"/>
      <c r="I90" s="201"/>
      <c r="J90" s="201"/>
      <c r="K90" s="201"/>
      <c r="L90" s="201"/>
      <c r="M90" s="201"/>
      <c r="N90" s="201"/>
      <c r="O90" s="201"/>
      <c r="P90" s="201"/>
      <c r="Q90" s="201"/>
      <c r="R90" s="201"/>
      <c r="S90" s="201"/>
      <c r="T90" s="201"/>
    </row>
    <row r="91" spans="1:20">
      <c r="B91" s="201"/>
      <c r="C91" s="201"/>
      <c r="D91" s="201"/>
      <c r="E91" s="201"/>
      <c r="F91" s="201"/>
      <c r="G91" s="201"/>
      <c r="H91" s="201"/>
      <c r="I91" s="201"/>
      <c r="J91" s="201"/>
      <c r="K91" s="201"/>
      <c r="L91" s="201"/>
      <c r="M91" s="201"/>
      <c r="N91" s="201"/>
      <c r="O91" s="201"/>
      <c r="P91" s="201"/>
      <c r="Q91" s="201"/>
      <c r="R91" s="201"/>
      <c r="S91" s="201"/>
      <c r="T91" s="201"/>
    </row>
    <row r="92" spans="1:20">
      <c r="B92" s="201"/>
      <c r="C92" s="201"/>
      <c r="D92" s="201"/>
      <c r="E92" s="201"/>
      <c r="F92" s="201"/>
      <c r="G92" s="201"/>
      <c r="H92" s="201"/>
      <c r="I92" s="201"/>
      <c r="J92" s="201"/>
      <c r="K92" s="201"/>
      <c r="L92" s="201"/>
      <c r="M92" s="201"/>
      <c r="N92" s="201"/>
      <c r="O92" s="201"/>
      <c r="P92" s="201"/>
      <c r="Q92" s="201"/>
      <c r="R92" s="201"/>
      <c r="S92" s="201"/>
      <c r="T92" s="201"/>
    </row>
    <row r="93" spans="1:20">
      <c r="B93" s="201"/>
      <c r="C93" s="201"/>
      <c r="D93" s="201"/>
      <c r="E93" s="201"/>
      <c r="F93" s="201"/>
      <c r="G93" s="201"/>
      <c r="H93" s="201"/>
      <c r="I93" s="201"/>
      <c r="J93" s="201"/>
      <c r="K93" s="201"/>
      <c r="L93" s="201"/>
      <c r="M93" s="201"/>
      <c r="N93" s="201"/>
      <c r="O93" s="201"/>
      <c r="P93" s="201"/>
      <c r="Q93" s="201"/>
      <c r="R93" s="201"/>
      <c r="S93" s="201"/>
      <c r="T93" s="201"/>
    </row>
    <row r="94" spans="1:20">
      <c r="B94" s="201"/>
      <c r="C94" s="201"/>
      <c r="D94" s="201"/>
      <c r="E94" s="201"/>
      <c r="F94" s="201"/>
      <c r="G94" s="201"/>
      <c r="H94" s="201"/>
      <c r="I94" s="201"/>
      <c r="J94" s="201"/>
      <c r="K94" s="201"/>
      <c r="L94" s="201"/>
      <c r="M94" s="201"/>
      <c r="N94" s="201"/>
      <c r="O94" s="201"/>
      <c r="P94" s="201"/>
      <c r="Q94" s="201"/>
      <c r="R94" s="201"/>
      <c r="S94" s="201"/>
      <c r="T94" s="201"/>
    </row>
  </sheetData>
  <mergeCells count="3">
    <mergeCell ref="A4:D4"/>
    <mergeCell ref="A27:E27"/>
    <mergeCell ref="A1:L1"/>
  </mergeCells>
  <phoneticPr fontId="49" type="noConversion"/>
  <conditionalFormatting sqref="B21">
    <cfRule type="expression" dxfId="58" priority="2">
      <formula>ROI&lt; 0</formula>
    </cfRule>
    <cfRule type="expression" dxfId="57" priority="3">
      <formula>AND(ROI &gt;= 0, ROI &lt;= 15)</formula>
    </cfRule>
    <cfRule type="expression" dxfId="56" priority="4">
      <formula>ROI &gt; 15</formula>
    </cfRule>
  </conditionalFormatting>
  <conditionalFormatting sqref="B22">
    <cfRule type="expression" dxfId="55" priority="1">
      <formula>Net_Profit &lt;= 0</formula>
    </cfRule>
  </conditionalFormatting>
  <pageMargins left="0.7" right="0.7" top="0.75" bottom="0.75" header="0.3" footer="0.3"/>
  <ignoredErrors>
    <ignoredError sqref="AB12:AB14" evalError="1"/>
  </ignoredErrors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17" r:id="rId3" name="Button 1">
              <controlPr defaultSize="0" print="0" autoFill="0" autoPict="0" macro="[0]!CapacitySweep_EconMetrics">
                <anchor moveWithCells="1" sizeWithCells="1">
                  <from>
                    <xdr:col>0</xdr:col>
                    <xdr:colOff>60960</xdr:colOff>
                    <xdr:row>62</xdr:row>
                    <xdr:rowOff>167640</xdr:rowOff>
                  </from>
                  <to>
                    <xdr:col>2</xdr:col>
                    <xdr:colOff>144780</xdr:colOff>
                    <xdr:row>65</xdr:row>
                    <xdr:rowOff>137160</xdr:rowOff>
                  </to>
                </anchor>
              </controlPr>
            </control>
          </mc:Choice>
        </mc:AlternateContent>
      </controls>
    </mc:Choice>
  </mc:AlternateContent>
  <tableParts count="7">
    <tablePart r:id="rId4"/>
    <tablePart r:id="rId5"/>
    <tablePart r:id="rId6"/>
    <tablePart r:id="rId7"/>
    <tablePart r:id="rId8"/>
    <tablePart r:id="rId9"/>
    <tablePart r:id="rId10"/>
  </tableParts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127A156-B9D1-469D-91BB-319688420210}">
  <sheetPr codeName="Sheet18"/>
  <dimension ref="A1:X121"/>
  <sheetViews>
    <sheetView zoomScale="90" zoomScaleNormal="90" workbookViewId="0">
      <selection activeCell="M18" sqref="M18"/>
    </sheetView>
  </sheetViews>
  <sheetFormatPr defaultRowHeight="14.4"/>
  <cols>
    <col min="1" max="1" width="19.5546875" bestFit="1" customWidth="1"/>
    <col min="2" max="2" width="12.5546875" bestFit="1" customWidth="1"/>
    <col min="18" max="18" width="11.77734375" bestFit="1" customWidth="1"/>
    <col min="20" max="20" width="9.5546875" bestFit="1" customWidth="1"/>
    <col min="21" max="22" width="33.5546875" bestFit="1" customWidth="1"/>
    <col min="23" max="23" width="11" bestFit="1" customWidth="1"/>
    <col min="24" max="24" width="14.77734375" bestFit="1" customWidth="1"/>
  </cols>
  <sheetData>
    <row r="1" spans="1:24" ht="28.2" customHeight="1">
      <c r="A1" s="340" t="s">
        <v>795</v>
      </c>
      <c r="B1" s="340"/>
      <c r="C1" s="340"/>
      <c r="D1" s="340"/>
      <c r="E1" s="303"/>
      <c r="F1" s="303"/>
      <c r="G1" s="303"/>
      <c r="H1" s="303"/>
      <c r="I1" s="303"/>
      <c r="J1" s="303"/>
      <c r="K1" s="303"/>
      <c r="L1" s="303"/>
      <c r="M1" s="303"/>
      <c r="N1" s="303"/>
      <c r="O1" s="303"/>
      <c r="P1" s="303"/>
      <c r="Q1" s="303"/>
      <c r="R1" s="277" t="s">
        <v>661</v>
      </c>
      <c r="S1" s="277" t="s">
        <v>402</v>
      </c>
      <c r="T1" s="277" t="s">
        <v>733</v>
      </c>
      <c r="U1" s="277" t="s">
        <v>734</v>
      </c>
      <c r="V1" s="277" t="s">
        <v>735</v>
      </c>
      <c r="W1" s="277" t="s">
        <v>371</v>
      </c>
      <c r="X1" s="277" t="s">
        <v>782</v>
      </c>
    </row>
    <row r="2" spans="1:24">
      <c r="A2" s="304"/>
      <c r="B2" s="304"/>
      <c r="C2" s="304"/>
      <c r="D2" s="304"/>
      <c r="E2" s="304"/>
      <c r="F2" s="304"/>
      <c r="G2" s="304"/>
      <c r="H2" s="304"/>
      <c r="I2" s="304"/>
      <c r="J2" s="304"/>
      <c r="K2" s="304"/>
      <c r="L2" s="304"/>
      <c r="M2" s="304"/>
      <c r="N2" s="304"/>
      <c r="O2" s="304"/>
      <c r="P2" s="304"/>
      <c r="Q2" s="304"/>
      <c r="R2" s="305" t="s">
        <v>0</v>
      </c>
      <c r="S2" s="305" t="s">
        <v>498</v>
      </c>
      <c r="T2" s="305" t="s">
        <v>391</v>
      </c>
      <c r="U2" s="306">
        <f>SCALING!D123</f>
        <v>6.951906186705064</v>
      </c>
      <c r="V2" s="305">
        <v>2.78</v>
      </c>
      <c r="W2" s="306">
        <f>SUM(U2+V2)</f>
        <v>9.7319061867050642</v>
      </c>
      <c r="X2" s="305" t="str">
        <f t="shared" ref="X2:X11" si="0">R2 &amp; " " &amp; S2 &amp; " " &amp; T2</f>
        <v>SMR H₂ CG</v>
      </c>
    </row>
    <row r="3" spans="1:24">
      <c r="A3" s="304"/>
      <c r="B3" s="304"/>
      <c r="C3" s="304"/>
      <c r="D3" s="304"/>
      <c r="E3" s="304"/>
      <c r="F3" s="304"/>
      <c r="G3" s="304"/>
      <c r="H3" s="304"/>
      <c r="I3" s="304"/>
      <c r="J3" s="304"/>
      <c r="K3" s="304"/>
      <c r="L3" s="304"/>
      <c r="M3" s="304"/>
      <c r="N3" s="304"/>
      <c r="O3" s="304"/>
      <c r="P3" s="304"/>
      <c r="Q3" s="304"/>
      <c r="R3" s="305" t="s">
        <v>0</v>
      </c>
      <c r="S3" s="305" t="s">
        <v>498</v>
      </c>
      <c r="T3" s="305" t="s">
        <v>392</v>
      </c>
      <c r="U3" s="306">
        <f>U2</f>
        <v>6.951906186705064</v>
      </c>
      <c r="V3" s="306">
        <f>'CO2 factors'!K33</f>
        <v>0.22070874124070078</v>
      </c>
      <c r="W3" s="306">
        <f t="shared" ref="W3:W11" si="1">SUM(U3+V3)</f>
        <v>7.1726149279457649</v>
      </c>
      <c r="X3" s="305" t="str">
        <f t="shared" si="0"/>
        <v>SMR H₂ RG</v>
      </c>
    </row>
    <row r="4" spans="1:24">
      <c r="A4" s="304"/>
      <c r="B4" s="304"/>
      <c r="C4" s="304"/>
      <c r="D4" s="304"/>
      <c r="E4" s="304"/>
      <c r="F4" s="304"/>
      <c r="G4" s="304"/>
      <c r="H4" s="304"/>
      <c r="I4" s="304"/>
      <c r="J4" s="304"/>
      <c r="K4" s="304"/>
      <c r="L4" s="304"/>
      <c r="M4" s="304"/>
      <c r="N4" s="304"/>
      <c r="O4" s="304"/>
      <c r="P4" s="304"/>
      <c r="Q4" s="304"/>
      <c r="R4" s="305" t="s">
        <v>562</v>
      </c>
      <c r="S4" s="305" t="s">
        <v>498</v>
      </c>
      <c r="T4" s="305" t="s">
        <v>391</v>
      </c>
      <c r="U4" s="305">
        <v>5.5</v>
      </c>
      <c r="V4" s="305">
        <v>0.15</v>
      </c>
      <c r="W4" s="305">
        <f t="shared" si="1"/>
        <v>5.65</v>
      </c>
      <c r="X4" s="305" t="str">
        <f t="shared" si="0"/>
        <v>BMG H₂ CG</v>
      </c>
    </row>
    <row r="5" spans="1:24">
      <c r="A5" s="200" t="s">
        <v>740</v>
      </c>
      <c r="B5" s="199" t="s">
        <v>739</v>
      </c>
      <c r="C5" s="304"/>
      <c r="D5" s="304"/>
      <c r="L5" s="304"/>
      <c r="M5" s="304"/>
      <c r="N5" s="304"/>
      <c r="O5" s="304"/>
      <c r="P5" s="304"/>
      <c r="Q5" s="304"/>
      <c r="R5" s="305" t="s">
        <v>562</v>
      </c>
      <c r="S5" s="305" t="s">
        <v>498</v>
      </c>
      <c r="T5" s="305" t="s">
        <v>392</v>
      </c>
      <c r="U5" s="305">
        <v>5.5</v>
      </c>
      <c r="V5" s="306">
        <v>0.01</v>
      </c>
      <c r="W5" s="305">
        <f t="shared" si="1"/>
        <v>5.51</v>
      </c>
      <c r="X5" s="305" t="str">
        <f t="shared" si="0"/>
        <v>BMG H₂ RG</v>
      </c>
    </row>
    <row r="6" spans="1:24">
      <c r="A6" s="199" t="s">
        <v>730</v>
      </c>
      <c r="B6" s="261">
        <f t="array" ref="B6">IF(
  'Algorithm Inputs'!B4 = "For Sale",
  'Algorithm Inputs'!C3 *
    INDEX(Emissions[Scope 1 (MT CO₂ / MT Prod)],
      MATCH(1,
        (Emissions[Process] = VLOOKUP('Algorithm Inputs'!B2, ProcessMap[], 2, FALSE)) *
        (Emissions[[Grid Type ]] = VLOOKUP('Algorithm Inputs'!B12, GridMap[], 2, FALSE)),
      0)
    ),
  'Algorithm Inputs'!C3 *
    INDEX(Emissions[Scope 1 (MT CO₂ / MT Prod)],
      MATCH(1,
        (Emissions[Process] = VLOOKUP('Algorithm Inputs'!B2, ProcessMap[], 2, FALSE)) *
        (Emissions[[Grid Type ]] = VLOOKUP('Algorithm Inputs'!B12, GridMap[], 2, FALSE)),
      0)
    )
  +
  (
    'Algorithm Inputs'!C3 *
    INDEX(SCALING!D79:D95,
      MATCH(1,
        (SCALING!A79:A95 = VLOOKUP('Algorithm Inputs'!B5, ProcessMap[], 2, FALSE)) *
        (SCALING!C79:C95 = VLOOKUP('Algorithm Inputs'!B5, DownstreamMap[], 2, FALSE)),
      0)
    )
  )
  *
  INDEX(Emissions[Scope 1 (MT CO₂ / MT Prod)],
    MATCH(1,
      (Emissions[Process] = VLOOKUP('Algorithm Inputs'!B5, ProcessMap[], 2, FALSE)) *
      (Emissions[[Grid Type ]] = VLOOKUP('Algorithm Inputs'!B12, GridMap[], 2, FALSE)),
    0)
  )
)</f>
        <v>253744.57581473482</v>
      </c>
      <c r="C6" s="304"/>
      <c r="D6" s="304"/>
      <c r="L6" s="304"/>
      <c r="M6" s="304"/>
      <c r="N6" s="304"/>
      <c r="O6" s="304"/>
      <c r="P6" s="304"/>
      <c r="Q6" s="304"/>
      <c r="R6" s="305" t="s">
        <v>570</v>
      </c>
      <c r="S6" s="305" t="s">
        <v>498</v>
      </c>
      <c r="T6" s="305" t="s">
        <v>391</v>
      </c>
      <c r="U6" s="305">
        <v>0</v>
      </c>
      <c r="V6" s="306">
        <f>WEEmissions[CG Scope 2 MT CO2/MT H2]</f>
        <v>20.688322889085512</v>
      </c>
      <c r="W6" s="306">
        <f t="shared" si="1"/>
        <v>20.688322889085512</v>
      </c>
      <c r="X6" s="305" t="str">
        <f t="shared" si="0"/>
        <v>WE H₂ CG</v>
      </c>
    </row>
    <row r="7" spans="1:24">
      <c r="A7" s="199" t="s">
        <v>731</v>
      </c>
      <c r="B7" s="261">
        <f t="array" ref="B7">IF(
  'Algorithm Inputs'!B4 = "For Sale",
  'Algorithm Inputs'!C3 *
    INDEX(Emissions[Scope 2 (MT CO₂ / MT Prod)],
      MATCH(1,
        (Emissions[Process] = VLOOKUP('Algorithm Inputs'!B2, ProcessMap[], 2, FALSE)) *
        (Emissions[[Grid Type ]] = VLOOKUP('Algorithm Inputs'!B12, GridMap[], 2, FALSE)),
      0)
    ),
  'Algorithm Inputs'!C3 *
    INDEX(Emissions[Scope 2 (MT CO₂ / MT Prod)],
      MATCH(1,
        (Emissions[Process] = VLOOKUP('Algorithm Inputs'!B2, ProcessMap[], 2, FALSE)) *
        (Emissions[[Grid Type ]] = VLOOKUP('Algorithm Inputs'!B12, GridMap[], 2, FALSE)),
      0)
    )
  +
  (
    'Algorithm Inputs'!C3 *
    INDEX(SCALING!D79:D95,
      MATCH(1,
        (SCALING!A79:A95 = VLOOKUP('Algorithm Inputs'!B5, ProcessMap[], 2, FALSE)) *
        (SCALING!C79:C95 = VLOOKUP('Algorithm Inputs'!B5, DownstreamMap[], 2, FALSE)),
      0)
    )
  )
  *
  INDEX(Emissions[Scope 2 (MT CO₂ / MT Prod)],
    MATCH(1,
      (Emissions[Process] = VLOOKUP('Algorithm Inputs'!B5, ProcessMap[], 2, FALSE)) *
      (Emissions[[Grid Type ]] = VLOOKUP('Algorithm Inputs'!B12, GridMap[], 2, FALSE)),
    0)
  )
)</f>
        <v>121180</v>
      </c>
      <c r="C7" s="304"/>
      <c r="D7" s="304"/>
      <c r="L7" s="304"/>
      <c r="M7" s="304"/>
      <c r="N7" s="304"/>
      <c r="O7" s="304"/>
      <c r="P7" s="304"/>
      <c r="Q7" s="304"/>
      <c r="R7" s="305" t="s">
        <v>570</v>
      </c>
      <c r="S7" s="305" t="s">
        <v>498</v>
      </c>
      <c r="T7" s="305" t="s">
        <v>392</v>
      </c>
      <c r="U7" s="305">
        <v>0</v>
      </c>
      <c r="V7" s="306">
        <f>WEEmissions[RG Scope 2 MT CO2/MT H2]</f>
        <v>1.3824052471142063</v>
      </c>
      <c r="W7" s="306">
        <f t="shared" si="1"/>
        <v>1.3824052471142063</v>
      </c>
      <c r="X7" s="305" t="str">
        <f t="shared" si="0"/>
        <v>WE H₂ RG</v>
      </c>
    </row>
    <row r="8" spans="1:24">
      <c r="A8" s="199"/>
      <c r="B8" s="200"/>
      <c r="C8" s="304"/>
      <c r="D8" s="304"/>
      <c r="L8" s="304"/>
      <c r="M8" s="304"/>
      <c r="N8" s="304"/>
      <c r="O8" s="304"/>
      <c r="P8" s="304"/>
      <c r="Q8" s="304"/>
      <c r="R8" s="305" t="s">
        <v>581</v>
      </c>
      <c r="S8" s="305" t="s">
        <v>712</v>
      </c>
      <c r="T8" s="305" t="s">
        <v>391</v>
      </c>
      <c r="U8" s="306">
        <f>SCALING!D129</f>
        <v>0.91824602334859984</v>
      </c>
      <c r="V8" s="306">
        <f>SCALING!E129</f>
        <v>0.10908380451401795</v>
      </c>
      <c r="W8" s="306">
        <f t="shared" si="1"/>
        <v>1.0273298278626177</v>
      </c>
      <c r="X8" s="305" t="str">
        <f>R8 &amp; " " &amp; S8 &amp; " " &amp; T8</f>
        <v>HB NH₃ CG</v>
      </c>
    </row>
    <row r="9" spans="1:24">
      <c r="A9" s="199" t="s">
        <v>732</v>
      </c>
      <c r="B9" s="261">
        <f>Scope1+Scope2</f>
        <v>374924.5758147348</v>
      </c>
      <c r="C9" s="304"/>
      <c r="D9" s="304"/>
      <c r="L9" s="304"/>
      <c r="M9" s="304"/>
      <c r="N9" s="304"/>
      <c r="O9" s="304"/>
      <c r="P9" s="304"/>
      <c r="Q9" s="304"/>
      <c r="R9" s="305" t="s">
        <v>581</v>
      </c>
      <c r="S9" s="305" t="s">
        <v>712</v>
      </c>
      <c r="T9" s="305" t="s">
        <v>392</v>
      </c>
      <c r="U9" s="306">
        <f>SCALING!D130</f>
        <v>0.91824602334859984</v>
      </c>
      <c r="V9" s="306">
        <f>SCALING!E130</f>
        <v>7.2890405154549713E-3</v>
      </c>
      <c r="W9" s="306">
        <f t="shared" si="1"/>
        <v>0.92553506386405482</v>
      </c>
      <c r="X9" s="305" t="str">
        <f t="shared" si="0"/>
        <v>HB NH₃ RG</v>
      </c>
    </row>
    <row r="10" spans="1:24">
      <c r="A10" s="304"/>
      <c r="B10" s="304"/>
      <c r="C10" s="304"/>
      <c r="D10" s="304"/>
      <c r="L10" s="304"/>
      <c r="M10" s="304"/>
      <c r="N10" s="304"/>
      <c r="O10" s="304"/>
      <c r="P10" s="304"/>
      <c r="Q10" s="304"/>
      <c r="R10" s="305" t="s">
        <v>502</v>
      </c>
      <c r="S10" s="305" t="s">
        <v>502</v>
      </c>
      <c r="T10" s="305" t="s">
        <v>391</v>
      </c>
      <c r="U10" s="306">
        <f>SCALING!D131</f>
        <v>0.91103772894560819</v>
      </c>
      <c r="V10" s="306">
        <f>SCALING!E131</f>
        <v>4.4223297374078624E-2</v>
      </c>
      <c r="W10" s="306">
        <f t="shared" si="1"/>
        <v>0.95526102631968679</v>
      </c>
      <c r="X10" s="305" t="str">
        <f t="shared" si="0"/>
        <v>MeOH MeOH CG</v>
      </c>
    </row>
    <row r="11" spans="1:24">
      <c r="A11" s="304"/>
      <c r="B11" s="304"/>
      <c r="C11" s="304"/>
      <c r="D11" s="304"/>
      <c r="L11" s="304"/>
      <c r="M11" s="304"/>
      <c r="N11" s="304"/>
      <c r="O11" s="304"/>
      <c r="P11" s="304"/>
      <c r="Q11" s="304"/>
      <c r="R11" s="305" t="s">
        <v>502</v>
      </c>
      <c r="S11" s="305" t="s">
        <v>502</v>
      </c>
      <c r="T11" s="305" t="s">
        <v>392</v>
      </c>
      <c r="U11" s="306">
        <f>SCALING!D132</f>
        <v>0.91103772894560819</v>
      </c>
      <c r="V11" s="306">
        <f>SCALING!E132</f>
        <v>2.955025337837838E-3</v>
      </c>
      <c r="W11" s="306">
        <f t="shared" si="1"/>
        <v>0.91399275428344606</v>
      </c>
      <c r="X11" s="305" t="str">
        <f t="shared" si="0"/>
        <v>MeOH MeOH RG</v>
      </c>
    </row>
    <row r="12" spans="1:24">
      <c r="A12" s="304"/>
      <c r="B12" s="304"/>
      <c r="C12" s="304"/>
      <c r="D12" s="304"/>
      <c r="L12" s="304"/>
      <c r="M12" s="304"/>
      <c r="N12" s="304"/>
      <c r="O12" s="304"/>
      <c r="P12" s="304"/>
      <c r="Q12" s="304"/>
      <c r="R12" s="304"/>
      <c r="S12" s="304"/>
      <c r="T12" s="304"/>
      <c r="U12" s="304"/>
      <c r="V12" s="304"/>
      <c r="W12" s="304"/>
      <c r="X12" s="304"/>
    </row>
    <row r="13" spans="1:24">
      <c r="A13" s="304"/>
      <c r="B13" s="304"/>
      <c r="C13" s="304"/>
      <c r="D13" s="304"/>
      <c r="L13" s="304"/>
      <c r="M13" s="304"/>
      <c r="N13" s="304"/>
      <c r="O13" s="304"/>
      <c r="P13" s="304"/>
      <c r="Q13" s="304"/>
      <c r="R13" s="304"/>
      <c r="S13" s="304"/>
      <c r="T13" s="304"/>
      <c r="U13" s="304"/>
      <c r="V13" s="304"/>
      <c r="W13" s="304"/>
      <c r="X13" s="304"/>
    </row>
    <row r="14" spans="1:24">
      <c r="A14" s="304"/>
      <c r="B14" s="304"/>
      <c r="C14" s="304"/>
      <c r="D14" s="304"/>
      <c r="E14" s="304"/>
      <c r="F14" s="304"/>
      <c r="G14" s="304"/>
      <c r="H14" s="304"/>
      <c r="I14" s="304"/>
      <c r="J14" s="304"/>
      <c r="K14" s="304"/>
      <c r="L14" s="304"/>
      <c r="M14" s="304"/>
      <c r="N14" s="304"/>
      <c r="O14" s="304"/>
      <c r="P14" s="304"/>
      <c r="Q14" s="304"/>
      <c r="R14" s="304"/>
      <c r="S14" s="304"/>
      <c r="T14" s="304"/>
      <c r="U14" s="304"/>
      <c r="V14" s="304"/>
      <c r="W14" s="304"/>
      <c r="X14" s="304"/>
    </row>
    <row r="15" spans="1:24">
      <c r="A15" s="304"/>
      <c r="B15" s="304"/>
      <c r="C15" s="304"/>
      <c r="D15" s="304"/>
      <c r="E15" s="304"/>
      <c r="F15" s="304"/>
      <c r="G15" s="304"/>
      <c r="H15" s="304"/>
      <c r="I15" s="304"/>
      <c r="J15" s="304"/>
      <c r="K15" s="304"/>
      <c r="L15" s="304"/>
      <c r="M15" s="304"/>
      <c r="N15" s="304"/>
      <c r="O15" s="304"/>
      <c r="P15" s="304"/>
      <c r="Q15" s="304"/>
      <c r="R15" s="304"/>
      <c r="S15" s="304"/>
      <c r="T15" s="304"/>
      <c r="U15" s="304"/>
      <c r="V15" s="304"/>
      <c r="W15" s="304"/>
      <c r="X15" s="304"/>
    </row>
    <row r="16" spans="1:24">
      <c r="A16" s="304"/>
      <c r="B16" s="304"/>
      <c r="C16" s="304"/>
      <c r="D16" s="304"/>
      <c r="E16" s="304"/>
      <c r="F16" s="304"/>
      <c r="G16" s="304"/>
      <c r="H16" s="304"/>
      <c r="I16" s="304"/>
      <c r="J16" s="304"/>
      <c r="K16" s="304"/>
      <c r="L16" s="304"/>
      <c r="M16" s="304"/>
      <c r="N16" s="304"/>
      <c r="O16" s="304"/>
      <c r="P16" s="304"/>
      <c r="Q16" s="304"/>
      <c r="R16" s="304"/>
      <c r="S16" s="304"/>
      <c r="T16" s="304"/>
      <c r="U16" s="304"/>
      <c r="V16" s="304"/>
      <c r="W16" s="304"/>
      <c r="X16" s="304"/>
    </row>
    <row r="17" spans="1:24">
      <c r="A17" s="304"/>
      <c r="B17" s="304"/>
      <c r="C17" s="304"/>
      <c r="D17" s="304"/>
      <c r="E17" s="304"/>
      <c r="F17" s="304"/>
      <c r="G17" s="304"/>
      <c r="H17" s="304"/>
      <c r="I17" s="304"/>
      <c r="J17" s="304"/>
      <c r="K17" s="304"/>
      <c r="L17" s="304"/>
      <c r="M17" s="304"/>
      <c r="N17" s="304"/>
      <c r="O17" s="304"/>
      <c r="P17" s="304"/>
      <c r="Q17" s="304"/>
      <c r="R17" s="304"/>
      <c r="S17" s="304"/>
      <c r="T17" s="304"/>
      <c r="U17" s="304"/>
      <c r="V17" s="304"/>
      <c r="W17" s="304"/>
      <c r="X17" s="304"/>
    </row>
    <row r="18" spans="1:24">
      <c r="A18" s="304"/>
      <c r="B18" s="304"/>
      <c r="C18" s="304"/>
      <c r="D18" s="304"/>
      <c r="E18" s="304"/>
      <c r="F18" s="304"/>
      <c r="G18" s="304"/>
      <c r="H18" s="304"/>
      <c r="I18" s="304"/>
      <c r="J18" s="304"/>
      <c r="K18" s="304"/>
      <c r="L18" s="304"/>
      <c r="M18" s="304"/>
      <c r="N18" s="304"/>
      <c r="O18" s="304"/>
      <c r="P18" s="304"/>
      <c r="Q18" s="304"/>
      <c r="R18" s="304"/>
      <c r="S18" s="304"/>
      <c r="T18" s="304"/>
      <c r="U18" s="304"/>
      <c r="V18" s="304"/>
      <c r="W18" s="304"/>
      <c r="X18" s="304"/>
    </row>
    <row r="19" spans="1:24">
      <c r="A19" s="304"/>
      <c r="B19" s="304"/>
      <c r="C19" s="304"/>
      <c r="D19" s="304"/>
      <c r="E19" s="304"/>
      <c r="F19" s="304"/>
      <c r="G19" s="304"/>
      <c r="H19" s="304"/>
      <c r="I19" s="304"/>
      <c r="J19" s="304"/>
      <c r="K19" s="304"/>
      <c r="L19" s="304"/>
      <c r="M19" s="304"/>
      <c r="N19" s="304"/>
      <c r="O19" s="304"/>
      <c r="P19" s="304"/>
      <c r="Q19" s="304"/>
      <c r="R19" s="304"/>
      <c r="S19" s="304"/>
      <c r="T19" s="304"/>
      <c r="U19" s="304"/>
      <c r="V19" s="304"/>
      <c r="W19" s="304"/>
      <c r="X19" s="304"/>
    </row>
    <row r="20" spans="1:24">
      <c r="A20" s="304"/>
      <c r="B20" s="304"/>
      <c r="C20" s="304"/>
      <c r="D20" s="304"/>
      <c r="E20" s="304"/>
      <c r="F20" s="304"/>
      <c r="G20" s="304"/>
      <c r="H20" s="304"/>
      <c r="I20" s="304"/>
      <c r="J20" s="304"/>
      <c r="K20" s="304"/>
      <c r="L20" s="304"/>
      <c r="M20" s="304"/>
      <c r="N20" s="304"/>
      <c r="O20" s="304"/>
      <c r="P20" s="304"/>
      <c r="Q20" s="304"/>
      <c r="R20" s="304"/>
      <c r="S20" s="304"/>
      <c r="T20" s="304"/>
      <c r="U20" s="304"/>
      <c r="V20" s="304"/>
      <c r="W20" s="304"/>
      <c r="X20" s="304"/>
    </row>
    <row r="21" spans="1:24">
      <c r="A21" s="304"/>
      <c r="B21" s="304"/>
      <c r="C21" s="304"/>
      <c r="D21" s="304"/>
      <c r="E21" s="304"/>
      <c r="F21" s="304"/>
      <c r="G21" s="304"/>
      <c r="H21" s="304"/>
      <c r="I21" s="304"/>
      <c r="J21" s="304"/>
      <c r="K21" s="304"/>
      <c r="L21" s="304"/>
      <c r="M21" s="304"/>
      <c r="N21" s="304"/>
      <c r="O21" s="304"/>
      <c r="P21" s="304"/>
      <c r="Q21" s="304"/>
      <c r="R21" s="304"/>
      <c r="S21" s="304"/>
      <c r="T21" s="304"/>
      <c r="U21" s="304"/>
      <c r="V21" s="304"/>
      <c r="W21" s="304"/>
      <c r="X21" s="304"/>
    </row>
    <row r="22" spans="1:24">
      <c r="A22" s="304"/>
      <c r="B22" s="304"/>
      <c r="C22" s="304"/>
      <c r="D22" s="304"/>
      <c r="E22" s="304"/>
      <c r="F22" s="304"/>
      <c r="G22" s="304"/>
      <c r="H22" s="304"/>
      <c r="I22" s="304"/>
      <c r="J22" s="304"/>
      <c r="K22" s="304"/>
      <c r="L22" s="304"/>
      <c r="M22" s="304"/>
      <c r="N22" s="304"/>
      <c r="O22" s="304"/>
      <c r="P22" s="304"/>
      <c r="Q22" s="304"/>
      <c r="R22" s="304"/>
      <c r="S22" s="304"/>
      <c r="T22" s="304"/>
      <c r="U22" s="304"/>
      <c r="V22" s="304"/>
      <c r="W22" s="304"/>
      <c r="X22" s="304"/>
    </row>
    <row r="23" spans="1:24">
      <c r="A23" s="304"/>
      <c r="B23" s="304"/>
      <c r="C23" s="304"/>
      <c r="D23" s="304"/>
      <c r="E23" s="304"/>
      <c r="F23" s="304"/>
      <c r="G23" s="304"/>
      <c r="H23" s="304"/>
      <c r="I23" s="304"/>
      <c r="J23" s="304"/>
      <c r="K23" s="304"/>
      <c r="L23" s="304"/>
      <c r="M23" s="304"/>
      <c r="N23" s="304"/>
      <c r="O23" s="304"/>
      <c r="P23" s="304"/>
      <c r="Q23" s="304"/>
      <c r="R23" s="304"/>
      <c r="S23" s="304"/>
      <c r="T23" s="304"/>
      <c r="U23" s="304"/>
      <c r="V23" s="304"/>
      <c r="W23" s="304"/>
      <c r="X23" s="304"/>
    </row>
    <row r="24" spans="1:24">
      <c r="A24" s="304"/>
      <c r="B24" s="304"/>
      <c r="C24" s="304"/>
      <c r="D24" s="304"/>
      <c r="E24" s="304"/>
      <c r="F24" s="304"/>
      <c r="G24" s="304"/>
      <c r="H24" s="304"/>
      <c r="I24" s="304"/>
      <c r="J24" s="304"/>
      <c r="K24" s="304"/>
      <c r="L24" s="304"/>
      <c r="M24" s="304"/>
      <c r="N24" s="304"/>
      <c r="O24" s="304"/>
      <c r="P24" s="304"/>
      <c r="Q24" s="304"/>
      <c r="R24" s="304"/>
      <c r="S24" s="304"/>
      <c r="T24" s="304"/>
      <c r="U24" s="304"/>
      <c r="V24" s="304"/>
      <c r="W24" s="304"/>
      <c r="X24" s="304"/>
    </row>
    <row r="25" spans="1:24">
      <c r="A25" s="304"/>
      <c r="B25" s="304"/>
      <c r="C25" s="304"/>
      <c r="D25" s="304"/>
      <c r="E25" s="304"/>
      <c r="F25" s="304"/>
      <c r="G25" s="304"/>
      <c r="H25" s="304"/>
      <c r="I25" s="304"/>
      <c r="J25" s="304"/>
      <c r="K25" s="304"/>
      <c r="L25" s="304"/>
      <c r="M25" s="304"/>
      <c r="N25" s="304"/>
      <c r="O25" s="304"/>
      <c r="P25" s="304"/>
      <c r="Q25" s="304"/>
      <c r="R25" s="304"/>
      <c r="S25" s="304"/>
      <c r="T25" s="304"/>
      <c r="U25" s="304"/>
      <c r="V25" s="304"/>
      <c r="W25" s="304"/>
      <c r="X25" s="304"/>
    </row>
    <row r="26" spans="1:24">
      <c r="A26" s="304"/>
      <c r="B26" s="304"/>
      <c r="C26" s="304"/>
      <c r="D26" s="304"/>
      <c r="E26" s="304"/>
      <c r="F26" s="304"/>
      <c r="G26" s="304"/>
      <c r="H26" s="304"/>
      <c r="I26" s="304"/>
      <c r="J26" s="304"/>
      <c r="K26" s="304"/>
      <c r="L26" s="304"/>
      <c r="M26" s="304"/>
      <c r="N26" s="304"/>
      <c r="O26" s="304"/>
      <c r="P26" s="304"/>
      <c r="Q26" s="304"/>
      <c r="R26" s="304"/>
      <c r="S26" s="304"/>
      <c r="T26" s="304"/>
      <c r="U26" s="304"/>
      <c r="V26" s="304"/>
      <c r="W26" s="304"/>
      <c r="X26" s="304"/>
    </row>
    <row r="27" spans="1:24">
      <c r="A27" s="304"/>
      <c r="B27" s="304"/>
      <c r="C27" s="304"/>
      <c r="D27" s="304"/>
      <c r="E27" s="304"/>
      <c r="F27" s="304"/>
      <c r="G27" s="304"/>
      <c r="H27" s="304"/>
      <c r="I27" s="304"/>
      <c r="J27" s="304"/>
      <c r="K27" s="304"/>
      <c r="L27" s="304"/>
      <c r="M27" s="304"/>
      <c r="N27" s="304"/>
      <c r="O27" s="304"/>
      <c r="P27" s="304"/>
      <c r="Q27" s="304"/>
      <c r="R27" s="304"/>
      <c r="S27" s="304"/>
      <c r="T27" s="304"/>
      <c r="U27" s="304"/>
      <c r="V27" s="304"/>
      <c r="W27" s="304"/>
      <c r="X27" s="304"/>
    </row>
    <row r="28" spans="1:24">
      <c r="A28" s="304"/>
      <c r="B28" s="304"/>
      <c r="C28" s="304"/>
      <c r="D28" s="304"/>
      <c r="E28" s="304"/>
      <c r="F28" s="304"/>
      <c r="G28" s="304"/>
      <c r="H28" s="304"/>
      <c r="I28" s="304"/>
      <c r="J28" s="304"/>
      <c r="K28" s="304"/>
      <c r="L28" s="304"/>
      <c r="M28" s="304"/>
      <c r="N28" s="304"/>
      <c r="O28" s="304"/>
      <c r="P28" s="304"/>
      <c r="Q28" s="304"/>
      <c r="R28" s="304"/>
      <c r="S28" s="304"/>
      <c r="T28" s="304"/>
      <c r="U28" s="304"/>
      <c r="V28" s="304"/>
      <c r="W28" s="304"/>
      <c r="X28" s="304"/>
    </row>
    <row r="29" spans="1:24">
      <c r="A29" s="304"/>
      <c r="B29" s="304"/>
      <c r="C29" s="304"/>
      <c r="D29" s="304"/>
      <c r="E29" s="304"/>
      <c r="F29" s="304"/>
      <c r="G29" s="304"/>
      <c r="H29" s="304"/>
      <c r="I29" s="304"/>
      <c r="J29" s="304"/>
      <c r="K29" s="304"/>
      <c r="L29" s="304"/>
      <c r="M29" s="304"/>
      <c r="N29" s="304"/>
      <c r="O29" s="304"/>
      <c r="P29" s="304"/>
      <c r="Q29" s="304"/>
      <c r="R29" s="304"/>
      <c r="S29" s="304"/>
      <c r="T29" s="304"/>
      <c r="U29" s="304"/>
      <c r="V29" s="304"/>
      <c r="W29" s="304"/>
      <c r="X29" s="304"/>
    </row>
    <row r="30" spans="1:24">
      <c r="A30" s="304"/>
      <c r="B30" s="304"/>
      <c r="C30" s="304"/>
      <c r="D30" s="304"/>
      <c r="E30" s="304"/>
      <c r="F30" s="304"/>
      <c r="G30" s="304"/>
      <c r="H30" s="304"/>
      <c r="I30" s="304"/>
      <c r="J30" s="304"/>
      <c r="K30" s="304"/>
      <c r="L30" s="304"/>
      <c r="M30" s="304"/>
      <c r="N30" s="304"/>
      <c r="O30" s="304"/>
      <c r="P30" s="304"/>
      <c r="Q30" s="304"/>
      <c r="R30" s="304"/>
      <c r="S30" s="304"/>
      <c r="T30" s="304"/>
      <c r="U30" s="304"/>
      <c r="V30" s="304"/>
      <c r="W30" s="304"/>
      <c r="X30" s="304"/>
    </row>
    <row r="31" spans="1:24">
      <c r="A31" s="304"/>
      <c r="B31" s="304"/>
      <c r="C31" s="304"/>
      <c r="D31" s="304"/>
      <c r="E31" s="304"/>
      <c r="F31" s="304"/>
      <c r="G31" s="304"/>
      <c r="H31" s="304"/>
      <c r="I31" s="304"/>
      <c r="J31" s="304"/>
      <c r="K31" s="304"/>
      <c r="L31" s="304"/>
      <c r="M31" s="304"/>
      <c r="N31" s="304"/>
      <c r="O31" s="304"/>
      <c r="P31" s="304"/>
      <c r="Q31" s="304"/>
      <c r="R31" s="304"/>
      <c r="S31" s="304"/>
      <c r="T31" s="304"/>
      <c r="U31" s="304"/>
      <c r="V31" s="304"/>
      <c r="W31" s="304"/>
      <c r="X31" s="304"/>
    </row>
    <row r="32" spans="1:24">
      <c r="A32" s="304"/>
      <c r="B32" s="304"/>
      <c r="C32" s="304"/>
      <c r="D32" s="304"/>
      <c r="E32" s="304"/>
      <c r="F32" s="304"/>
      <c r="G32" s="304"/>
      <c r="H32" s="304"/>
      <c r="I32" s="304"/>
      <c r="J32" s="304"/>
      <c r="K32" s="304"/>
      <c r="L32" s="304"/>
      <c r="M32" s="304"/>
      <c r="N32" s="304"/>
      <c r="O32" s="304"/>
      <c r="P32" s="304"/>
      <c r="Q32" s="304"/>
      <c r="R32" s="304"/>
      <c r="S32" s="304"/>
      <c r="T32" s="304"/>
      <c r="U32" s="304"/>
      <c r="V32" s="304"/>
      <c r="W32" s="304"/>
      <c r="X32" s="304"/>
    </row>
    <row r="33" spans="1:24">
      <c r="A33" s="304"/>
      <c r="B33" s="304"/>
      <c r="C33" s="304"/>
      <c r="D33" s="304"/>
      <c r="E33" s="304"/>
      <c r="F33" s="304"/>
      <c r="G33" s="304"/>
      <c r="H33" s="304"/>
      <c r="I33" s="304"/>
      <c r="J33" s="304"/>
      <c r="K33" s="304"/>
      <c r="L33" s="304"/>
      <c r="M33" s="304"/>
      <c r="N33" s="304"/>
      <c r="O33" s="304"/>
      <c r="P33" s="304"/>
      <c r="Q33" s="304"/>
      <c r="R33" s="304"/>
      <c r="S33" s="304"/>
      <c r="T33" s="304"/>
      <c r="U33" s="304"/>
      <c r="V33" s="304"/>
      <c r="W33" s="304"/>
      <c r="X33" s="304"/>
    </row>
    <row r="34" spans="1:24">
      <c r="A34" s="304"/>
      <c r="B34" s="304"/>
      <c r="C34" s="304"/>
      <c r="D34" s="304"/>
      <c r="E34" s="304"/>
      <c r="F34" s="304"/>
      <c r="G34" s="304"/>
      <c r="H34" s="304"/>
      <c r="I34" s="304"/>
      <c r="J34" s="304"/>
      <c r="K34" s="304"/>
      <c r="L34" s="304"/>
      <c r="M34" s="304"/>
      <c r="N34" s="304"/>
      <c r="O34" s="304"/>
      <c r="P34" s="304"/>
      <c r="Q34" s="304"/>
      <c r="R34" s="304"/>
      <c r="S34" s="304"/>
      <c r="T34" s="304"/>
      <c r="U34" s="304"/>
      <c r="V34" s="304"/>
      <c r="W34" s="304"/>
      <c r="X34" s="304"/>
    </row>
    <row r="35" spans="1:24">
      <c r="A35" s="304"/>
      <c r="B35" s="304"/>
      <c r="C35" s="304"/>
      <c r="D35" s="304"/>
      <c r="E35" s="304"/>
      <c r="F35" s="304"/>
      <c r="G35" s="304"/>
      <c r="H35" s="304"/>
      <c r="I35" s="304"/>
      <c r="J35" s="304"/>
      <c r="K35" s="304"/>
      <c r="L35" s="304"/>
      <c r="M35" s="304"/>
      <c r="N35" s="304"/>
      <c r="O35" s="304"/>
      <c r="P35" s="304"/>
      <c r="Q35" s="304"/>
      <c r="R35" s="304"/>
      <c r="S35" s="304"/>
      <c r="T35" s="304"/>
      <c r="U35" s="304"/>
      <c r="V35" s="304"/>
      <c r="W35" s="304"/>
      <c r="X35" s="304"/>
    </row>
    <row r="36" spans="1:24">
      <c r="A36" s="304"/>
      <c r="B36" s="304"/>
      <c r="C36" s="304"/>
      <c r="D36" s="304"/>
      <c r="E36" s="304"/>
      <c r="F36" s="304"/>
      <c r="G36" s="304"/>
      <c r="H36" s="304"/>
      <c r="I36" s="304"/>
      <c r="J36" s="304"/>
      <c r="K36" s="304"/>
      <c r="L36" s="304"/>
      <c r="M36" s="304"/>
      <c r="N36" s="304"/>
      <c r="O36" s="304"/>
      <c r="P36" s="304"/>
      <c r="Q36" s="304"/>
      <c r="R36" s="304"/>
      <c r="S36" s="304"/>
      <c r="T36" s="304"/>
      <c r="U36" s="304"/>
      <c r="V36" s="304"/>
      <c r="W36" s="304"/>
      <c r="X36" s="304"/>
    </row>
    <row r="37" spans="1:24">
      <c r="A37" s="304"/>
      <c r="B37" s="304"/>
      <c r="C37" s="304"/>
      <c r="D37" s="304"/>
      <c r="E37" s="304"/>
      <c r="F37" s="304"/>
      <c r="G37" s="304"/>
      <c r="H37" s="304"/>
      <c r="I37" s="304"/>
      <c r="J37" s="304"/>
      <c r="K37" s="304"/>
      <c r="L37" s="304"/>
      <c r="M37" s="304"/>
      <c r="N37" s="304"/>
      <c r="O37" s="304"/>
      <c r="P37" s="304"/>
      <c r="Q37" s="304"/>
      <c r="R37" s="304"/>
      <c r="S37" s="304"/>
      <c r="T37" s="304"/>
      <c r="U37" s="304"/>
      <c r="V37" s="304"/>
      <c r="W37" s="304"/>
      <c r="X37" s="304"/>
    </row>
    <row r="38" spans="1:24">
      <c r="A38" s="304"/>
      <c r="B38" s="304"/>
      <c r="C38" s="304"/>
      <c r="D38" s="304"/>
      <c r="E38" s="304"/>
      <c r="F38" s="304"/>
      <c r="G38" s="304"/>
      <c r="H38" s="304"/>
      <c r="I38" s="304"/>
      <c r="J38" s="304"/>
      <c r="K38" s="304"/>
      <c r="L38" s="304"/>
      <c r="M38" s="304"/>
      <c r="N38" s="304"/>
      <c r="O38" s="304"/>
      <c r="P38" s="304"/>
      <c r="Q38" s="304"/>
      <c r="R38" s="304"/>
      <c r="S38" s="304"/>
      <c r="T38" s="304"/>
      <c r="U38" s="304"/>
      <c r="V38" s="304"/>
      <c r="W38" s="304"/>
      <c r="X38" s="304"/>
    </row>
    <row r="39" spans="1:24">
      <c r="A39" s="304"/>
      <c r="B39" s="304"/>
      <c r="C39" s="304"/>
      <c r="D39" s="304"/>
      <c r="E39" s="304"/>
      <c r="F39" s="304"/>
      <c r="G39" s="304"/>
      <c r="H39" s="304"/>
      <c r="I39" s="304"/>
      <c r="J39" s="304"/>
      <c r="K39" s="304"/>
      <c r="L39" s="304"/>
      <c r="M39" s="304"/>
      <c r="N39" s="304"/>
      <c r="O39" s="304"/>
      <c r="P39" s="304"/>
      <c r="Q39" s="304"/>
      <c r="R39" s="304"/>
      <c r="S39" s="304"/>
      <c r="T39" s="304"/>
      <c r="U39" s="304"/>
      <c r="V39" s="304"/>
      <c r="W39" s="304"/>
      <c r="X39" s="304"/>
    </row>
    <row r="40" spans="1:24">
      <c r="A40" s="304"/>
      <c r="B40" s="304"/>
      <c r="C40" s="304"/>
      <c r="D40" s="304"/>
      <c r="E40" s="304"/>
      <c r="F40" s="304"/>
      <c r="G40" s="304"/>
      <c r="H40" s="304"/>
      <c r="I40" s="304"/>
      <c r="J40" s="304"/>
      <c r="K40" s="304"/>
      <c r="L40" s="304"/>
      <c r="M40" s="304"/>
      <c r="N40" s="304"/>
      <c r="O40" s="304"/>
      <c r="P40" s="304"/>
      <c r="Q40" s="304"/>
      <c r="R40" s="304"/>
      <c r="S40" s="304"/>
      <c r="T40" s="304"/>
      <c r="U40" s="304"/>
      <c r="V40" s="304"/>
      <c r="W40" s="304"/>
      <c r="X40" s="304"/>
    </row>
    <row r="41" spans="1:24">
      <c r="A41" s="304"/>
      <c r="B41" s="304"/>
      <c r="C41" s="304"/>
      <c r="D41" s="304"/>
      <c r="E41" s="304"/>
      <c r="F41" s="304"/>
      <c r="G41" s="304"/>
      <c r="H41" s="304"/>
      <c r="I41" s="304"/>
      <c r="J41" s="304"/>
      <c r="K41" s="304"/>
      <c r="L41" s="304"/>
      <c r="M41" s="304"/>
      <c r="N41" s="304"/>
      <c r="O41" s="304"/>
      <c r="P41" s="304"/>
      <c r="Q41" s="304"/>
      <c r="R41" s="304"/>
      <c r="S41" s="304"/>
      <c r="T41" s="304"/>
      <c r="U41" s="304"/>
      <c r="V41" s="304"/>
      <c r="W41" s="304"/>
      <c r="X41" s="304"/>
    </row>
    <row r="42" spans="1:24">
      <c r="A42" s="304"/>
      <c r="B42" s="304"/>
      <c r="C42" s="304"/>
      <c r="D42" s="304"/>
      <c r="E42" s="304"/>
      <c r="F42" s="304"/>
      <c r="G42" s="304"/>
      <c r="H42" s="304"/>
      <c r="I42" s="304"/>
      <c r="J42" s="304"/>
      <c r="K42" s="304"/>
      <c r="L42" s="304"/>
      <c r="M42" s="304"/>
      <c r="N42" s="304"/>
      <c r="O42" s="304"/>
      <c r="P42" s="304"/>
      <c r="Q42" s="304"/>
      <c r="R42" s="304"/>
      <c r="S42" s="304"/>
      <c r="T42" s="304"/>
      <c r="U42" s="304"/>
      <c r="V42" s="304"/>
      <c r="W42" s="304"/>
      <c r="X42" s="304"/>
    </row>
    <row r="43" spans="1:24">
      <c r="A43" s="304"/>
      <c r="B43" s="304"/>
      <c r="C43" s="304"/>
      <c r="D43" s="304"/>
      <c r="E43" s="304"/>
      <c r="F43" s="304"/>
      <c r="G43" s="304"/>
      <c r="H43" s="304"/>
      <c r="I43" s="304"/>
      <c r="J43" s="304"/>
      <c r="K43" s="304"/>
      <c r="L43" s="304"/>
      <c r="M43" s="304"/>
      <c r="N43" s="304"/>
      <c r="O43" s="304"/>
      <c r="P43" s="304"/>
      <c r="Q43" s="304"/>
      <c r="R43" s="304"/>
      <c r="S43" s="304"/>
      <c r="T43" s="304"/>
      <c r="U43" s="304"/>
      <c r="V43" s="304"/>
      <c r="W43" s="304"/>
      <c r="X43" s="304"/>
    </row>
    <row r="44" spans="1:24">
      <c r="A44" s="304"/>
      <c r="B44" s="304"/>
      <c r="C44" s="304"/>
      <c r="D44" s="304"/>
      <c r="E44" s="304"/>
      <c r="F44" s="304"/>
      <c r="G44" s="304"/>
      <c r="H44" s="304"/>
      <c r="I44" s="304"/>
      <c r="J44" s="304"/>
      <c r="K44" s="304"/>
      <c r="L44" s="304"/>
      <c r="M44" s="304"/>
      <c r="N44" s="304"/>
      <c r="O44" s="304"/>
      <c r="P44" s="304"/>
      <c r="Q44" s="304"/>
      <c r="R44" s="304"/>
      <c r="S44" s="304"/>
      <c r="T44" s="304"/>
      <c r="U44" s="304"/>
      <c r="V44" s="304"/>
      <c r="W44" s="304"/>
      <c r="X44" s="304"/>
    </row>
    <row r="45" spans="1:24">
      <c r="A45" s="304"/>
      <c r="B45" s="304"/>
      <c r="C45" s="304"/>
      <c r="D45" s="304"/>
      <c r="E45" s="304"/>
      <c r="F45" s="304"/>
      <c r="G45" s="304"/>
      <c r="H45" s="304"/>
      <c r="I45" s="304"/>
      <c r="J45" s="304"/>
      <c r="K45" s="304"/>
      <c r="L45" s="304"/>
      <c r="M45" s="304"/>
      <c r="N45" s="304"/>
      <c r="O45" s="304"/>
      <c r="P45" s="304"/>
      <c r="Q45" s="304"/>
      <c r="R45" s="304"/>
      <c r="S45" s="304"/>
      <c r="T45" s="304"/>
      <c r="U45" s="304"/>
      <c r="V45" s="304"/>
      <c r="W45" s="304"/>
      <c r="X45" s="304"/>
    </row>
    <row r="46" spans="1:24">
      <c r="A46" s="304"/>
      <c r="B46" s="304"/>
      <c r="C46" s="304"/>
      <c r="D46" s="304"/>
      <c r="E46" s="304"/>
      <c r="F46" s="304"/>
      <c r="G46" s="304"/>
      <c r="H46" s="304"/>
      <c r="I46" s="304"/>
      <c r="J46" s="304"/>
      <c r="K46" s="304"/>
      <c r="L46" s="304"/>
      <c r="M46" s="304"/>
      <c r="N46" s="304"/>
      <c r="O46" s="304"/>
      <c r="P46" s="304"/>
      <c r="Q46" s="304"/>
      <c r="R46" s="304"/>
      <c r="S46" s="304"/>
      <c r="T46" s="304"/>
      <c r="U46" s="304"/>
      <c r="V46" s="304"/>
      <c r="W46" s="304"/>
      <c r="X46" s="304"/>
    </row>
    <row r="47" spans="1:24">
      <c r="A47" s="304"/>
      <c r="B47" s="304"/>
      <c r="C47" s="304"/>
      <c r="D47" s="304"/>
      <c r="E47" s="304"/>
      <c r="F47" s="304"/>
      <c r="G47" s="304"/>
      <c r="H47" s="304"/>
      <c r="I47" s="304"/>
      <c r="J47" s="304"/>
      <c r="K47" s="304"/>
      <c r="L47" s="304"/>
      <c r="M47" s="304"/>
      <c r="N47" s="304"/>
      <c r="O47" s="304"/>
      <c r="P47" s="304"/>
      <c r="Q47" s="304"/>
      <c r="R47" s="304"/>
      <c r="S47" s="304"/>
      <c r="T47" s="304"/>
      <c r="U47" s="304"/>
      <c r="V47" s="304"/>
      <c r="W47" s="304"/>
      <c r="X47" s="304"/>
    </row>
    <row r="48" spans="1:24">
      <c r="A48" s="304"/>
      <c r="B48" s="304"/>
      <c r="C48" s="304"/>
      <c r="D48" s="304"/>
      <c r="E48" s="304"/>
      <c r="F48" s="304"/>
      <c r="G48" s="304"/>
      <c r="H48" s="304"/>
      <c r="I48" s="304"/>
      <c r="J48" s="304"/>
      <c r="K48" s="304"/>
      <c r="L48" s="304"/>
      <c r="M48" s="304"/>
      <c r="N48" s="304"/>
      <c r="O48" s="304"/>
      <c r="P48" s="304"/>
      <c r="Q48" s="304"/>
      <c r="R48" s="304"/>
      <c r="S48" s="304"/>
      <c r="T48" s="304"/>
      <c r="U48" s="304"/>
      <c r="V48" s="304"/>
      <c r="W48" s="304"/>
      <c r="X48" s="304"/>
    </row>
    <row r="49" spans="1:24">
      <c r="A49" s="304"/>
      <c r="B49" s="304"/>
      <c r="C49" s="304"/>
      <c r="D49" s="304"/>
      <c r="E49" s="304"/>
      <c r="F49" s="304"/>
      <c r="G49" s="304"/>
      <c r="H49" s="304"/>
      <c r="I49" s="304"/>
      <c r="J49" s="304"/>
      <c r="K49" s="304"/>
      <c r="L49" s="304"/>
      <c r="M49" s="304"/>
      <c r="N49" s="304"/>
      <c r="O49" s="304"/>
      <c r="P49" s="304"/>
      <c r="Q49" s="304"/>
      <c r="R49" s="304"/>
      <c r="S49" s="304"/>
      <c r="T49" s="304"/>
      <c r="U49" s="304"/>
      <c r="V49" s="304"/>
      <c r="W49" s="304"/>
      <c r="X49" s="304"/>
    </row>
    <row r="50" spans="1:24">
      <c r="A50" s="304"/>
      <c r="B50" s="304"/>
      <c r="C50" s="304"/>
      <c r="D50" s="304"/>
      <c r="E50" s="304"/>
      <c r="F50" s="304"/>
      <c r="G50" s="304"/>
      <c r="H50" s="304"/>
      <c r="I50" s="304"/>
      <c r="J50" s="304"/>
      <c r="K50" s="304"/>
      <c r="L50" s="304"/>
      <c r="M50" s="304"/>
      <c r="N50" s="304"/>
      <c r="O50" s="304"/>
      <c r="P50" s="304"/>
      <c r="Q50" s="304"/>
      <c r="R50" s="304"/>
      <c r="S50" s="304"/>
      <c r="T50" s="304"/>
      <c r="U50" s="304"/>
      <c r="V50" s="304"/>
      <c r="W50" s="304"/>
      <c r="X50" s="304"/>
    </row>
    <row r="51" spans="1:24">
      <c r="A51" s="304"/>
      <c r="B51" s="304"/>
      <c r="C51" s="304"/>
      <c r="D51" s="304"/>
      <c r="E51" s="304"/>
      <c r="F51" s="304"/>
      <c r="G51" s="304"/>
      <c r="H51" s="304"/>
      <c r="I51" s="304"/>
      <c r="J51" s="304"/>
      <c r="K51" s="304"/>
      <c r="L51" s="304"/>
      <c r="M51" s="304"/>
      <c r="N51" s="304"/>
      <c r="O51" s="304"/>
      <c r="P51" s="304"/>
      <c r="Q51" s="304"/>
      <c r="R51" s="304"/>
      <c r="S51" s="304"/>
      <c r="T51" s="304"/>
      <c r="U51" s="304"/>
      <c r="V51" s="304"/>
      <c r="W51" s="304"/>
      <c r="X51" s="304"/>
    </row>
    <row r="52" spans="1:24">
      <c r="A52" s="304"/>
      <c r="B52" s="304"/>
      <c r="C52" s="304"/>
      <c r="D52" s="304"/>
      <c r="E52" s="304"/>
      <c r="F52" s="304"/>
      <c r="G52" s="304"/>
      <c r="H52" s="304"/>
      <c r="I52" s="304"/>
      <c r="J52" s="304"/>
      <c r="K52" s="304"/>
      <c r="L52" s="304"/>
      <c r="M52" s="304"/>
      <c r="N52" s="304"/>
      <c r="O52" s="304"/>
      <c r="P52" s="304"/>
      <c r="Q52" s="304"/>
      <c r="R52" s="304"/>
      <c r="S52" s="304"/>
      <c r="T52" s="304"/>
      <c r="U52" s="304"/>
      <c r="V52" s="304"/>
      <c r="W52" s="304"/>
      <c r="X52" s="304"/>
    </row>
    <row r="53" spans="1:24">
      <c r="A53" s="304"/>
      <c r="B53" s="304"/>
      <c r="C53" s="304"/>
      <c r="D53" s="304"/>
      <c r="E53" s="304"/>
      <c r="F53" s="304"/>
      <c r="G53" s="304"/>
      <c r="H53" s="304"/>
      <c r="I53" s="304"/>
      <c r="J53" s="304"/>
      <c r="K53" s="304"/>
      <c r="L53" s="304"/>
      <c r="M53" s="304"/>
      <c r="N53" s="304"/>
      <c r="O53" s="304"/>
      <c r="P53" s="304"/>
      <c r="Q53" s="304"/>
      <c r="R53" s="304"/>
      <c r="S53" s="304"/>
      <c r="T53" s="304"/>
      <c r="U53" s="304"/>
      <c r="V53" s="304"/>
      <c r="W53" s="304"/>
      <c r="X53" s="304"/>
    </row>
    <row r="54" spans="1:24">
      <c r="A54" s="304"/>
      <c r="B54" s="304"/>
      <c r="C54" s="304"/>
      <c r="D54" s="304"/>
      <c r="E54" s="304"/>
      <c r="F54" s="304"/>
      <c r="G54" s="304"/>
      <c r="H54" s="304"/>
      <c r="I54" s="304"/>
      <c r="J54" s="304"/>
      <c r="K54" s="304"/>
      <c r="L54" s="304"/>
      <c r="M54" s="304"/>
      <c r="N54" s="304"/>
      <c r="O54" s="304"/>
      <c r="P54" s="304"/>
      <c r="Q54" s="304"/>
      <c r="R54" s="304"/>
      <c r="S54" s="304"/>
      <c r="T54" s="304"/>
      <c r="U54" s="304"/>
      <c r="V54" s="304"/>
      <c r="W54" s="304"/>
      <c r="X54" s="304"/>
    </row>
    <row r="55" spans="1:24">
      <c r="A55" s="304"/>
      <c r="B55" s="304"/>
      <c r="C55" s="304"/>
      <c r="D55" s="304"/>
      <c r="E55" s="304"/>
      <c r="F55" s="304"/>
      <c r="G55" s="304"/>
      <c r="H55" s="304"/>
      <c r="I55" s="304"/>
      <c r="J55" s="304"/>
      <c r="K55" s="304"/>
      <c r="L55" s="304"/>
      <c r="M55" s="304"/>
      <c r="N55" s="304"/>
      <c r="O55" s="304"/>
      <c r="P55" s="304"/>
      <c r="Q55" s="304"/>
      <c r="R55" s="304"/>
      <c r="S55" s="304"/>
      <c r="T55" s="304"/>
      <c r="U55" s="304"/>
      <c r="V55" s="304"/>
      <c r="W55" s="304"/>
      <c r="X55" s="304"/>
    </row>
    <row r="56" spans="1:24">
      <c r="A56" s="304"/>
      <c r="B56" s="304"/>
      <c r="C56" s="304"/>
      <c r="D56" s="304"/>
      <c r="E56" s="304"/>
      <c r="F56" s="304"/>
      <c r="G56" s="304"/>
      <c r="H56" s="304"/>
      <c r="I56" s="304"/>
      <c r="J56" s="304"/>
      <c r="K56" s="304"/>
      <c r="L56" s="304"/>
      <c r="M56" s="304"/>
      <c r="N56" s="304"/>
      <c r="O56" s="304"/>
      <c r="P56" s="304"/>
      <c r="Q56" s="304"/>
      <c r="R56" s="304"/>
      <c r="S56" s="304"/>
      <c r="T56" s="304"/>
      <c r="U56" s="304"/>
      <c r="V56" s="304"/>
      <c r="W56" s="304"/>
      <c r="X56" s="304"/>
    </row>
    <row r="57" spans="1:24">
      <c r="A57" s="304"/>
      <c r="B57" s="304"/>
      <c r="C57" s="304"/>
      <c r="D57" s="304"/>
      <c r="E57" s="304"/>
      <c r="F57" s="304"/>
      <c r="G57" s="304"/>
      <c r="H57" s="304"/>
      <c r="I57" s="304"/>
      <c r="J57" s="304"/>
      <c r="K57" s="304"/>
      <c r="L57" s="304"/>
      <c r="M57" s="304"/>
      <c r="N57" s="304"/>
      <c r="O57" s="304"/>
      <c r="P57" s="304"/>
      <c r="Q57" s="304"/>
      <c r="R57" s="304"/>
      <c r="S57" s="304"/>
      <c r="T57" s="304"/>
      <c r="U57" s="304"/>
      <c r="V57" s="304"/>
      <c r="W57" s="304"/>
      <c r="X57" s="304"/>
    </row>
    <row r="58" spans="1:24">
      <c r="A58" s="304"/>
      <c r="B58" s="304"/>
      <c r="C58" s="304"/>
      <c r="D58" s="304"/>
      <c r="E58" s="304"/>
      <c r="F58" s="304"/>
      <c r="G58" s="304"/>
      <c r="H58" s="304"/>
      <c r="I58" s="304"/>
      <c r="J58" s="304"/>
      <c r="K58" s="304"/>
      <c r="L58" s="304"/>
      <c r="M58" s="304"/>
      <c r="N58" s="304"/>
      <c r="O58" s="304"/>
      <c r="P58" s="304"/>
      <c r="Q58" s="304"/>
      <c r="R58" s="304"/>
      <c r="S58" s="304"/>
      <c r="T58" s="304"/>
      <c r="U58" s="304"/>
      <c r="V58" s="304"/>
      <c r="W58" s="304"/>
      <c r="X58" s="304"/>
    </row>
    <row r="59" spans="1:24">
      <c r="A59" s="304"/>
      <c r="B59" s="304"/>
      <c r="C59" s="304"/>
      <c r="D59" s="304"/>
      <c r="E59" s="304"/>
      <c r="F59" s="304"/>
      <c r="G59" s="304"/>
      <c r="H59" s="304"/>
      <c r="I59" s="304"/>
      <c r="J59" s="304"/>
      <c r="K59" s="304"/>
      <c r="L59" s="304"/>
      <c r="M59" s="304"/>
      <c r="N59" s="304"/>
      <c r="O59" s="304"/>
      <c r="P59" s="304"/>
      <c r="Q59" s="304"/>
      <c r="R59" s="304"/>
      <c r="S59" s="304"/>
      <c r="T59" s="304"/>
      <c r="U59" s="304"/>
      <c r="V59" s="304"/>
      <c r="W59" s="304"/>
      <c r="X59" s="304"/>
    </row>
    <row r="60" spans="1:24">
      <c r="A60" s="304"/>
      <c r="B60" s="304"/>
      <c r="C60" s="304"/>
      <c r="D60" s="304"/>
      <c r="E60" s="304"/>
      <c r="F60" s="304"/>
      <c r="G60" s="304"/>
      <c r="H60" s="304"/>
      <c r="I60" s="304"/>
      <c r="J60" s="304"/>
      <c r="K60" s="304"/>
      <c r="L60" s="304"/>
      <c r="M60" s="304"/>
      <c r="N60" s="304"/>
      <c r="O60" s="304"/>
      <c r="P60" s="304"/>
      <c r="Q60" s="304"/>
      <c r="R60" s="304"/>
      <c r="S60" s="304"/>
      <c r="T60" s="304"/>
      <c r="U60" s="304"/>
      <c r="V60" s="304"/>
      <c r="W60" s="304"/>
      <c r="X60" s="304"/>
    </row>
    <row r="61" spans="1:24">
      <c r="A61" s="304"/>
      <c r="B61" s="304"/>
      <c r="C61" s="304"/>
      <c r="D61" s="304"/>
      <c r="E61" s="304"/>
      <c r="F61" s="304"/>
      <c r="G61" s="304"/>
      <c r="H61" s="304"/>
      <c r="I61" s="304"/>
      <c r="J61" s="304"/>
      <c r="K61" s="304"/>
      <c r="L61" s="304"/>
      <c r="M61" s="304"/>
      <c r="N61" s="304"/>
      <c r="O61" s="304"/>
      <c r="P61" s="304"/>
      <c r="Q61" s="304"/>
      <c r="R61" s="304"/>
      <c r="S61" s="304"/>
      <c r="T61" s="304"/>
      <c r="U61" s="304"/>
      <c r="V61" s="304"/>
      <c r="W61" s="304"/>
      <c r="X61" s="304"/>
    </row>
    <row r="62" spans="1:24">
      <c r="A62" s="304"/>
      <c r="B62" s="304"/>
      <c r="C62" s="304"/>
      <c r="D62" s="304"/>
      <c r="E62" s="304"/>
      <c r="F62" s="304"/>
      <c r="G62" s="304"/>
      <c r="H62" s="304"/>
      <c r="I62" s="304"/>
      <c r="J62" s="304"/>
      <c r="K62" s="304"/>
      <c r="L62" s="304"/>
      <c r="M62" s="304"/>
      <c r="N62" s="304"/>
      <c r="O62" s="304"/>
      <c r="P62" s="304"/>
      <c r="Q62" s="304"/>
      <c r="R62" s="304"/>
      <c r="S62" s="304"/>
      <c r="T62" s="304"/>
      <c r="U62" s="304"/>
      <c r="V62" s="304"/>
      <c r="W62" s="304"/>
      <c r="X62" s="304"/>
    </row>
    <row r="63" spans="1:24">
      <c r="A63" s="304"/>
      <c r="B63" s="304"/>
      <c r="C63" s="304"/>
      <c r="D63" s="304"/>
      <c r="E63" s="304"/>
      <c r="F63" s="304"/>
      <c r="G63" s="304"/>
      <c r="H63" s="304"/>
      <c r="I63" s="304"/>
      <c r="J63" s="304"/>
      <c r="K63" s="304"/>
      <c r="L63" s="304"/>
      <c r="M63" s="304"/>
      <c r="N63" s="304"/>
      <c r="O63" s="304"/>
      <c r="P63" s="304"/>
      <c r="Q63" s="304"/>
      <c r="R63" s="304"/>
      <c r="S63" s="304"/>
      <c r="T63" s="304"/>
      <c r="U63" s="304"/>
      <c r="V63" s="304"/>
      <c r="W63" s="304"/>
      <c r="X63" s="304"/>
    </row>
    <row r="64" spans="1:24">
      <c r="A64" s="304"/>
      <c r="B64" s="304"/>
      <c r="C64" s="304"/>
      <c r="D64" s="304"/>
      <c r="E64" s="304"/>
      <c r="F64" s="304"/>
      <c r="G64" s="304"/>
      <c r="H64" s="304"/>
      <c r="I64" s="304"/>
      <c r="J64" s="304"/>
      <c r="K64" s="304"/>
      <c r="L64" s="304"/>
      <c r="M64" s="304"/>
      <c r="N64" s="304"/>
      <c r="O64" s="304"/>
      <c r="P64" s="304"/>
      <c r="Q64" s="304"/>
      <c r="R64" s="304"/>
      <c r="S64" s="304"/>
      <c r="T64" s="304"/>
      <c r="U64" s="304"/>
      <c r="V64" s="304"/>
      <c r="W64" s="304"/>
      <c r="X64" s="304"/>
    </row>
    <row r="65" spans="1:24">
      <c r="A65" s="304"/>
      <c r="B65" s="304"/>
      <c r="C65" s="304"/>
      <c r="D65" s="304"/>
      <c r="E65" s="304"/>
      <c r="F65" s="304"/>
      <c r="G65" s="304"/>
      <c r="H65" s="304"/>
      <c r="I65" s="304"/>
      <c r="J65" s="304"/>
      <c r="K65" s="304"/>
      <c r="L65" s="304"/>
      <c r="M65" s="304"/>
      <c r="N65" s="304"/>
      <c r="O65" s="304"/>
      <c r="P65" s="304"/>
      <c r="Q65" s="304"/>
      <c r="R65" s="304"/>
      <c r="S65" s="304"/>
      <c r="T65" s="304"/>
      <c r="U65" s="304"/>
      <c r="V65" s="304"/>
      <c r="W65" s="304"/>
      <c r="X65" s="304"/>
    </row>
    <row r="66" spans="1:24">
      <c r="A66" s="304"/>
      <c r="B66" s="304"/>
      <c r="C66" s="304"/>
      <c r="D66" s="304"/>
      <c r="E66" s="304"/>
      <c r="F66" s="304"/>
      <c r="G66" s="304"/>
      <c r="H66" s="304"/>
      <c r="I66" s="304"/>
      <c r="J66" s="304"/>
      <c r="K66" s="304"/>
      <c r="L66" s="304"/>
      <c r="M66" s="304"/>
      <c r="N66" s="304"/>
      <c r="O66" s="304"/>
      <c r="P66" s="304"/>
      <c r="Q66" s="304"/>
      <c r="R66" s="304"/>
      <c r="S66" s="304"/>
      <c r="T66" s="304"/>
      <c r="U66" s="304"/>
      <c r="V66" s="304"/>
      <c r="W66" s="304"/>
      <c r="X66" s="304"/>
    </row>
    <row r="67" spans="1:24">
      <c r="A67" s="304"/>
      <c r="B67" s="304"/>
      <c r="C67" s="304"/>
      <c r="D67" s="304"/>
      <c r="E67" s="304"/>
      <c r="F67" s="304"/>
      <c r="G67" s="304"/>
      <c r="H67" s="304"/>
      <c r="I67" s="304"/>
      <c r="J67" s="304"/>
      <c r="K67" s="304"/>
      <c r="L67" s="304"/>
      <c r="M67" s="304"/>
      <c r="N67" s="304"/>
      <c r="O67" s="304"/>
      <c r="P67" s="304"/>
      <c r="Q67" s="304"/>
      <c r="R67" s="304"/>
      <c r="S67" s="304"/>
      <c r="T67" s="304"/>
      <c r="U67" s="304"/>
      <c r="V67" s="304"/>
      <c r="W67" s="304"/>
      <c r="X67" s="304"/>
    </row>
    <row r="68" spans="1:24">
      <c r="A68" s="304"/>
      <c r="B68" s="304"/>
      <c r="C68" s="304"/>
      <c r="D68" s="304"/>
      <c r="E68" s="304"/>
      <c r="F68" s="304"/>
      <c r="G68" s="304"/>
      <c r="H68" s="304"/>
      <c r="I68" s="304"/>
      <c r="J68" s="304"/>
      <c r="K68" s="304"/>
      <c r="L68" s="304"/>
      <c r="M68" s="304"/>
      <c r="N68" s="304"/>
      <c r="O68" s="304"/>
      <c r="P68" s="304"/>
      <c r="Q68" s="304"/>
      <c r="R68" s="304"/>
      <c r="S68" s="304"/>
      <c r="T68" s="304"/>
      <c r="U68" s="304"/>
      <c r="V68" s="304"/>
      <c r="W68" s="304"/>
      <c r="X68" s="304"/>
    </row>
    <row r="69" spans="1:24">
      <c r="A69" s="304"/>
      <c r="B69" s="304"/>
      <c r="C69" s="304"/>
      <c r="D69" s="304"/>
      <c r="E69" s="304"/>
      <c r="F69" s="304"/>
      <c r="G69" s="304"/>
      <c r="H69" s="304"/>
      <c r="I69" s="304"/>
      <c r="J69" s="304"/>
      <c r="K69" s="304"/>
      <c r="L69" s="304"/>
      <c r="M69" s="304"/>
      <c r="N69" s="304"/>
      <c r="O69" s="304"/>
      <c r="P69" s="304"/>
      <c r="Q69" s="304"/>
      <c r="R69" s="304"/>
      <c r="S69" s="304"/>
      <c r="T69" s="304"/>
      <c r="U69" s="304"/>
      <c r="V69" s="304"/>
      <c r="W69" s="304"/>
      <c r="X69" s="304"/>
    </row>
    <row r="70" spans="1:24">
      <c r="A70" s="304"/>
      <c r="B70" s="304"/>
      <c r="C70" s="304"/>
      <c r="D70" s="304"/>
      <c r="E70" s="304"/>
      <c r="F70" s="304"/>
      <c r="G70" s="304"/>
      <c r="H70" s="304"/>
      <c r="I70" s="304"/>
      <c r="J70" s="304"/>
      <c r="K70" s="304"/>
      <c r="L70" s="304"/>
      <c r="M70" s="304"/>
      <c r="N70" s="304"/>
      <c r="O70" s="304"/>
      <c r="P70" s="304"/>
      <c r="Q70" s="304"/>
      <c r="R70" s="304"/>
      <c r="S70" s="304"/>
      <c r="T70" s="304"/>
      <c r="U70" s="304"/>
      <c r="V70" s="304"/>
      <c r="W70" s="304"/>
      <c r="X70" s="304"/>
    </row>
    <row r="71" spans="1:24">
      <c r="A71" s="304"/>
      <c r="B71" s="304"/>
      <c r="C71" s="304"/>
      <c r="D71" s="304"/>
      <c r="E71" s="304"/>
      <c r="F71" s="304"/>
      <c r="G71" s="304"/>
      <c r="H71" s="304"/>
      <c r="I71" s="304"/>
      <c r="J71" s="304"/>
      <c r="K71" s="304"/>
      <c r="L71" s="304"/>
      <c r="M71" s="304"/>
      <c r="N71" s="304"/>
      <c r="O71" s="304"/>
      <c r="P71" s="304"/>
      <c r="Q71" s="304"/>
      <c r="R71" s="304"/>
      <c r="S71" s="304"/>
      <c r="T71" s="304"/>
      <c r="U71" s="304"/>
      <c r="V71" s="304"/>
      <c r="W71" s="304"/>
      <c r="X71" s="304"/>
    </row>
    <row r="72" spans="1:24">
      <c r="A72" s="304"/>
      <c r="B72" s="304"/>
      <c r="C72" s="304"/>
      <c r="D72" s="304"/>
      <c r="E72" s="304"/>
      <c r="F72" s="304"/>
      <c r="G72" s="304"/>
      <c r="H72" s="304"/>
      <c r="I72" s="304"/>
      <c r="J72" s="304"/>
      <c r="K72" s="304"/>
      <c r="L72" s="304"/>
      <c r="M72" s="304"/>
      <c r="N72" s="304"/>
      <c r="O72" s="304"/>
      <c r="P72" s="304"/>
      <c r="Q72" s="304"/>
      <c r="R72" s="304"/>
      <c r="S72" s="304"/>
      <c r="T72" s="304"/>
      <c r="U72" s="304"/>
      <c r="V72" s="304"/>
      <c r="W72" s="304"/>
      <c r="X72" s="304"/>
    </row>
    <row r="73" spans="1:24">
      <c r="A73" s="304"/>
      <c r="B73" s="304"/>
      <c r="C73" s="304"/>
      <c r="D73" s="304"/>
      <c r="E73" s="304"/>
      <c r="F73" s="304"/>
      <c r="G73" s="304"/>
      <c r="H73" s="304"/>
      <c r="I73" s="304"/>
      <c r="J73" s="304"/>
      <c r="K73" s="304"/>
      <c r="L73" s="304"/>
      <c r="M73" s="304"/>
      <c r="N73" s="304"/>
      <c r="O73" s="304"/>
      <c r="P73" s="304"/>
      <c r="Q73" s="304"/>
      <c r="R73" s="304"/>
      <c r="S73" s="304"/>
      <c r="T73" s="304"/>
      <c r="U73" s="304"/>
      <c r="V73" s="304"/>
      <c r="W73" s="304"/>
      <c r="X73" s="304"/>
    </row>
    <row r="74" spans="1:24">
      <c r="A74" s="304"/>
      <c r="B74" s="304"/>
      <c r="C74" s="304"/>
      <c r="D74" s="304"/>
      <c r="E74" s="304"/>
      <c r="F74" s="304"/>
      <c r="G74" s="304"/>
      <c r="H74" s="304"/>
      <c r="I74" s="304"/>
      <c r="J74" s="304"/>
      <c r="K74" s="304"/>
      <c r="L74" s="304"/>
      <c r="M74" s="304"/>
      <c r="N74" s="304"/>
      <c r="O74" s="304"/>
      <c r="P74" s="304"/>
      <c r="Q74" s="304"/>
      <c r="R74" s="304"/>
      <c r="S74" s="304"/>
      <c r="T74" s="304"/>
      <c r="U74" s="304"/>
      <c r="V74" s="304"/>
      <c r="W74" s="304"/>
      <c r="X74" s="304"/>
    </row>
    <row r="75" spans="1:24">
      <c r="A75" s="304"/>
      <c r="B75" s="304"/>
      <c r="C75" s="304"/>
      <c r="D75" s="304"/>
      <c r="E75" s="304"/>
      <c r="F75" s="304"/>
      <c r="G75" s="304"/>
      <c r="H75" s="304"/>
      <c r="I75" s="304"/>
      <c r="J75" s="304"/>
      <c r="K75" s="304"/>
      <c r="L75" s="304"/>
      <c r="M75" s="304"/>
      <c r="N75" s="304"/>
      <c r="O75" s="304"/>
      <c r="P75" s="304"/>
      <c r="Q75" s="304"/>
      <c r="R75" s="304"/>
      <c r="S75" s="304"/>
      <c r="T75" s="304"/>
      <c r="U75" s="304"/>
      <c r="V75" s="304"/>
      <c r="W75" s="304"/>
      <c r="X75" s="304"/>
    </row>
    <row r="76" spans="1:24">
      <c r="A76" s="304"/>
      <c r="B76" s="304"/>
      <c r="C76" s="304"/>
      <c r="D76" s="304"/>
      <c r="E76" s="304"/>
      <c r="F76" s="304"/>
      <c r="G76" s="304"/>
      <c r="H76" s="304"/>
      <c r="I76" s="304"/>
      <c r="J76" s="304"/>
      <c r="K76" s="304"/>
      <c r="L76" s="304"/>
      <c r="M76" s="304"/>
      <c r="N76" s="304"/>
      <c r="O76" s="304"/>
      <c r="P76" s="304"/>
      <c r="Q76" s="304"/>
      <c r="R76" s="304"/>
      <c r="S76" s="304"/>
      <c r="T76" s="304"/>
      <c r="U76" s="304"/>
      <c r="V76" s="304"/>
      <c r="W76" s="304"/>
      <c r="X76" s="304"/>
    </row>
    <row r="77" spans="1:24">
      <c r="A77" s="304"/>
      <c r="B77" s="304"/>
      <c r="C77" s="304"/>
      <c r="D77" s="304"/>
      <c r="E77" s="304"/>
      <c r="F77" s="304"/>
      <c r="G77" s="304"/>
      <c r="H77" s="304"/>
      <c r="I77" s="304"/>
      <c r="J77" s="304"/>
      <c r="K77" s="304"/>
      <c r="L77" s="304"/>
      <c r="M77" s="304"/>
      <c r="N77" s="304"/>
      <c r="O77" s="304"/>
      <c r="P77" s="304"/>
      <c r="Q77" s="304"/>
      <c r="R77" s="304"/>
      <c r="S77" s="304"/>
      <c r="T77" s="304"/>
      <c r="U77" s="304"/>
      <c r="V77" s="304"/>
      <c r="W77" s="304"/>
      <c r="X77" s="304"/>
    </row>
    <row r="78" spans="1:24">
      <c r="A78" s="304"/>
      <c r="B78" s="304"/>
      <c r="C78" s="304"/>
      <c r="D78" s="304"/>
      <c r="E78" s="304"/>
      <c r="F78" s="304"/>
      <c r="G78" s="304"/>
      <c r="H78" s="304"/>
      <c r="I78" s="304"/>
      <c r="J78" s="304"/>
      <c r="K78" s="304"/>
      <c r="L78" s="304"/>
      <c r="M78" s="304"/>
      <c r="N78" s="304"/>
      <c r="O78" s="304"/>
      <c r="P78" s="304"/>
      <c r="Q78" s="304"/>
      <c r="R78" s="304"/>
      <c r="S78" s="304"/>
      <c r="T78" s="304"/>
      <c r="U78" s="304"/>
      <c r="V78" s="304"/>
      <c r="W78" s="304"/>
      <c r="X78" s="304"/>
    </row>
    <row r="79" spans="1:24">
      <c r="A79" s="304"/>
      <c r="B79" s="304"/>
      <c r="C79" s="304"/>
      <c r="D79" s="304"/>
      <c r="E79" s="304"/>
      <c r="F79" s="304"/>
      <c r="G79" s="304"/>
      <c r="H79" s="304"/>
      <c r="I79" s="304"/>
      <c r="J79" s="304"/>
      <c r="K79" s="304"/>
      <c r="L79" s="304"/>
      <c r="M79" s="304"/>
      <c r="N79" s="304"/>
      <c r="O79" s="304"/>
      <c r="P79" s="304"/>
      <c r="Q79" s="304"/>
      <c r="R79" s="304"/>
      <c r="S79" s="304"/>
      <c r="T79" s="304"/>
      <c r="U79" s="304"/>
      <c r="V79" s="304"/>
      <c r="W79" s="304"/>
      <c r="X79" s="304"/>
    </row>
    <row r="80" spans="1:24">
      <c r="A80" s="304"/>
      <c r="B80" s="304"/>
      <c r="C80" s="304"/>
      <c r="D80" s="304"/>
      <c r="E80" s="304"/>
      <c r="F80" s="304"/>
      <c r="G80" s="304"/>
      <c r="H80" s="304"/>
      <c r="I80" s="304"/>
      <c r="J80" s="304"/>
      <c r="K80" s="304"/>
      <c r="L80" s="304"/>
      <c r="M80" s="304"/>
      <c r="N80" s="304"/>
      <c r="O80" s="304"/>
      <c r="P80" s="304"/>
      <c r="Q80" s="304"/>
      <c r="R80" s="304"/>
      <c r="S80" s="304"/>
      <c r="T80" s="304"/>
      <c r="U80" s="304"/>
      <c r="V80" s="304"/>
      <c r="W80" s="304"/>
      <c r="X80" s="304"/>
    </row>
    <row r="81" spans="1:24">
      <c r="A81" s="304"/>
      <c r="B81" s="304"/>
      <c r="C81" s="304"/>
      <c r="D81" s="304"/>
      <c r="E81" s="304"/>
      <c r="F81" s="304"/>
      <c r="G81" s="304"/>
      <c r="H81" s="304"/>
      <c r="I81" s="304"/>
      <c r="J81" s="304"/>
      <c r="K81" s="304"/>
      <c r="L81" s="304"/>
      <c r="M81" s="304"/>
      <c r="N81" s="304"/>
      <c r="O81" s="304"/>
      <c r="P81" s="304"/>
      <c r="Q81" s="304"/>
      <c r="R81" s="304"/>
      <c r="S81" s="304"/>
      <c r="T81" s="304"/>
      <c r="U81" s="304"/>
      <c r="V81" s="304"/>
      <c r="W81" s="304"/>
      <c r="X81" s="304"/>
    </row>
    <row r="82" spans="1:24">
      <c r="A82" s="304"/>
      <c r="B82" s="304"/>
      <c r="C82" s="304"/>
      <c r="D82" s="304"/>
      <c r="E82" s="304"/>
      <c r="F82" s="304"/>
      <c r="G82" s="304"/>
      <c r="H82" s="304"/>
      <c r="I82" s="304"/>
      <c r="J82" s="304"/>
      <c r="K82" s="304"/>
      <c r="L82" s="304"/>
      <c r="M82" s="304"/>
      <c r="N82" s="304"/>
      <c r="O82" s="304"/>
      <c r="P82" s="304"/>
      <c r="Q82" s="304"/>
      <c r="R82" s="304"/>
      <c r="S82" s="304"/>
      <c r="T82" s="304"/>
      <c r="U82" s="304"/>
      <c r="V82" s="304"/>
      <c r="W82" s="304"/>
      <c r="X82" s="304"/>
    </row>
    <row r="83" spans="1:24">
      <c r="A83" s="304"/>
      <c r="B83" s="304"/>
      <c r="C83" s="304"/>
      <c r="D83" s="304"/>
      <c r="E83" s="304"/>
      <c r="F83" s="304"/>
      <c r="G83" s="304"/>
      <c r="H83" s="304"/>
      <c r="I83" s="304"/>
      <c r="J83" s="304"/>
      <c r="K83" s="304"/>
      <c r="L83" s="304"/>
      <c r="M83" s="304"/>
      <c r="N83" s="304"/>
      <c r="O83" s="304"/>
      <c r="P83" s="304"/>
      <c r="Q83" s="304"/>
      <c r="R83" s="304"/>
      <c r="S83" s="304"/>
      <c r="T83" s="304"/>
      <c r="U83" s="304"/>
      <c r="V83" s="304"/>
      <c r="W83" s="304"/>
      <c r="X83" s="304"/>
    </row>
    <row r="84" spans="1:24">
      <c r="A84" s="304"/>
      <c r="B84" s="304"/>
      <c r="C84" s="304"/>
      <c r="D84" s="304"/>
      <c r="E84" s="304"/>
      <c r="F84" s="304"/>
      <c r="G84" s="304"/>
      <c r="H84" s="304"/>
      <c r="I84" s="304"/>
      <c r="J84" s="304"/>
      <c r="K84" s="304"/>
      <c r="L84" s="304"/>
      <c r="M84" s="304"/>
      <c r="N84" s="304"/>
      <c r="O84" s="304"/>
      <c r="P84" s="304"/>
      <c r="Q84" s="304"/>
      <c r="R84" s="304"/>
      <c r="S84" s="304"/>
      <c r="T84" s="304"/>
      <c r="U84" s="304"/>
      <c r="V84" s="304"/>
      <c r="W84" s="304"/>
      <c r="X84" s="304"/>
    </row>
    <row r="85" spans="1:24">
      <c r="A85" s="304"/>
      <c r="B85" s="304"/>
      <c r="C85" s="304"/>
      <c r="D85" s="304"/>
      <c r="E85" s="304"/>
      <c r="F85" s="304"/>
      <c r="G85" s="304"/>
      <c r="H85" s="304"/>
      <c r="I85" s="304"/>
      <c r="J85" s="304"/>
      <c r="K85" s="304"/>
      <c r="L85" s="304"/>
      <c r="M85" s="304"/>
      <c r="N85" s="304"/>
      <c r="O85" s="304"/>
      <c r="P85" s="304"/>
      <c r="Q85" s="304"/>
      <c r="R85" s="304"/>
      <c r="S85" s="304"/>
      <c r="T85" s="304"/>
      <c r="U85" s="304"/>
      <c r="V85" s="304"/>
      <c r="W85" s="304"/>
      <c r="X85" s="304"/>
    </row>
    <row r="86" spans="1:24">
      <c r="A86" s="304"/>
      <c r="B86" s="304"/>
      <c r="C86" s="304"/>
      <c r="D86" s="304"/>
      <c r="E86" s="304"/>
      <c r="F86" s="304"/>
      <c r="G86" s="304"/>
      <c r="H86" s="304"/>
      <c r="I86" s="304"/>
      <c r="J86" s="304"/>
      <c r="K86" s="304"/>
      <c r="L86" s="304"/>
      <c r="M86" s="304"/>
      <c r="N86" s="304"/>
      <c r="O86" s="304"/>
      <c r="P86" s="304"/>
      <c r="Q86" s="304"/>
      <c r="R86" s="304"/>
      <c r="S86" s="304"/>
      <c r="T86" s="304"/>
      <c r="U86" s="304"/>
      <c r="V86" s="304"/>
      <c r="W86" s="304"/>
      <c r="X86" s="304"/>
    </row>
    <row r="87" spans="1:24">
      <c r="A87" s="304"/>
      <c r="B87" s="304"/>
      <c r="C87" s="304"/>
      <c r="D87" s="304"/>
      <c r="E87" s="304"/>
      <c r="F87" s="304"/>
      <c r="G87" s="304"/>
      <c r="H87" s="304"/>
      <c r="I87" s="304"/>
      <c r="J87" s="304"/>
      <c r="K87" s="304"/>
      <c r="L87" s="304"/>
      <c r="M87" s="304"/>
      <c r="N87" s="304"/>
      <c r="O87" s="304"/>
      <c r="P87" s="304"/>
      <c r="Q87" s="304"/>
      <c r="R87" s="304"/>
      <c r="S87" s="304"/>
      <c r="T87" s="304"/>
      <c r="U87" s="304"/>
      <c r="V87" s="304"/>
      <c r="W87" s="304"/>
      <c r="X87" s="304"/>
    </row>
    <row r="88" spans="1:24">
      <c r="A88" s="304"/>
      <c r="B88" s="304"/>
      <c r="C88" s="304"/>
      <c r="D88" s="304"/>
      <c r="E88" s="304"/>
      <c r="F88" s="304"/>
      <c r="G88" s="304"/>
      <c r="H88" s="304"/>
      <c r="I88" s="304"/>
      <c r="J88" s="304"/>
      <c r="K88" s="304"/>
      <c r="L88" s="304"/>
      <c r="M88" s="304"/>
      <c r="N88" s="304"/>
      <c r="O88" s="304"/>
      <c r="P88" s="304"/>
      <c r="Q88" s="304"/>
      <c r="R88" s="304"/>
      <c r="S88" s="304"/>
      <c r="T88" s="304"/>
      <c r="U88" s="304"/>
      <c r="V88" s="304"/>
      <c r="W88" s="304"/>
      <c r="X88" s="304"/>
    </row>
    <row r="89" spans="1:24">
      <c r="A89" s="304"/>
      <c r="B89" s="304"/>
      <c r="C89" s="304"/>
      <c r="D89" s="304"/>
      <c r="E89" s="304"/>
      <c r="F89" s="304"/>
      <c r="G89" s="304"/>
      <c r="H89" s="304"/>
      <c r="I89" s="304"/>
      <c r="J89" s="304"/>
      <c r="K89" s="304"/>
      <c r="L89" s="304"/>
      <c r="M89" s="304"/>
      <c r="N89" s="304"/>
      <c r="O89" s="304"/>
      <c r="P89" s="304"/>
      <c r="Q89" s="304"/>
      <c r="R89" s="304"/>
      <c r="S89" s="304"/>
      <c r="T89" s="304"/>
      <c r="U89" s="304"/>
      <c r="V89" s="304"/>
      <c r="W89" s="304"/>
      <c r="X89" s="304"/>
    </row>
    <row r="90" spans="1:24">
      <c r="A90" s="304"/>
      <c r="B90" s="304"/>
      <c r="C90" s="304"/>
      <c r="D90" s="304"/>
      <c r="E90" s="304"/>
      <c r="F90" s="304"/>
      <c r="G90" s="304"/>
      <c r="H90" s="304"/>
      <c r="I90" s="304"/>
      <c r="J90" s="304"/>
      <c r="K90" s="304"/>
      <c r="L90" s="304"/>
      <c r="M90" s="304"/>
      <c r="N90" s="304"/>
      <c r="O90" s="304"/>
      <c r="P90" s="304"/>
      <c r="Q90" s="304"/>
      <c r="R90" s="304"/>
      <c r="S90" s="304"/>
      <c r="T90" s="304"/>
      <c r="U90" s="304"/>
      <c r="V90" s="304"/>
      <c r="W90" s="304"/>
      <c r="X90" s="304"/>
    </row>
    <row r="91" spans="1:24">
      <c r="A91" s="304"/>
      <c r="B91" s="304"/>
      <c r="C91" s="304"/>
      <c r="D91" s="304"/>
      <c r="E91" s="304"/>
      <c r="F91" s="304"/>
      <c r="G91" s="304"/>
      <c r="H91" s="304"/>
      <c r="I91" s="304"/>
      <c r="J91" s="304"/>
      <c r="K91" s="304"/>
      <c r="L91" s="304"/>
      <c r="M91" s="304"/>
      <c r="N91" s="304"/>
      <c r="O91" s="304"/>
      <c r="P91" s="304"/>
      <c r="Q91" s="304"/>
      <c r="R91" s="304"/>
      <c r="S91" s="304"/>
      <c r="T91" s="304"/>
      <c r="U91" s="304"/>
      <c r="V91" s="304"/>
      <c r="W91" s="304"/>
      <c r="X91" s="304"/>
    </row>
    <row r="92" spans="1:24">
      <c r="A92" s="304"/>
      <c r="B92" s="304"/>
      <c r="C92" s="304"/>
      <c r="D92" s="304"/>
      <c r="E92" s="304"/>
      <c r="F92" s="304"/>
      <c r="G92" s="304"/>
      <c r="H92" s="304"/>
      <c r="I92" s="304"/>
      <c r="J92" s="304"/>
      <c r="K92" s="304"/>
      <c r="L92" s="304"/>
      <c r="M92" s="304"/>
      <c r="N92" s="304"/>
      <c r="O92" s="304"/>
      <c r="P92" s="304"/>
      <c r="Q92" s="304"/>
      <c r="R92" s="304"/>
      <c r="S92" s="304"/>
      <c r="T92" s="304"/>
      <c r="U92" s="304"/>
      <c r="V92" s="304"/>
      <c r="W92" s="304"/>
      <c r="X92" s="304"/>
    </row>
    <row r="93" spans="1:24">
      <c r="A93" s="304"/>
      <c r="B93" s="304"/>
      <c r="C93" s="304"/>
      <c r="D93" s="304"/>
      <c r="E93" s="304"/>
      <c r="F93" s="304"/>
      <c r="G93" s="304"/>
      <c r="H93" s="304"/>
      <c r="I93" s="304"/>
      <c r="J93" s="304"/>
      <c r="K93" s="304"/>
      <c r="L93" s="304"/>
      <c r="M93" s="304"/>
      <c r="N93" s="304"/>
      <c r="O93" s="304"/>
      <c r="P93" s="304"/>
      <c r="Q93" s="304"/>
      <c r="R93" s="304"/>
      <c r="S93" s="304"/>
      <c r="T93" s="304"/>
      <c r="U93" s="304"/>
      <c r="V93" s="304"/>
      <c r="W93" s="304"/>
      <c r="X93" s="304"/>
    </row>
    <row r="94" spans="1:24">
      <c r="A94" s="304"/>
      <c r="B94" s="304"/>
      <c r="C94" s="304"/>
      <c r="D94" s="304"/>
      <c r="E94" s="304"/>
      <c r="F94" s="304"/>
      <c r="G94" s="304"/>
      <c r="H94" s="304"/>
      <c r="I94" s="304"/>
      <c r="J94" s="304"/>
      <c r="K94" s="304"/>
      <c r="L94" s="304"/>
      <c r="M94" s="304"/>
      <c r="N94" s="304"/>
      <c r="O94" s="304"/>
      <c r="P94" s="304"/>
      <c r="Q94" s="304"/>
      <c r="R94" s="304"/>
      <c r="S94" s="304"/>
      <c r="T94" s="304"/>
      <c r="U94" s="304"/>
      <c r="V94" s="304"/>
      <c r="W94" s="304"/>
      <c r="X94" s="304"/>
    </row>
    <row r="95" spans="1:24">
      <c r="A95" s="304"/>
      <c r="B95" s="304"/>
      <c r="C95" s="304"/>
      <c r="D95" s="304"/>
      <c r="E95" s="304"/>
      <c r="F95" s="304"/>
      <c r="G95" s="304"/>
      <c r="H95" s="304"/>
      <c r="I95" s="304"/>
      <c r="J95" s="304"/>
      <c r="K95" s="304"/>
      <c r="L95" s="304"/>
      <c r="M95" s="304"/>
      <c r="N95" s="304"/>
      <c r="O95" s="304"/>
      <c r="P95" s="304"/>
      <c r="Q95" s="304"/>
      <c r="R95" s="304"/>
      <c r="S95" s="304"/>
      <c r="T95" s="304"/>
      <c r="U95" s="304"/>
      <c r="V95" s="304"/>
      <c r="W95" s="304"/>
      <c r="X95" s="304"/>
    </row>
    <row r="96" spans="1:24">
      <c r="A96" s="304"/>
      <c r="B96" s="304"/>
      <c r="C96" s="304"/>
      <c r="D96" s="304"/>
      <c r="E96" s="304"/>
      <c r="F96" s="304"/>
      <c r="G96" s="304"/>
      <c r="H96" s="304"/>
      <c r="I96" s="304"/>
      <c r="J96" s="304"/>
      <c r="K96" s="304"/>
      <c r="L96" s="304"/>
      <c r="M96" s="304"/>
      <c r="N96" s="304"/>
      <c r="O96" s="304"/>
      <c r="P96" s="304"/>
      <c r="Q96" s="304"/>
      <c r="R96" s="304"/>
      <c r="S96" s="304"/>
      <c r="T96" s="304"/>
      <c r="U96" s="304"/>
      <c r="V96" s="304"/>
      <c r="W96" s="304"/>
      <c r="X96" s="304"/>
    </row>
    <row r="97" spans="1:24">
      <c r="A97" s="304"/>
      <c r="B97" s="304"/>
      <c r="C97" s="304"/>
      <c r="D97" s="304"/>
      <c r="E97" s="304"/>
      <c r="F97" s="304"/>
      <c r="G97" s="304"/>
      <c r="H97" s="304"/>
      <c r="I97" s="304"/>
      <c r="J97" s="304"/>
      <c r="K97" s="304"/>
      <c r="L97" s="304"/>
      <c r="M97" s="304"/>
      <c r="N97" s="304"/>
      <c r="O97" s="304"/>
      <c r="P97" s="304"/>
      <c r="Q97" s="304"/>
      <c r="R97" s="304"/>
      <c r="S97" s="304"/>
      <c r="T97" s="304"/>
      <c r="U97" s="304"/>
      <c r="V97" s="304"/>
      <c r="W97" s="304"/>
      <c r="X97" s="304"/>
    </row>
    <row r="98" spans="1:24">
      <c r="A98" s="304"/>
      <c r="B98" s="304"/>
      <c r="C98" s="304"/>
      <c r="D98" s="304"/>
      <c r="E98" s="304"/>
      <c r="F98" s="304"/>
      <c r="G98" s="304"/>
      <c r="H98" s="304"/>
      <c r="I98" s="304"/>
      <c r="J98" s="304"/>
      <c r="K98" s="304"/>
      <c r="L98" s="304"/>
      <c r="M98" s="304"/>
      <c r="N98" s="304"/>
      <c r="O98" s="304"/>
      <c r="P98" s="304"/>
      <c r="Q98" s="304"/>
      <c r="R98" s="304"/>
      <c r="S98" s="304"/>
      <c r="T98" s="304"/>
      <c r="U98" s="304"/>
      <c r="V98" s="304"/>
      <c r="W98" s="304"/>
      <c r="X98" s="304"/>
    </row>
    <row r="99" spans="1:24">
      <c r="A99" s="304"/>
      <c r="B99" s="304"/>
      <c r="C99" s="304"/>
      <c r="D99" s="304"/>
      <c r="E99" s="304"/>
      <c r="F99" s="304"/>
      <c r="G99" s="304"/>
      <c r="H99" s="304"/>
      <c r="I99" s="304"/>
      <c r="J99" s="304"/>
      <c r="K99" s="304"/>
      <c r="L99" s="304"/>
      <c r="M99" s="304"/>
      <c r="N99" s="304"/>
      <c r="O99" s="304"/>
      <c r="P99" s="304"/>
      <c r="Q99" s="304"/>
      <c r="R99" s="304"/>
      <c r="S99" s="304"/>
      <c r="T99" s="304"/>
      <c r="U99" s="304"/>
      <c r="V99" s="304"/>
      <c r="W99" s="304"/>
      <c r="X99" s="304"/>
    </row>
    <row r="100" spans="1:24">
      <c r="A100" s="304"/>
      <c r="B100" s="304"/>
      <c r="C100" s="304"/>
      <c r="D100" s="304"/>
      <c r="E100" s="304"/>
      <c r="F100" s="304"/>
      <c r="G100" s="304"/>
      <c r="H100" s="304"/>
      <c r="I100" s="304"/>
      <c r="J100" s="304"/>
      <c r="K100" s="304"/>
      <c r="L100" s="304"/>
      <c r="M100" s="304"/>
      <c r="N100" s="304"/>
      <c r="O100" s="304"/>
      <c r="P100" s="304"/>
      <c r="Q100" s="304"/>
      <c r="R100" s="304"/>
      <c r="S100" s="304"/>
      <c r="T100" s="304"/>
      <c r="U100" s="304"/>
      <c r="V100" s="304"/>
      <c r="W100" s="304"/>
      <c r="X100" s="304"/>
    </row>
    <row r="101" spans="1:24">
      <c r="A101" s="304"/>
      <c r="B101" s="304"/>
      <c r="C101" s="304"/>
      <c r="D101" s="304"/>
      <c r="E101" s="304"/>
      <c r="F101" s="304"/>
      <c r="G101" s="304"/>
      <c r="H101" s="304"/>
      <c r="I101" s="304"/>
      <c r="J101" s="304"/>
      <c r="K101" s="304"/>
      <c r="L101" s="304"/>
      <c r="M101" s="304"/>
      <c r="N101" s="304"/>
      <c r="O101" s="304"/>
      <c r="P101" s="304"/>
      <c r="Q101" s="304"/>
      <c r="R101" s="304"/>
      <c r="S101" s="304"/>
      <c r="T101" s="304"/>
      <c r="U101" s="304"/>
      <c r="V101" s="304"/>
      <c r="W101" s="304"/>
      <c r="X101" s="304"/>
    </row>
    <row r="102" spans="1:24">
      <c r="A102" s="304"/>
      <c r="B102" s="304"/>
      <c r="C102" s="304"/>
      <c r="D102" s="304"/>
      <c r="E102" s="304"/>
      <c r="F102" s="304"/>
      <c r="G102" s="304"/>
      <c r="H102" s="304"/>
      <c r="I102" s="304"/>
      <c r="J102" s="304"/>
      <c r="K102" s="304"/>
      <c r="L102" s="304"/>
      <c r="M102" s="304"/>
      <c r="N102" s="304"/>
      <c r="O102" s="304"/>
      <c r="P102" s="304"/>
      <c r="Q102" s="304"/>
      <c r="R102" s="304"/>
      <c r="S102" s="304"/>
      <c r="T102" s="304"/>
      <c r="U102" s="304"/>
      <c r="V102" s="304"/>
      <c r="W102" s="304"/>
      <c r="X102" s="304"/>
    </row>
    <row r="103" spans="1:24">
      <c r="A103" s="304"/>
      <c r="B103" s="304"/>
      <c r="C103" s="304"/>
      <c r="D103" s="304"/>
      <c r="E103" s="304"/>
      <c r="F103" s="304"/>
      <c r="G103" s="304"/>
      <c r="H103" s="304"/>
      <c r="I103" s="304"/>
      <c r="J103" s="304"/>
      <c r="K103" s="304"/>
      <c r="L103" s="304"/>
      <c r="M103" s="304"/>
      <c r="N103" s="304"/>
      <c r="O103" s="304"/>
      <c r="P103" s="304"/>
      <c r="Q103" s="304"/>
      <c r="R103" s="304"/>
      <c r="S103" s="304"/>
      <c r="T103" s="304"/>
      <c r="U103" s="304"/>
      <c r="V103" s="304"/>
      <c r="W103" s="304"/>
      <c r="X103" s="304"/>
    </row>
    <row r="104" spans="1:24">
      <c r="A104" s="304"/>
      <c r="B104" s="304"/>
      <c r="C104" s="304"/>
      <c r="D104" s="304"/>
      <c r="E104" s="304"/>
      <c r="F104" s="304"/>
      <c r="G104" s="304"/>
      <c r="H104" s="304"/>
      <c r="I104" s="304"/>
      <c r="J104" s="304"/>
      <c r="K104" s="304"/>
      <c r="L104" s="304"/>
      <c r="M104" s="304"/>
      <c r="N104" s="304"/>
      <c r="O104" s="304"/>
      <c r="P104" s="304"/>
      <c r="Q104" s="304"/>
      <c r="R104" s="304"/>
      <c r="S104" s="304"/>
      <c r="T104" s="304"/>
      <c r="U104" s="304"/>
      <c r="V104" s="304"/>
      <c r="W104" s="304"/>
      <c r="X104" s="304"/>
    </row>
    <row r="105" spans="1:24">
      <c r="A105" s="304"/>
      <c r="B105" s="304"/>
      <c r="C105" s="304"/>
      <c r="D105" s="304"/>
      <c r="E105" s="304"/>
      <c r="F105" s="304"/>
      <c r="G105" s="304"/>
      <c r="H105" s="304"/>
      <c r="I105" s="304"/>
      <c r="J105" s="304"/>
      <c r="K105" s="304"/>
      <c r="L105" s="304"/>
      <c r="M105" s="304"/>
      <c r="N105" s="304"/>
      <c r="O105" s="304"/>
      <c r="P105" s="304"/>
      <c r="Q105" s="304"/>
      <c r="R105" s="304"/>
      <c r="S105" s="304"/>
      <c r="T105" s="304"/>
      <c r="U105" s="304"/>
      <c r="V105" s="304"/>
      <c r="W105" s="304"/>
      <c r="X105" s="304"/>
    </row>
    <row r="106" spans="1:24">
      <c r="A106" s="304"/>
      <c r="B106" s="304"/>
      <c r="C106" s="304"/>
      <c r="D106" s="304"/>
      <c r="E106" s="304"/>
      <c r="F106" s="304"/>
      <c r="G106" s="304"/>
      <c r="H106" s="304"/>
      <c r="I106" s="304"/>
      <c r="J106" s="304"/>
      <c r="K106" s="304"/>
      <c r="L106" s="304"/>
      <c r="M106" s="304"/>
      <c r="N106" s="304"/>
      <c r="O106" s="304"/>
      <c r="P106" s="304"/>
      <c r="Q106" s="304"/>
      <c r="R106" s="304"/>
      <c r="S106" s="304"/>
      <c r="T106" s="304"/>
      <c r="U106" s="304"/>
      <c r="V106" s="304"/>
      <c r="W106" s="304"/>
      <c r="X106" s="304"/>
    </row>
    <row r="107" spans="1:24">
      <c r="A107" s="304"/>
      <c r="B107" s="304"/>
      <c r="C107" s="304"/>
      <c r="D107" s="304"/>
      <c r="E107" s="304"/>
      <c r="F107" s="304"/>
      <c r="G107" s="304"/>
      <c r="H107" s="304"/>
      <c r="I107" s="304"/>
      <c r="J107" s="304"/>
      <c r="K107" s="304"/>
      <c r="L107" s="304"/>
      <c r="M107" s="304"/>
      <c r="N107" s="304"/>
      <c r="O107" s="304"/>
      <c r="P107" s="304"/>
      <c r="Q107" s="304"/>
      <c r="R107" s="304"/>
      <c r="S107" s="304"/>
      <c r="T107" s="304"/>
      <c r="U107" s="304"/>
      <c r="V107" s="304"/>
      <c r="W107" s="304"/>
      <c r="X107" s="304"/>
    </row>
    <row r="108" spans="1:24">
      <c r="A108" s="304"/>
      <c r="B108" s="304"/>
      <c r="C108" s="304"/>
      <c r="D108" s="304"/>
      <c r="E108" s="304"/>
      <c r="F108" s="304"/>
      <c r="G108" s="304"/>
      <c r="H108" s="304"/>
      <c r="I108" s="304"/>
      <c r="J108" s="304"/>
      <c r="K108" s="304"/>
      <c r="L108" s="304"/>
      <c r="M108" s="304"/>
      <c r="N108" s="304"/>
      <c r="O108" s="304"/>
      <c r="P108" s="304"/>
      <c r="Q108" s="304"/>
      <c r="R108" s="304"/>
      <c r="S108" s="304"/>
      <c r="T108" s="304"/>
      <c r="U108" s="304"/>
      <c r="V108" s="304"/>
      <c r="W108" s="304"/>
      <c r="X108" s="304"/>
    </row>
    <row r="109" spans="1:24">
      <c r="A109" s="304"/>
      <c r="B109" s="304"/>
      <c r="C109" s="304"/>
      <c r="D109" s="304"/>
      <c r="E109" s="304"/>
      <c r="F109" s="304"/>
      <c r="G109" s="304"/>
      <c r="H109" s="304"/>
      <c r="I109" s="304"/>
      <c r="J109" s="304"/>
      <c r="K109" s="304"/>
      <c r="L109" s="304"/>
      <c r="M109" s="304"/>
      <c r="N109" s="304"/>
      <c r="O109" s="304"/>
      <c r="P109" s="304"/>
      <c r="Q109" s="304"/>
      <c r="R109" s="304"/>
      <c r="S109" s="304"/>
      <c r="T109" s="304"/>
      <c r="U109" s="304"/>
      <c r="V109" s="304"/>
      <c r="W109" s="304"/>
      <c r="X109" s="304"/>
    </row>
    <row r="110" spans="1:24">
      <c r="A110" s="304"/>
      <c r="B110" s="304"/>
      <c r="C110" s="304"/>
      <c r="D110" s="304"/>
      <c r="E110" s="304"/>
      <c r="F110" s="304"/>
      <c r="G110" s="304"/>
      <c r="H110" s="304"/>
      <c r="I110" s="304"/>
      <c r="J110" s="304"/>
      <c r="K110" s="304"/>
      <c r="L110" s="304"/>
      <c r="M110" s="304"/>
      <c r="N110" s="304"/>
      <c r="O110" s="304"/>
      <c r="P110" s="304"/>
      <c r="Q110" s="304"/>
      <c r="R110" s="304"/>
      <c r="S110" s="304"/>
      <c r="T110" s="304"/>
      <c r="U110" s="304"/>
      <c r="V110" s="304"/>
      <c r="W110" s="304"/>
      <c r="X110" s="304"/>
    </row>
    <row r="111" spans="1:24">
      <c r="A111" s="304"/>
      <c r="B111" s="304"/>
      <c r="C111" s="304"/>
      <c r="D111" s="304"/>
      <c r="E111" s="304"/>
      <c r="F111" s="304"/>
      <c r="G111" s="304"/>
      <c r="H111" s="304"/>
      <c r="I111" s="304"/>
      <c r="J111" s="304"/>
      <c r="K111" s="304"/>
      <c r="L111" s="304"/>
      <c r="M111" s="304"/>
      <c r="N111" s="304"/>
      <c r="O111" s="304"/>
      <c r="P111" s="304"/>
      <c r="Q111" s="304"/>
      <c r="R111" s="304"/>
      <c r="S111" s="304"/>
      <c r="T111" s="304"/>
      <c r="U111" s="304"/>
      <c r="V111" s="304"/>
      <c r="W111" s="304"/>
      <c r="X111" s="304"/>
    </row>
    <row r="112" spans="1:24">
      <c r="A112" s="304"/>
      <c r="B112" s="304"/>
      <c r="C112" s="304"/>
      <c r="D112" s="304"/>
      <c r="E112" s="304"/>
      <c r="F112" s="304"/>
      <c r="G112" s="304"/>
      <c r="H112" s="304"/>
      <c r="I112" s="304"/>
      <c r="J112" s="304"/>
      <c r="K112" s="304"/>
      <c r="L112" s="304"/>
      <c r="M112" s="304"/>
      <c r="N112" s="304"/>
      <c r="O112" s="304"/>
      <c r="P112" s="304"/>
      <c r="Q112" s="304"/>
      <c r="R112" s="304"/>
      <c r="S112" s="304"/>
      <c r="T112" s="304"/>
    </row>
    <row r="113" spans="1:20">
      <c r="A113" s="304"/>
      <c r="B113" s="304"/>
      <c r="C113" s="304"/>
      <c r="D113" s="304"/>
      <c r="E113" s="304"/>
      <c r="F113" s="304"/>
      <c r="G113" s="304"/>
      <c r="H113" s="304"/>
      <c r="I113" s="304"/>
      <c r="J113" s="304"/>
      <c r="K113" s="304"/>
      <c r="L113" s="304"/>
      <c r="M113" s="304"/>
      <c r="N113" s="304"/>
      <c r="O113" s="304"/>
      <c r="P113" s="304"/>
      <c r="Q113" s="304"/>
      <c r="R113" s="304"/>
      <c r="S113" s="304"/>
      <c r="T113" s="304"/>
    </row>
    <row r="114" spans="1:20">
      <c r="A114" s="304"/>
      <c r="B114" s="304"/>
      <c r="C114" s="304"/>
      <c r="D114" s="304"/>
      <c r="E114" s="304"/>
      <c r="F114" s="304"/>
      <c r="G114" s="304"/>
      <c r="H114" s="304"/>
      <c r="I114" s="304"/>
      <c r="J114" s="304"/>
      <c r="K114" s="304"/>
      <c r="L114" s="304"/>
      <c r="M114" s="304"/>
      <c r="N114" s="304"/>
      <c r="O114" s="304"/>
      <c r="P114" s="304"/>
      <c r="Q114" s="304"/>
      <c r="R114" s="304"/>
      <c r="S114" s="304"/>
      <c r="T114" s="304"/>
    </row>
    <row r="115" spans="1:20">
      <c r="A115" s="304"/>
      <c r="B115" s="304"/>
      <c r="C115" s="304"/>
      <c r="D115" s="304"/>
      <c r="E115" s="304"/>
      <c r="F115" s="304"/>
      <c r="G115" s="304"/>
      <c r="H115" s="304"/>
      <c r="I115" s="304"/>
      <c r="J115" s="304"/>
      <c r="K115" s="304"/>
      <c r="L115" s="304"/>
      <c r="M115" s="304"/>
      <c r="N115" s="304"/>
      <c r="O115" s="304"/>
      <c r="P115" s="304"/>
      <c r="Q115" s="304"/>
      <c r="R115" s="304"/>
      <c r="S115" s="304"/>
      <c r="T115" s="304"/>
    </row>
    <row r="116" spans="1:20">
      <c r="A116" s="304"/>
      <c r="B116" s="304"/>
      <c r="C116" s="304"/>
      <c r="D116" s="304"/>
      <c r="E116" s="304"/>
      <c r="F116" s="304"/>
      <c r="G116" s="304"/>
      <c r="H116" s="304"/>
      <c r="I116" s="304"/>
      <c r="J116" s="304"/>
      <c r="K116" s="304"/>
      <c r="L116" s="304"/>
      <c r="M116" s="304"/>
      <c r="N116" s="304"/>
      <c r="O116" s="304"/>
      <c r="P116" s="304"/>
      <c r="Q116" s="304"/>
      <c r="R116" s="304"/>
      <c r="S116" s="304"/>
      <c r="T116" s="304"/>
    </row>
    <row r="117" spans="1:20">
      <c r="A117" s="304"/>
      <c r="B117" s="304"/>
      <c r="C117" s="304"/>
      <c r="D117" s="304"/>
      <c r="E117" s="304"/>
      <c r="F117" s="304"/>
      <c r="G117" s="304"/>
      <c r="H117" s="304"/>
      <c r="I117" s="304"/>
      <c r="J117" s="304"/>
      <c r="K117" s="304"/>
      <c r="L117" s="304"/>
      <c r="M117" s="304"/>
      <c r="N117" s="304"/>
      <c r="O117" s="304"/>
      <c r="P117" s="304"/>
      <c r="Q117" s="304"/>
      <c r="R117" s="304"/>
      <c r="S117" s="304"/>
      <c r="T117" s="304"/>
    </row>
    <row r="118" spans="1:20">
      <c r="A118" s="304"/>
      <c r="B118" s="304"/>
      <c r="C118" s="304"/>
      <c r="D118" s="304"/>
      <c r="E118" s="304"/>
      <c r="F118" s="304"/>
      <c r="G118" s="304"/>
      <c r="H118" s="304"/>
      <c r="I118" s="304"/>
      <c r="J118" s="304"/>
      <c r="K118" s="304"/>
      <c r="L118" s="304"/>
      <c r="M118" s="304"/>
      <c r="N118" s="304"/>
      <c r="O118" s="304"/>
      <c r="P118" s="304"/>
      <c r="Q118" s="304"/>
      <c r="R118" s="304"/>
      <c r="S118" s="304"/>
      <c r="T118" s="304"/>
    </row>
    <row r="119" spans="1:20">
      <c r="A119" s="304"/>
      <c r="B119" s="304"/>
      <c r="C119" s="304"/>
      <c r="D119" s="304"/>
      <c r="E119" s="304"/>
      <c r="F119" s="304"/>
      <c r="G119" s="304"/>
      <c r="H119" s="304"/>
      <c r="I119" s="304"/>
      <c r="J119" s="304"/>
      <c r="K119" s="304"/>
      <c r="L119" s="304"/>
      <c r="M119" s="304"/>
      <c r="N119" s="304"/>
      <c r="O119" s="304"/>
      <c r="P119" s="304"/>
      <c r="Q119" s="304"/>
      <c r="R119" s="304"/>
      <c r="S119" s="304"/>
      <c r="T119" s="304"/>
    </row>
    <row r="120" spans="1:20">
      <c r="A120" s="304"/>
      <c r="B120" s="304"/>
      <c r="C120" s="304"/>
      <c r="D120" s="304"/>
      <c r="E120" s="304"/>
      <c r="F120" s="304"/>
      <c r="G120" s="304"/>
      <c r="H120" s="304"/>
      <c r="I120" s="304"/>
      <c r="J120" s="304"/>
      <c r="K120" s="304"/>
      <c r="L120" s="304"/>
      <c r="M120" s="304"/>
      <c r="N120" s="304"/>
      <c r="O120" s="304"/>
      <c r="P120" s="304"/>
      <c r="Q120" s="304"/>
      <c r="R120" s="304"/>
      <c r="S120" s="304"/>
      <c r="T120" s="304"/>
    </row>
    <row r="121" spans="1:20">
      <c r="A121" s="304"/>
      <c r="B121" s="304"/>
      <c r="C121" s="304"/>
      <c r="D121" s="304"/>
      <c r="E121" s="304"/>
      <c r="F121" s="304"/>
      <c r="G121" s="304"/>
      <c r="H121" s="304"/>
      <c r="I121" s="304"/>
      <c r="J121" s="304"/>
      <c r="K121" s="304"/>
      <c r="L121" s="304"/>
      <c r="M121" s="304"/>
      <c r="N121" s="304"/>
      <c r="O121" s="304"/>
      <c r="P121" s="304"/>
      <c r="Q121" s="304"/>
      <c r="R121" s="304"/>
      <c r="S121" s="304"/>
      <c r="T121" s="304"/>
    </row>
  </sheetData>
  <mergeCells count="1">
    <mergeCell ref="A1:D1"/>
  </mergeCells>
  <pageMargins left="0.7" right="0.7" top="0.75" bottom="0.75" header="0.3" footer="0.3"/>
  <drawing r:id="rId1"/>
  <tableParts count="2">
    <tablePart r:id="rId2"/>
    <tablePart r:id="rId3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_activity xmlns="fa1b1835-4822-42d0-af30-0602d4394e7a" xsi:nil="true"/>
  </documentManagement>
</p:properties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3455612BE586CA47AC8C234D67115471" ma:contentTypeVersion="8" ma:contentTypeDescription="Create a new document." ma:contentTypeScope="" ma:versionID="7565668c198209388d53f22d50b8ea21">
  <xsd:schema xmlns:xsd="http://www.w3.org/2001/XMLSchema" xmlns:xs="http://www.w3.org/2001/XMLSchema" xmlns:p="http://schemas.microsoft.com/office/2006/metadata/properties" xmlns:ns3="fa1b1835-4822-42d0-af30-0602d4394e7a" xmlns:ns4="7a3389e6-5a85-4289-a559-a578ce276462" targetNamespace="http://schemas.microsoft.com/office/2006/metadata/properties" ma:root="true" ma:fieldsID="96a6470f9e503b3ca5b997323ab7e984" ns3:_="" ns4:_="">
    <xsd:import namespace="fa1b1835-4822-42d0-af30-0602d4394e7a"/>
    <xsd:import namespace="7a3389e6-5a85-4289-a559-a578ce276462"/>
    <xsd:element name="properties">
      <xsd:complexType>
        <xsd:sequence>
          <xsd:element name="documentManagement">
            <xsd:complexType>
              <xsd:all>
                <xsd:element ref="ns3:MediaServiceMetadata" minOccurs="0"/>
                <xsd:element ref="ns3:MediaServiceFastMetadata" minOccurs="0"/>
                <xsd:element ref="ns3:MediaServiceSearchProperties" minOccurs="0"/>
                <xsd:element ref="ns3:MediaServiceObjectDetectorVersions" minOccurs="0"/>
                <xsd:element ref="ns4:SharedWithUsers" minOccurs="0"/>
                <xsd:element ref="ns4:SharedWithDetails" minOccurs="0"/>
                <xsd:element ref="ns4:SharingHintHash" minOccurs="0"/>
                <xsd:element ref="ns3:_activity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fa1b1835-4822-42d0-af30-0602d4394e7a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SearchProperties" ma:index="10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ObjectDetectorVersions" ma:index="11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_activity" ma:index="15" nillable="true" ma:displayName="_activity" ma:hidden="true" ma:internalName="_activity">
      <xsd:simpleType>
        <xsd:restriction base="dms:Note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7a3389e6-5a85-4289-a559-a578ce276462" elementFormDefault="qualified">
    <xsd:import namespace="http://schemas.microsoft.com/office/2006/documentManagement/types"/>
    <xsd:import namespace="http://schemas.microsoft.com/office/infopath/2007/PartnerControls"/>
    <xsd:element name="SharedWithUsers" ma:index="12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3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  <xsd:element name="SharingHintHash" ma:index="14" nillable="true" ma:displayName="Sharing Hint Hash" ma:hidden="true" ma:internalName="SharingHintHash" ma:readOnly="true">
      <xsd:simpleType>
        <xsd:restriction base="dms:Text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BAA7FE2E-CD5E-4F33-B684-0145B545C1FF}">
  <ds:schemaRefs>
    <ds:schemaRef ds:uri="http://purl.org/dc/dcmitype/"/>
    <ds:schemaRef ds:uri="http://schemas.microsoft.com/office/infopath/2007/PartnerControls"/>
    <ds:schemaRef ds:uri="http://purl.org/dc/elements/1.1/"/>
    <ds:schemaRef ds:uri="http://purl.org/dc/terms/"/>
    <ds:schemaRef ds:uri="http://schemas.microsoft.com/office/2006/metadata/properties"/>
    <ds:schemaRef ds:uri="7a3389e6-5a85-4289-a559-a578ce276462"/>
    <ds:schemaRef ds:uri="fa1b1835-4822-42d0-af30-0602d4394e7a"/>
    <ds:schemaRef ds:uri="http://schemas.microsoft.com/office/2006/documentManagement/types"/>
    <ds:schemaRef ds:uri="http://www.w3.org/XML/1998/namespace"/>
    <ds:schemaRef ds:uri="http://schemas.openxmlformats.org/package/2006/metadata/core-properties"/>
  </ds:schemaRefs>
</ds:datastoreItem>
</file>

<file path=customXml/itemProps2.xml><?xml version="1.0" encoding="utf-8"?>
<ds:datastoreItem xmlns:ds="http://schemas.openxmlformats.org/officeDocument/2006/customXml" ds:itemID="{FC5B3EDB-93C0-422C-AB63-9B87305EF4F7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158D1CDA-F0DB-468C-86C6-49C61B587171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fa1b1835-4822-42d0-af30-0602d4394e7a"/>
    <ds:schemaRef ds:uri="7a3389e6-5a85-4289-a559-a578ce276462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18</vt:i4>
      </vt:variant>
      <vt:variant>
        <vt:lpstr>Named Ranges</vt:lpstr>
      </vt:variant>
      <vt:variant>
        <vt:i4>55</vt:i4>
      </vt:variant>
    </vt:vector>
  </HeadingPairs>
  <TitlesOfParts>
    <vt:vector size="73" baseType="lpstr">
      <vt:lpstr>Reaction Pathways</vt:lpstr>
      <vt:lpstr>SMR</vt:lpstr>
      <vt:lpstr>Biomass</vt:lpstr>
      <vt:lpstr>WE</vt:lpstr>
      <vt:lpstr>SMR Economics</vt:lpstr>
      <vt:lpstr>NG Prices</vt:lpstr>
      <vt:lpstr>BM-H2 Economics</vt:lpstr>
      <vt:lpstr>WE Economics</vt:lpstr>
      <vt:lpstr>CO2 factors</vt:lpstr>
      <vt:lpstr>H2-Ammonia</vt:lpstr>
      <vt:lpstr>H2 storage</vt:lpstr>
      <vt:lpstr>H2-MeOH</vt:lpstr>
      <vt:lpstr>SCALING</vt:lpstr>
      <vt:lpstr>Price Input</vt:lpstr>
      <vt:lpstr>Algorithm Inputs</vt:lpstr>
      <vt:lpstr>Algorithm Results</vt:lpstr>
      <vt:lpstr>Economic Results</vt:lpstr>
      <vt:lpstr>Emission Results</vt:lpstr>
      <vt:lpstr>Base__Capacity</vt:lpstr>
      <vt:lpstr>Base_Capacity</vt:lpstr>
      <vt:lpstr>Biomass_Gasification</vt:lpstr>
      <vt:lpstr>BMG_Base_CAPEX</vt:lpstr>
      <vt:lpstr>BMG_Base_OPEX_CG</vt:lpstr>
      <vt:lpstr>BMG_Base_OPEX_RG</vt:lpstr>
      <vt:lpstr>BMG_DS</vt:lpstr>
      <vt:lpstr>CAPEX</vt:lpstr>
      <vt:lpstr>CleanProducts</vt:lpstr>
      <vt:lpstr>CO2_DefaultPrice</vt:lpstr>
      <vt:lpstr>Depreciation</vt:lpstr>
      <vt:lpstr>DF</vt:lpstr>
      <vt:lpstr>Discount_factor</vt:lpstr>
      <vt:lpstr>FilteredProducts</vt:lpstr>
      <vt:lpstr>FilterProducts</vt:lpstr>
      <vt:lpstr>H2_Default_Price_WE</vt:lpstr>
      <vt:lpstr>H2_DefaultPrice_BMG</vt:lpstr>
      <vt:lpstr>H2_DefaultPrice_SMR</vt:lpstr>
      <vt:lpstr>HB_Base_CAPEX</vt:lpstr>
      <vt:lpstr>HB_Base_OPEX_CG</vt:lpstr>
      <vt:lpstr>HB_Base_OPEX_RG</vt:lpstr>
      <vt:lpstr>MeOH_Base_Capacity</vt:lpstr>
      <vt:lpstr>MeOH_Base_CAPEX</vt:lpstr>
      <vt:lpstr>MeOH_Base_OPEX_CG</vt:lpstr>
      <vt:lpstr>MeOH_Base_OPEX_RG</vt:lpstr>
      <vt:lpstr>MeOH_DefaultPrice</vt:lpstr>
      <vt:lpstr>Net_Profit</vt:lpstr>
      <vt:lpstr>NH3_Base_Capacity</vt:lpstr>
      <vt:lpstr>NH3_DefaultPrice</vt:lpstr>
      <vt:lpstr>O2_DefaultPrice</vt:lpstr>
      <vt:lpstr>OPEX</vt:lpstr>
      <vt:lpstr>Placeholder_BMG_Scope2</vt:lpstr>
      <vt:lpstr>Plant_life</vt:lpstr>
      <vt:lpstr>PP</vt:lpstr>
      <vt:lpstr>RectantMap</vt:lpstr>
      <vt:lpstr>Revenue</vt:lpstr>
      <vt:lpstr>ROI</vt:lpstr>
      <vt:lpstr>Scope1</vt:lpstr>
      <vt:lpstr>Scope2</vt:lpstr>
      <vt:lpstr>SMR_Base_CAPEX</vt:lpstr>
      <vt:lpstr>SMR_Base_OPEX_CG</vt:lpstr>
      <vt:lpstr>SMR_Base_OPEX_RG</vt:lpstr>
      <vt:lpstr>SMR_DS</vt:lpstr>
      <vt:lpstr>Steam_Methane_Reforming</vt:lpstr>
      <vt:lpstr>Storage</vt:lpstr>
      <vt:lpstr>Storage_Cost_H2</vt:lpstr>
      <vt:lpstr>Storage_costs_placeholder</vt:lpstr>
      <vt:lpstr>TAC</vt:lpstr>
      <vt:lpstr>Tax_Rate</vt:lpstr>
      <vt:lpstr>TCI</vt:lpstr>
      <vt:lpstr>Water_Electrolysis</vt:lpstr>
      <vt:lpstr>WE_Base_CAPEX</vt:lpstr>
      <vt:lpstr>WE_Base_OPEX_CG</vt:lpstr>
      <vt:lpstr>WE_Base_OPEX_RG</vt:lpstr>
      <vt:lpstr>WE_DS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Kedar Hastagiri</dc:creator>
  <cp:keywords/>
  <dc:description/>
  <cp:lastModifiedBy>Kedar Hastagiri</cp:lastModifiedBy>
  <cp:revision/>
  <dcterms:created xsi:type="dcterms:W3CDTF">2024-05-20T09:23:59Z</dcterms:created>
  <dcterms:modified xsi:type="dcterms:W3CDTF">2025-07-21T00:22:53Z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0x0101003455612BE586CA47AC8C234D67115471</vt:lpwstr>
  </property>
</Properties>
</file>