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22020" windowHeight="847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2" i="1" l="1"/>
  <c r="G29" i="1" l="1"/>
  <c r="K13" i="1" l="1"/>
  <c r="C29" i="1"/>
  <c r="G27" i="1" l="1"/>
  <c r="C26" i="1"/>
  <c r="G18" i="1"/>
  <c r="K12" i="1"/>
  <c r="K11" i="1"/>
  <c r="C11" i="1"/>
  <c r="C12" i="1" s="1"/>
  <c r="C13" i="1" s="1"/>
  <c r="C14" i="1" s="1"/>
  <c r="C16" i="1" l="1"/>
  <c r="K16" i="1" s="1"/>
  <c r="G13" i="1"/>
  <c r="G21" i="1" s="1"/>
  <c r="G11" i="1"/>
  <c r="G12" i="1" s="1"/>
  <c r="G14" i="1" s="1"/>
  <c r="C27" i="1" l="1"/>
  <c r="C22" i="1"/>
  <c r="G22" i="1"/>
  <c r="K29" i="1"/>
  <c r="K30" i="1"/>
  <c r="C21" i="1"/>
  <c r="C17" i="1"/>
  <c r="C18" i="1" s="1"/>
  <c r="G30" i="1" l="1"/>
  <c r="C19" i="1"/>
  <c r="K31" i="1"/>
  <c r="G16" i="1"/>
  <c r="G17" i="1" s="1"/>
  <c r="K17" i="1" s="1"/>
  <c r="C25" i="1"/>
  <c r="C24" i="1" l="1"/>
  <c r="K18" i="1"/>
  <c r="G24" i="1"/>
  <c r="G25" i="1" s="1"/>
  <c r="K24" i="1" s="1"/>
  <c r="K27" i="1" s="1"/>
  <c r="G26" i="1"/>
  <c r="K25" i="1" s="1"/>
  <c r="C30" i="1" l="1"/>
  <c r="G31" i="1" s="1"/>
  <c r="K19" i="1"/>
</calcChain>
</file>

<file path=xl/sharedStrings.xml><?xml version="1.0" encoding="utf-8"?>
<sst xmlns="http://schemas.openxmlformats.org/spreadsheetml/2006/main" count="130" uniqueCount="86">
  <si>
    <t xml:space="preserve">VB = </t>
  </si>
  <si>
    <t>VE =</t>
  </si>
  <si>
    <t>IE =</t>
  </si>
  <si>
    <t>IC =</t>
  </si>
  <si>
    <t>IC(sat) =</t>
  </si>
  <si>
    <t xml:space="preserve">VC = </t>
  </si>
  <si>
    <t xml:space="preserve">VCE = </t>
  </si>
  <si>
    <t>VCEQ =</t>
  </si>
  <si>
    <t>IC(max) =</t>
  </si>
  <si>
    <t xml:space="preserve">r'e = </t>
  </si>
  <si>
    <t xml:space="preserve">Rin(Base) = </t>
  </si>
  <si>
    <t>Rin(Total) =</t>
  </si>
  <si>
    <t>CE Amp Calc Sheet</t>
  </si>
  <si>
    <t>Attn =</t>
  </si>
  <si>
    <t>(1/Attn) =</t>
  </si>
  <si>
    <t>Rc =</t>
  </si>
  <si>
    <t xml:space="preserve">Av(ideal) = </t>
  </si>
  <si>
    <t xml:space="preserve">vout = </t>
  </si>
  <si>
    <t>Vin (peak) =</t>
  </si>
  <si>
    <t>Rs =</t>
  </si>
  <si>
    <t xml:space="preserve">Vcc = </t>
  </si>
  <si>
    <t>Beta dc =</t>
  </si>
  <si>
    <t>Beta AC =</t>
  </si>
  <si>
    <t>R1 =</t>
  </si>
  <si>
    <t>R2 =</t>
  </si>
  <si>
    <t>RC =</t>
  </si>
  <si>
    <t>RL =</t>
  </si>
  <si>
    <t>RE1 =</t>
  </si>
  <si>
    <t>RE2 =</t>
  </si>
  <si>
    <t>C1 =</t>
  </si>
  <si>
    <t>C2 =</t>
  </si>
  <si>
    <t>C3 =</t>
  </si>
  <si>
    <t xml:space="preserve">cbe = </t>
  </si>
  <si>
    <t xml:space="preserve">cbc = </t>
  </si>
  <si>
    <t>fcl(output) =</t>
  </si>
  <si>
    <t>fcl(input) =</t>
  </si>
  <si>
    <t xml:space="preserve">Rth = </t>
  </si>
  <si>
    <t>fcl(bypass) =</t>
  </si>
  <si>
    <t xml:space="preserve">Cin(Miller) = </t>
  </si>
  <si>
    <t xml:space="preserve">C(total) = </t>
  </si>
  <si>
    <t xml:space="preserve">C(out) = </t>
  </si>
  <si>
    <t xml:space="preserve">fcu(output) = </t>
  </si>
  <si>
    <t xml:space="preserve">fcu(input) = </t>
  </si>
  <si>
    <t xml:space="preserve">BW = </t>
  </si>
  <si>
    <t>ICEQ =</t>
  </si>
  <si>
    <t>Av(mid) dB =</t>
  </si>
  <si>
    <t xml:space="preserve">ic(sat) = </t>
  </si>
  <si>
    <t xml:space="preserve">vce(cutoff) = </t>
  </si>
  <si>
    <t>is =</t>
  </si>
  <si>
    <t>ohms</t>
  </si>
  <si>
    <t>Vdc</t>
  </si>
  <si>
    <t>maAC</t>
  </si>
  <si>
    <t>Vac</t>
  </si>
  <si>
    <t>Hz</t>
  </si>
  <si>
    <t>dB</t>
  </si>
  <si>
    <t>F</t>
  </si>
  <si>
    <t>Vpeak</t>
  </si>
  <si>
    <t>INPUTS:</t>
  </si>
  <si>
    <t>dc ANALYSIS:</t>
  </si>
  <si>
    <t>AC ANALYSIS:</t>
  </si>
  <si>
    <t xml:space="preserve">A'v(real) = </t>
  </si>
  <si>
    <t>AC LOAD LINE ENDPTs:</t>
  </si>
  <si>
    <t>FREQ RESP/BODE:</t>
  </si>
  <si>
    <t>POWER and EFFICIENCY:</t>
  </si>
  <si>
    <t>PL =</t>
  </si>
  <si>
    <t xml:space="preserve">Pin = </t>
  </si>
  <si>
    <t>Ap =</t>
  </si>
  <si>
    <t>Pout(max) =</t>
  </si>
  <si>
    <t xml:space="preserve">Pdc(total) = </t>
  </si>
  <si>
    <t>Efficiency =</t>
  </si>
  <si>
    <t>vin(rms) =</t>
  </si>
  <si>
    <t>vL(rms) =</t>
  </si>
  <si>
    <t>Adc</t>
  </si>
  <si>
    <t>Vrms</t>
  </si>
  <si>
    <t>Sinusoidal only</t>
  </si>
  <si>
    <t>W</t>
  </si>
  <si>
    <t xml:space="preserve">Vpp(max) = </t>
  </si>
  <si>
    <t xml:space="preserve"> ---&gt; Icq*rc</t>
  </si>
  <si>
    <t xml:space="preserve"> ---&gt; 2Vceq</t>
  </si>
  <si>
    <t>Vpk    -----</t>
  </si>
  <si>
    <t xml:space="preserve">VCEQ(cutoff) = </t>
  </si>
  <si>
    <t>AACrms</t>
  </si>
  <si>
    <t>2N2222A</t>
  </si>
  <si>
    <t>Circuit 1</t>
  </si>
  <si>
    <t>dc Q-point:</t>
  </si>
  <si>
    <t>Rev. 030214_1700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</si>
</sst>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00E+00"/>
    <numFmt numFmtId="167" formatCode="0.0000E+00"/>
    <numFmt numFmtId="168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64" fontId="0" fillId="4" borderId="0" xfId="0" applyNumberFormat="1" applyFill="1"/>
    <xf numFmtId="165" fontId="0" fillId="3" borderId="0" xfId="0" applyNumberFormat="1" applyFill="1"/>
    <xf numFmtId="165" fontId="0" fillId="5" borderId="0" xfId="0" applyNumberFormat="1" applyFill="1"/>
    <xf numFmtId="166" fontId="0" fillId="4" borderId="0" xfId="0" applyNumberFormat="1" applyFill="1"/>
    <xf numFmtId="0" fontId="1" fillId="0" borderId="0" xfId="0" applyFont="1"/>
    <xf numFmtId="0" fontId="1" fillId="0" borderId="1" xfId="0" applyFont="1" applyBorder="1"/>
    <xf numFmtId="164" fontId="1" fillId="4" borderId="2" xfId="0" applyNumberFormat="1" applyFont="1" applyFill="1" applyBorder="1"/>
    <xf numFmtId="0" fontId="1" fillId="0" borderId="2" xfId="0" applyFont="1" applyBorder="1"/>
    <xf numFmtId="164" fontId="1" fillId="4" borderId="3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0" fillId="8" borderId="0" xfId="0" applyNumberFormat="1" applyFill="1"/>
    <xf numFmtId="167" fontId="0" fillId="8" borderId="0" xfId="0" applyNumberFormat="1" applyFill="1"/>
    <xf numFmtId="0" fontId="0" fillId="8" borderId="0" xfId="0" applyFill="1"/>
    <xf numFmtId="165" fontId="0" fillId="7" borderId="0" xfId="0" applyNumberFormat="1" applyFill="1"/>
    <xf numFmtId="168" fontId="0" fillId="3" borderId="0" xfId="0" applyNumberFormat="1" applyFill="1"/>
    <xf numFmtId="0" fontId="0" fillId="3" borderId="0" xfId="0" applyFill="1"/>
    <xf numFmtId="166" fontId="0" fillId="0" borderId="0" xfId="0" applyNumberForma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5" xfId="0" applyBorder="1"/>
    <xf numFmtId="165" fontId="0" fillId="3" borderId="5" xfId="0" applyNumberFormat="1" applyFill="1" applyBorder="1"/>
    <xf numFmtId="0" fontId="0" fillId="0" borderId="6" xfId="0" applyBorder="1"/>
    <xf numFmtId="0" fontId="2" fillId="0" borderId="7" xfId="0" applyFont="1" applyBorder="1" applyAlignment="1">
      <alignment horizontal="right"/>
    </xf>
    <xf numFmtId="0" fontId="0" fillId="0" borderId="8" xfId="0" applyBorder="1"/>
    <xf numFmtId="165" fontId="0" fillId="3" borderId="8" xfId="0" applyNumberFormat="1" applyFill="1" applyBorder="1"/>
    <xf numFmtId="0" fontId="0" fillId="0" borderId="9" xfId="0" applyBorder="1"/>
    <xf numFmtId="0" fontId="3" fillId="0" borderId="4" xfId="0" applyFont="1" applyBorder="1"/>
    <xf numFmtId="166" fontId="0" fillId="7" borderId="5" xfId="0" applyNumberFormat="1" applyFill="1" applyBorder="1"/>
    <xf numFmtId="0" fontId="3" fillId="0" borderId="7" xfId="0" applyFont="1" applyBorder="1"/>
    <xf numFmtId="2" fontId="0" fillId="7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C2" sqref="C2"/>
    </sheetView>
  </sheetViews>
  <sheetFormatPr defaultRowHeight="14.4" x14ac:dyDescent="0.3"/>
  <cols>
    <col min="1" max="1" width="22" customWidth="1"/>
    <col min="2" max="2" width="13.44140625" customWidth="1"/>
    <col min="3" max="3" width="12" bestFit="1" customWidth="1"/>
    <col min="5" max="5" width="10.33203125" customWidth="1"/>
    <col min="6" max="6" width="13.5546875" customWidth="1"/>
    <col min="7" max="7" width="12" bestFit="1" customWidth="1"/>
    <col min="9" max="9" width="10.44140625" customWidth="1"/>
    <col min="10" max="10" width="13.33203125" customWidth="1"/>
    <col min="11" max="11" width="12" bestFit="1" customWidth="1"/>
  </cols>
  <sheetData>
    <row r="1" spans="1:12" x14ac:dyDescent="0.3">
      <c r="A1" s="10" t="s">
        <v>12</v>
      </c>
      <c r="B1" s="15" t="s">
        <v>74</v>
      </c>
      <c r="F1" s="25" t="s">
        <v>83</v>
      </c>
      <c r="J1" s="25" t="s">
        <v>82</v>
      </c>
    </row>
    <row r="2" spans="1:12" x14ac:dyDescent="0.3">
      <c r="A2" s="17" t="s">
        <v>85</v>
      </c>
    </row>
    <row r="4" spans="1:12" x14ac:dyDescent="0.3">
      <c r="A4" s="16" t="s">
        <v>57</v>
      </c>
      <c r="B4" t="s">
        <v>18</v>
      </c>
      <c r="C4" s="1">
        <v>1.41E-3</v>
      </c>
      <c r="D4" t="s">
        <v>56</v>
      </c>
      <c r="F4" t="s">
        <v>23</v>
      </c>
      <c r="G4" s="1">
        <v>47000</v>
      </c>
      <c r="H4" t="s">
        <v>49</v>
      </c>
      <c r="J4" t="s">
        <v>29</v>
      </c>
      <c r="K4" s="2">
        <v>1.0000000000000001E-5</v>
      </c>
      <c r="L4" t="s">
        <v>55</v>
      </c>
    </row>
    <row r="5" spans="1:12" x14ac:dyDescent="0.3">
      <c r="A5" s="16"/>
      <c r="B5" t="s">
        <v>19</v>
      </c>
      <c r="C5" s="1">
        <v>600</v>
      </c>
      <c r="D5" t="s">
        <v>49</v>
      </c>
      <c r="F5" t="s">
        <v>24</v>
      </c>
      <c r="G5" s="1">
        <v>12000</v>
      </c>
      <c r="H5" t="s">
        <v>49</v>
      </c>
      <c r="J5" t="s">
        <v>30</v>
      </c>
      <c r="K5" s="2">
        <v>1E-4</v>
      </c>
      <c r="L5" t="s">
        <v>55</v>
      </c>
    </row>
    <row r="6" spans="1:12" x14ac:dyDescent="0.3">
      <c r="A6" s="16"/>
      <c r="B6" t="s">
        <v>20</v>
      </c>
      <c r="C6" s="1">
        <v>15</v>
      </c>
      <c r="D6" t="s">
        <v>50</v>
      </c>
      <c r="F6" t="s">
        <v>25</v>
      </c>
      <c r="G6" s="1">
        <v>3300</v>
      </c>
      <c r="H6" t="s">
        <v>49</v>
      </c>
      <c r="J6" t="s">
        <v>31</v>
      </c>
      <c r="K6" s="2">
        <v>4.6999999999999997E-5</v>
      </c>
      <c r="L6" t="s">
        <v>55</v>
      </c>
    </row>
    <row r="7" spans="1:12" x14ac:dyDescent="0.3">
      <c r="A7" s="16"/>
      <c r="B7" t="s">
        <v>21</v>
      </c>
      <c r="C7" s="1">
        <v>150</v>
      </c>
      <c r="F7" t="s">
        <v>26</v>
      </c>
      <c r="G7" s="1">
        <v>10000</v>
      </c>
      <c r="H7" t="s">
        <v>49</v>
      </c>
    </row>
    <row r="8" spans="1:12" x14ac:dyDescent="0.3">
      <c r="A8" s="16"/>
      <c r="B8" t="s">
        <v>22</v>
      </c>
      <c r="C8" s="1">
        <v>150</v>
      </c>
      <c r="F8" t="s">
        <v>27</v>
      </c>
      <c r="G8" s="1">
        <v>47</v>
      </c>
      <c r="H8" t="s">
        <v>49</v>
      </c>
      <c r="J8" t="s">
        <v>32</v>
      </c>
      <c r="K8" s="2">
        <v>2.5000000000000001E-11</v>
      </c>
      <c r="L8" t="s">
        <v>55</v>
      </c>
    </row>
    <row r="9" spans="1:12" x14ac:dyDescent="0.3">
      <c r="A9" s="16"/>
      <c r="F9" t="s">
        <v>28</v>
      </c>
      <c r="G9" s="1">
        <v>1470</v>
      </c>
      <c r="H9" t="s">
        <v>49</v>
      </c>
      <c r="J9" t="s">
        <v>33</v>
      </c>
      <c r="K9" s="2">
        <v>7.9999999999999998E-12</v>
      </c>
      <c r="L9" t="s">
        <v>55</v>
      </c>
    </row>
    <row r="10" spans="1:12" x14ac:dyDescent="0.3">
      <c r="A10" s="16"/>
    </row>
    <row r="11" spans="1:12" x14ac:dyDescent="0.3">
      <c r="A11" s="16" t="s">
        <v>58</v>
      </c>
      <c r="B11" t="s">
        <v>0</v>
      </c>
      <c r="C11" s="7">
        <f>(G5/(G4+G5))*C6</f>
        <v>3.050847457627119</v>
      </c>
      <c r="D11" t="s">
        <v>50</v>
      </c>
      <c r="F11" t="s">
        <v>5</v>
      </c>
      <c r="G11" s="7">
        <f>(C6-(C14*G6))</f>
        <v>9.8860932035797671</v>
      </c>
      <c r="H11" t="s">
        <v>50</v>
      </c>
      <c r="J11" t="s">
        <v>4</v>
      </c>
      <c r="K11" s="22">
        <f>((C6-0.7)/(G6+G8+G9))</f>
        <v>2.968652688395267E-3</v>
      </c>
      <c r="L11" t="s">
        <v>72</v>
      </c>
    </row>
    <row r="12" spans="1:12" ht="15" thickBot="1" x14ac:dyDescent="0.35">
      <c r="A12" s="16"/>
      <c r="B12" t="s">
        <v>1</v>
      </c>
      <c r="C12" s="7">
        <f>(C11-0.7)</f>
        <v>2.3508474576271192</v>
      </c>
      <c r="D12" t="s">
        <v>50</v>
      </c>
      <c r="F12" t="s">
        <v>6</v>
      </c>
      <c r="G12" s="7">
        <f>G11-C12</f>
        <v>7.5352457459526478</v>
      </c>
      <c r="H12" t="s">
        <v>50</v>
      </c>
      <c r="J12" t="s">
        <v>8</v>
      </c>
      <c r="K12" s="22">
        <f>((C6)/(G6+G8+G9))</f>
        <v>3.1139713514635667E-3</v>
      </c>
      <c r="L12" t="s">
        <v>72</v>
      </c>
    </row>
    <row r="13" spans="1:12" ht="15" thickTop="1" x14ac:dyDescent="0.3">
      <c r="A13" s="16"/>
      <c r="B13" t="s">
        <v>2</v>
      </c>
      <c r="C13" s="7">
        <f>(C12/(G8+G9))</f>
        <v>1.5496687261879493E-3</v>
      </c>
      <c r="D13" t="s">
        <v>72</v>
      </c>
      <c r="E13" s="26" t="s">
        <v>84</v>
      </c>
      <c r="F13" s="27" t="s">
        <v>44</v>
      </c>
      <c r="G13" s="28">
        <f xml:space="preserve"> C14</f>
        <v>1.5496687261879493E-3</v>
      </c>
      <c r="H13" s="29" t="s">
        <v>72</v>
      </c>
      <c r="J13" t="s">
        <v>80</v>
      </c>
      <c r="K13" s="23">
        <f>C6</f>
        <v>15</v>
      </c>
      <c r="L13" t="s">
        <v>50</v>
      </c>
    </row>
    <row r="14" spans="1:12" ht="15" thickBot="1" x14ac:dyDescent="0.35">
      <c r="A14" s="16"/>
      <c r="B14" t="s">
        <v>3</v>
      </c>
      <c r="C14" s="7">
        <f>C13</f>
        <v>1.5496687261879493E-3</v>
      </c>
      <c r="D14" t="s">
        <v>72</v>
      </c>
      <c r="E14" s="30" t="s">
        <v>84</v>
      </c>
      <c r="F14" s="31" t="s">
        <v>7</v>
      </c>
      <c r="G14" s="32">
        <f>G12</f>
        <v>7.5352457459526478</v>
      </c>
      <c r="H14" s="33" t="s">
        <v>50</v>
      </c>
    </row>
    <row r="15" spans="1:12" ht="15" thickTop="1" x14ac:dyDescent="0.3">
      <c r="A15" s="16"/>
    </row>
    <row r="16" spans="1:12" ht="15" thickBot="1" x14ac:dyDescent="0.35">
      <c r="A16" s="16" t="s">
        <v>59</v>
      </c>
      <c r="B16" t="s">
        <v>9</v>
      </c>
      <c r="C16" s="6">
        <f>(0.025/C13)</f>
        <v>16.132480173035326</v>
      </c>
      <c r="D16" t="s">
        <v>49</v>
      </c>
      <c r="F16" t="s">
        <v>13</v>
      </c>
      <c r="G16" s="6">
        <f>((C5+C18)/C18)</f>
        <v>1.1261247861992461</v>
      </c>
      <c r="J16" t="s">
        <v>16</v>
      </c>
      <c r="K16" s="6">
        <f>(G18/(C16+G8))</f>
        <v>39.301529113354086</v>
      </c>
    </row>
    <row r="17" spans="1:12" ht="15.6" thickTop="1" thickBot="1" x14ac:dyDescent="0.35">
      <c r="A17" s="16"/>
      <c r="B17" t="s">
        <v>10</v>
      </c>
      <c r="C17" s="6">
        <f>(C7*(C16+G8))</f>
        <v>9469.8720259552993</v>
      </c>
      <c r="D17" t="s">
        <v>49</v>
      </c>
      <c r="F17" s="11" t="s">
        <v>14</v>
      </c>
      <c r="G17" s="12">
        <f>1/G16</f>
        <v>0.8880010565925589</v>
      </c>
      <c r="H17" s="13"/>
      <c r="I17" s="13"/>
      <c r="J17" s="13" t="s">
        <v>60</v>
      </c>
      <c r="K17" s="14">
        <f>K16*G17</f>
        <v>34.899799378361642</v>
      </c>
    </row>
    <row r="18" spans="1:12" ht="15" thickTop="1" x14ac:dyDescent="0.3">
      <c r="A18" s="16"/>
      <c r="B18" t="s">
        <v>11</v>
      </c>
      <c r="C18" s="6">
        <f>1/((1/G4)+(1/G5)+1/C17)</f>
        <v>4757.1933961667792</v>
      </c>
      <c r="D18" t="s">
        <v>49</v>
      </c>
      <c r="F18" t="s">
        <v>15</v>
      </c>
      <c r="G18" s="6">
        <f>(1/((1/G6)+(1/G7)))</f>
        <v>2481.2030075187972</v>
      </c>
      <c r="H18" t="s">
        <v>49</v>
      </c>
      <c r="J18" t="s">
        <v>17</v>
      </c>
      <c r="K18" s="6">
        <f>C4*K17</f>
        <v>4.9208717123489919E-2</v>
      </c>
      <c r="L18" t="s">
        <v>56</v>
      </c>
    </row>
    <row r="19" spans="1:12" x14ac:dyDescent="0.3">
      <c r="A19" s="16"/>
      <c r="B19" t="s">
        <v>48</v>
      </c>
      <c r="C19" s="9">
        <f>(C4*0.7071)/(C5+C18)</f>
        <v>1.8610696427599366E-7</v>
      </c>
      <c r="D19" t="s">
        <v>81</v>
      </c>
      <c r="G19" s="24"/>
      <c r="J19" t="s">
        <v>17</v>
      </c>
      <c r="K19" s="6">
        <f>K18*0.7071</f>
        <v>3.4795483878019721E-2</v>
      </c>
      <c r="L19" t="s">
        <v>73</v>
      </c>
    </row>
    <row r="20" spans="1:12" ht="15" thickBot="1" x14ac:dyDescent="0.35">
      <c r="A20" s="16"/>
    </row>
    <row r="21" spans="1:12" ht="15" thickTop="1" x14ac:dyDescent="0.3">
      <c r="A21" s="34" t="s">
        <v>61</v>
      </c>
      <c r="B21" s="27" t="s">
        <v>46</v>
      </c>
      <c r="C21" s="35">
        <f xml:space="preserve"> G13 + (G14/G18)</f>
        <v>4.5866011025870465E-3</v>
      </c>
      <c r="D21" s="29" t="s">
        <v>51</v>
      </c>
      <c r="F21" t="s">
        <v>76</v>
      </c>
      <c r="G21" s="21">
        <f>2*(G13*G18)</f>
        <v>7.6900854081507264</v>
      </c>
      <c r="H21" t="s">
        <v>79</v>
      </c>
      <c r="I21" t="s">
        <v>77</v>
      </c>
    </row>
    <row r="22" spans="1:12" ht="15" thickBot="1" x14ac:dyDescent="0.35">
      <c r="A22" s="36"/>
      <c r="B22" s="31" t="s">
        <v>47</v>
      </c>
      <c r="C22" s="37">
        <f>(G14 + (G13*G18))</f>
        <v>11.380288450028011</v>
      </c>
      <c r="D22" s="33" t="s">
        <v>52</v>
      </c>
      <c r="F22" t="s">
        <v>76</v>
      </c>
      <c r="G22" s="21">
        <f>2*G14</f>
        <v>15.070491491905296</v>
      </c>
      <c r="H22" t="s">
        <v>79</v>
      </c>
      <c r="I22" t="s">
        <v>78</v>
      </c>
    </row>
    <row r="23" spans="1:12" ht="15" thickTop="1" x14ac:dyDescent="0.3">
      <c r="A23" s="16"/>
    </row>
    <row r="24" spans="1:12" x14ac:dyDescent="0.3">
      <c r="A24" s="16" t="s">
        <v>62</v>
      </c>
      <c r="B24" t="s">
        <v>45</v>
      </c>
      <c r="C24" s="8">
        <f>20*(LOG10(K17))</f>
        <v>30.856458608455277</v>
      </c>
      <c r="D24" t="s">
        <v>54</v>
      </c>
      <c r="F24" t="s">
        <v>38</v>
      </c>
      <c r="G24" s="4">
        <f>K9*(K17+1)</f>
        <v>2.8719839502689313E-10</v>
      </c>
      <c r="H24" t="s">
        <v>55</v>
      </c>
      <c r="J24" t="s">
        <v>42</v>
      </c>
      <c r="K24" s="3">
        <f>0.159/((                         (C5^-1+    G4^-1    +  G5^-1+    (C8*C16)^-1)          ^-1)                          *G25)</f>
        <v>1112558.35470856</v>
      </c>
      <c r="L24" t="s">
        <v>53</v>
      </c>
    </row>
    <row r="25" spans="1:12" x14ac:dyDescent="0.3">
      <c r="A25" s="16"/>
      <c r="B25" t="s">
        <v>35</v>
      </c>
      <c r="C25" s="8">
        <f>((0.159/(C18*K4)))</f>
        <v>3.3423068342800186</v>
      </c>
      <c r="D25" t="s">
        <v>53</v>
      </c>
      <c r="F25" t="s">
        <v>39</v>
      </c>
      <c r="G25" s="5">
        <f>G24+K8</f>
        <v>3.1219839502689314E-10</v>
      </c>
      <c r="H25" t="s">
        <v>55</v>
      </c>
      <c r="J25" t="s">
        <v>41</v>
      </c>
      <c r="K25" s="3">
        <f xml:space="preserve"> 0.159/   (((  G6^-1 + G7^-1)^-1) * G26)</f>
        <v>7787099.9179388946</v>
      </c>
      <c r="L25" t="s">
        <v>53</v>
      </c>
    </row>
    <row r="26" spans="1:12" x14ac:dyDescent="0.3">
      <c r="A26" s="16"/>
      <c r="B26" t="s">
        <v>34</v>
      </c>
      <c r="C26" s="8">
        <f>(0.159/((G6+G7)*K6))</f>
        <v>0.25435930251159816</v>
      </c>
      <c r="D26" t="s">
        <v>53</v>
      </c>
      <c r="F26" t="s">
        <v>40</v>
      </c>
      <c r="G26" s="4">
        <f>K9 * ((K17+1)/K17)</f>
        <v>8.2292276787401855E-12</v>
      </c>
      <c r="H26" t="s">
        <v>55</v>
      </c>
    </row>
    <row r="27" spans="1:12" x14ac:dyDescent="0.3">
      <c r="A27" s="16"/>
      <c r="B27" t="s">
        <v>37</v>
      </c>
      <c r="C27" s="8">
        <f>0.159/((((C16+(G27/C8))^-1+(G8)^-1))^-1* K5)</f>
        <v>113.74436835049219</v>
      </c>
      <c r="D27" t="s">
        <v>53</v>
      </c>
      <c r="F27" t="s">
        <v>36</v>
      </c>
      <c r="G27" s="4">
        <f>(1/((1/G4)+(1/G5)+(1/C5)))</f>
        <v>564.56456456456453</v>
      </c>
      <c r="H27" t="s">
        <v>49</v>
      </c>
      <c r="J27" t="s">
        <v>43</v>
      </c>
      <c r="K27" s="3">
        <f>K24 - C26</f>
        <v>1112558.1003492575</v>
      </c>
      <c r="L27" t="s">
        <v>53</v>
      </c>
    </row>
    <row r="29" spans="1:12" x14ac:dyDescent="0.3">
      <c r="A29" s="16" t="s">
        <v>63</v>
      </c>
      <c r="B29" t="s">
        <v>70</v>
      </c>
      <c r="C29" s="18">
        <f>C4*0.707</f>
        <v>9.9686999999999996E-4</v>
      </c>
      <c r="D29" t="s">
        <v>73</v>
      </c>
      <c r="F29" t="s">
        <v>64</v>
      </c>
      <c r="G29" s="19">
        <f>((C30^2)/G7)</f>
        <v>1.2103832742958427E-7</v>
      </c>
      <c r="H29" t="s">
        <v>75</v>
      </c>
      <c r="J29" t="s">
        <v>67</v>
      </c>
      <c r="K29" s="19">
        <f>0.5*(G13*G14)</f>
        <v>5.8385673383218022E-3</v>
      </c>
      <c r="L29" t="s">
        <v>75</v>
      </c>
    </row>
    <row r="30" spans="1:12" x14ac:dyDescent="0.3">
      <c r="B30" t="s">
        <v>71</v>
      </c>
      <c r="C30" s="18">
        <f>K18*0.707</f>
        <v>3.4790563006307368E-2</v>
      </c>
      <c r="D30" t="s">
        <v>73</v>
      </c>
      <c r="F30" t="s">
        <v>65</v>
      </c>
      <c r="G30" s="19">
        <f>((C29^2)/C18)</f>
        <v>2.0889413444926106E-10</v>
      </c>
      <c r="H30" t="s">
        <v>75</v>
      </c>
      <c r="J30" t="s">
        <v>68</v>
      </c>
      <c r="K30" s="19">
        <f>2*(G13*G14)</f>
        <v>2.3354269353287209E-2</v>
      </c>
      <c r="L30" t="s">
        <v>75</v>
      </c>
    </row>
    <row r="31" spans="1:12" x14ac:dyDescent="0.3">
      <c r="C31" s="24"/>
      <c r="F31" t="s">
        <v>66</v>
      </c>
      <c r="G31" s="18">
        <f>G29/G30</f>
        <v>579.4242511820438</v>
      </c>
      <c r="J31" t="s">
        <v>69</v>
      </c>
      <c r="K31" s="20">
        <f>K29/K30</f>
        <v>0.25</v>
      </c>
    </row>
    <row r="32" spans="1:12" x14ac:dyDescent="0.3">
      <c r="F32" t="s">
        <v>66</v>
      </c>
      <c r="G32" s="18">
        <f>(K17^2)*(C18/G7)</f>
        <v>579.4242511820438</v>
      </c>
    </row>
    <row r="33" spans="3:3" x14ac:dyDescent="0.3">
      <c r="C33" s="24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Account</dc:creator>
  <cp:lastModifiedBy>Main Account</cp:lastModifiedBy>
  <cp:lastPrinted>2014-02-10T12:52:26Z</cp:lastPrinted>
  <dcterms:created xsi:type="dcterms:W3CDTF">2013-09-01T13:29:32Z</dcterms:created>
  <dcterms:modified xsi:type="dcterms:W3CDTF">2014-03-05T13:55:26Z</dcterms:modified>
</cp:coreProperties>
</file>