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240" yWindow="105" windowWidth="15480" windowHeight="9465"/>
  </bookViews>
  <sheets>
    <sheet name="2020.g." sheetId="10" r:id="rId1"/>
    <sheet name="2019.g." sheetId="16" r:id="rId2"/>
    <sheet name="2018.g." sheetId="15" r:id="rId3"/>
    <sheet name="2017.g." sheetId="14" r:id="rId4"/>
    <sheet name="2016.g." sheetId="12" r:id="rId5"/>
    <sheet name="2015.g." sheetId="11" r:id="rId6"/>
    <sheet name="2014.g." sheetId="9" r:id="rId7"/>
    <sheet name="2013.g." sheetId="5" r:id="rId8"/>
    <sheet name="2012.g." sheetId="4" r:id="rId9"/>
    <sheet name="2011.g." sheetId="6" r:id="rId10"/>
    <sheet name="2010.g." sheetId="7" r:id="rId11"/>
    <sheet name="2009.g." sheetId="8" r:id="rId12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O48" i="10" l="1"/>
  <c r="O45" i="10"/>
  <c r="O46" i="10"/>
  <c r="O47" i="10"/>
  <c r="O44" i="10"/>
  <c r="O43" i="10"/>
  <c r="O42" i="10"/>
  <c r="O41" i="10"/>
  <c r="J48" i="10"/>
  <c r="J45" i="10"/>
  <c r="J46" i="10"/>
  <c r="J47" i="10"/>
  <c r="J44" i="10"/>
  <c r="J43" i="10"/>
  <c r="J42" i="10"/>
  <c r="J41" i="10"/>
  <c r="E43" i="10" l="1"/>
  <c r="E42" i="10"/>
  <c r="O27" i="10"/>
  <c r="O26" i="10"/>
  <c r="J27" i="10"/>
  <c r="J26" i="10"/>
  <c r="E27" i="10"/>
  <c r="E26" i="10"/>
  <c r="O11" i="10"/>
  <c r="O10" i="10"/>
  <c r="E11" i="10"/>
  <c r="E10" i="10"/>
  <c r="O32" i="10"/>
  <c r="O29" i="10"/>
  <c r="O30" i="10"/>
  <c r="O31" i="10"/>
  <c r="O28" i="10"/>
  <c r="O25" i="10"/>
  <c r="J32" i="10"/>
  <c r="J29" i="10"/>
  <c r="J30" i="10"/>
  <c r="J31" i="10"/>
  <c r="J28" i="10"/>
  <c r="J25" i="10"/>
  <c r="E25" i="10"/>
  <c r="E41" i="10"/>
  <c r="O16" i="10"/>
  <c r="O13" i="10"/>
  <c r="O14" i="10"/>
  <c r="O15" i="10"/>
  <c r="O12" i="10"/>
  <c r="O9" i="10"/>
  <c r="J16" i="10"/>
  <c r="J13" i="10"/>
  <c r="J14" i="10"/>
  <c r="J15" i="10"/>
  <c r="J12" i="10"/>
  <c r="J11" i="10"/>
  <c r="J10" i="10"/>
  <c r="J9" i="10"/>
  <c r="E16" i="10"/>
  <c r="E13" i="10"/>
  <c r="E14" i="10"/>
  <c r="E15" i="10"/>
  <c r="E12" i="10"/>
  <c r="E9" i="10"/>
  <c r="M48" i="16"/>
  <c r="L48" i="16"/>
  <c r="H48" i="16"/>
  <c r="G48" i="16"/>
  <c r="C48" i="16"/>
  <c r="B48" i="16"/>
  <c r="N47" i="16"/>
  <c r="O47" i="16" s="1"/>
  <c r="I47" i="16"/>
  <c r="J47" i="16" s="1"/>
  <c r="D47" i="16"/>
  <c r="E47" i="16" s="1"/>
  <c r="N46" i="16"/>
  <c r="O46" i="16" s="1"/>
  <c r="I46" i="16"/>
  <c r="J46" i="16" s="1"/>
  <c r="D46" i="16"/>
  <c r="E46" i="16" s="1"/>
  <c r="N45" i="16"/>
  <c r="O45" i="16" s="1"/>
  <c r="I45" i="16"/>
  <c r="J45" i="16" s="1"/>
  <c r="D45" i="16"/>
  <c r="E45" i="16" s="1"/>
  <c r="O44" i="16"/>
  <c r="P44" i="16" s="1"/>
  <c r="N44" i="16"/>
  <c r="I44" i="16"/>
  <c r="J44" i="16" s="1"/>
  <c r="E44" i="16"/>
  <c r="D44" i="16"/>
  <c r="O43" i="16"/>
  <c r="N43" i="16"/>
  <c r="J43" i="16"/>
  <c r="I43" i="16"/>
  <c r="E43" i="16"/>
  <c r="D43" i="16"/>
  <c r="O42" i="16"/>
  <c r="N42" i="16"/>
  <c r="N48" i="16" s="1"/>
  <c r="O48" i="16" s="1"/>
  <c r="J42" i="16"/>
  <c r="I42" i="16"/>
  <c r="I48" i="16" s="1"/>
  <c r="J48" i="16" s="1"/>
  <c r="E42" i="16"/>
  <c r="D42" i="16"/>
  <c r="D48" i="16" s="1"/>
  <c r="E48" i="16" s="1"/>
  <c r="O41" i="16"/>
  <c r="J41" i="16"/>
  <c r="E41" i="16"/>
  <c r="M32" i="16"/>
  <c r="L32" i="16"/>
  <c r="H32" i="16"/>
  <c r="G32" i="16"/>
  <c r="C32" i="16"/>
  <c r="B32" i="16"/>
  <c r="N31" i="16"/>
  <c r="O31" i="16" s="1"/>
  <c r="I31" i="16"/>
  <c r="J31" i="16" s="1"/>
  <c r="D31" i="16"/>
  <c r="E31" i="16" s="1"/>
  <c r="N30" i="16"/>
  <c r="O30" i="16" s="1"/>
  <c r="I30" i="16"/>
  <c r="J30" i="16" s="1"/>
  <c r="D30" i="16"/>
  <c r="E30" i="16" s="1"/>
  <c r="N29" i="16"/>
  <c r="N32" i="16" s="1"/>
  <c r="O32" i="16" s="1"/>
  <c r="I29" i="16"/>
  <c r="J29" i="16" s="1"/>
  <c r="D29" i="16"/>
  <c r="D32" i="16" s="1"/>
  <c r="E32" i="16" s="1"/>
  <c r="O28" i="16"/>
  <c r="N28" i="16"/>
  <c r="I28" i="16"/>
  <c r="J28" i="16" s="1"/>
  <c r="E28" i="16"/>
  <c r="D28" i="16"/>
  <c r="O27" i="16"/>
  <c r="N27" i="16"/>
  <c r="J27" i="16"/>
  <c r="I27" i="16"/>
  <c r="E27" i="16"/>
  <c r="D27" i="16"/>
  <c r="O26" i="16"/>
  <c r="N26" i="16"/>
  <c r="J26" i="16"/>
  <c r="I26" i="16"/>
  <c r="E26" i="16"/>
  <c r="D26" i="16"/>
  <c r="O25" i="16"/>
  <c r="J25" i="16"/>
  <c r="E25" i="16"/>
  <c r="M16" i="16"/>
  <c r="L16" i="16"/>
  <c r="H16" i="16"/>
  <c r="G16" i="16"/>
  <c r="C16" i="16"/>
  <c r="B16" i="16"/>
  <c r="N15" i="16"/>
  <c r="O15" i="16" s="1"/>
  <c r="I15" i="16"/>
  <c r="J15" i="16" s="1"/>
  <c r="D15" i="16"/>
  <c r="E15" i="16" s="1"/>
  <c r="N14" i="16"/>
  <c r="O14" i="16" s="1"/>
  <c r="I14" i="16"/>
  <c r="J14" i="16" s="1"/>
  <c r="D14" i="16"/>
  <c r="E14" i="16" s="1"/>
  <c r="N13" i="16"/>
  <c r="O13" i="16" s="1"/>
  <c r="I13" i="16"/>
  <c r="J13" i="16" s="1"/>
  <c r="D13" i="16"/>
  <c r="E13" i="16" s="1"/>
  <c r="O12" i="16"/>
  <c r="N12" i="16"/>
  <c r="I12" i="16"/>
  <c r="J12" i="16" s="1"/>
  <c r="K12" i="16" s="1"/>
  <c r="E12" i="16"/>
  <c r="D12" i="16"/>
  <c r="O11" i="16"/>
  <c r="N11" i="16"/>
  <c r="J11" i="16"/>
  <c r="I11" i="16"/>
  <c r="I16" i="16" s="1"/>
  <c r="J16" i="16" s="1"/>
  <c r="E11" i="16"/>
  <c r="D11" i="16"/>
  <c r="O10" i="16"/>
  <c r="N10" i="16"/>
  <c r="N16" i="16" s="1"/>
  <c r="O16" i="16" s="1"/>
  <c r="J10" i="16"/>
  <c r="I10" i="16"/>
  <c r="E10" i="16"/>
  <c r="D10" i="16"/>
  <c r="D16" i="16" s="1"/>
  <c r="E16" i="16" s="1"/>
  <c r="O9" i="16"/>
  <c r="J9" i="16"/>
  <c r="E9" i="16"/>
  <c r="F44" i="16" l="1"/>
  <c r="P12" i="16"/>
  <c r="K44" i="16"/>
  <c r="F12" i="16"/>
  <c r="K28" i="16"/>
  <c r="I32" i="16"/>
  <c r="J32" i="16" s="1"/>
  <c r="E29" i="16"/>
  <c r="F28" i="16" s="1"/>
  <c r="O29" i="16"/>
  <c r="P28" i="16" s="1"/>
  <c r="M48" i="15" l="1"/>
  <c r="L48" i="15"/>
  <c r="H48" i="15"/>
  <c r="G48" i="15"/>
  <c r="C48" i="15"/>
  <c r="B48" i="15"/>
  <c r="N47" i="15"/>
  <c r="O47" i="15" s="1"/>
  <c r="J47" i="15"/>
  <c r="I47" i="15"/>
  <c r="D47" i="15"/>
  <c r="E47" i="15" s="1"/>
  <c r="O46" i="15"/>
  <c r="N46" i="15"/>
  <c r="I46" i="15"/>
  <c r="J46" i="15" s="1"/>
  <c r="E46" i="15"/>
  <c r="D46" i="15"/>
  <c r="N45" i="15"/>
  <c r="O45" i="15" s="1"/>
  <c r="P44" i="15" s="1"/>
  <c r="J45" i="15"/>
  <c r="I45" i="15"/>
  <c r="D45" i="15"/>
  <c r="E45" i="15" s="1"/>
  <c r="O44" i="15"/>
  <c r="N44" i="15"/>
  <c r="J44" i="15"/>
  <c r="K44" i="15" s="1"/>
  <c r="I44" i="15"/>
  <c r="D44" i="15"/>
  <c r="E44" i="15" s="1"/>
  <c r="O43" i="15"/>
  <c r="N43" i="15"/>
  <c r="I43" i="15"/>
  <c r="J43" i="15" s="1"/>
  <c r="E43" i="15"/>
  <c r="D43" i="15"/>
  <c r="N42" i="15"/>
  <c r="O42" i="15" s="1"/>
  <c r="J42" i="15"/>
  <c r="I42" i="15"/>
  <c r="I48" i="15" s="1"/>
  <c r="J48" i="15" s="1"/>
  <c r="D42" i="15"/>
  <c r="D48" i="15" s="1"/>
  <c r="E48" i="15" s="1"/>
  <c r="O41" i="15"/>
  <c r="J41" i="15"/>
  <c r="E41" i="15"/>
  <c r="M32" i="15"/>
  <c r="L32" i="15"/>
  <c r="H32" i="15"/>
  <c r="G32" i="15"/>
  <c r="C32" i="15"/>
  <c r="B32" i="15"/>
  <c r="O31" i="15"/>
  <c r="N31" i="15"/>
  <c r="I31" i="15"/>
  <c r="J31" i="15" s="1"/>
  <c r="E31" i="15"/>
  <c r="D31" i="15"/>
  <c r="N30" i="15"/>
  <c r="O30" i="15" s="1"/>
  <c r="J30" i="15"/>
  <c r="I30" i="15"/>
  <c r="D30" i="15"/>
  <c r="E30" i="15" s="1"/>
  <c r="F28" i="15" s="1"/>
  <c r="O29" i="15"/>
  <c r="N29" i="15"/>
  <c r="I29" i="15"/>
  <c r="J29" i="15" s="1"/>
  <c r="E29" i="15"/>
  <c r="D29" i="15"/>
  <c r="N28" i="15"/>
  <c r="O28" i="15" s="1"/>
  <c r="P28" i="15" s="1"/>
  <c r="I28" i="15"/>
  <c r="J28" i="15" s="1"/>
  <c r="K28" i="15" s="1"/>
  <c r="E28" i="15"/>
  <c r="D28" i="15"/>
  <c r="N27" i="15"/>
  <c r="O27" i="15" s="1"/>
  <c r="J27" i="15"/>
  <c r="I27" i="15"/>
  <c r="D27" i="15"/>
  <c r="E27" i="15" s="1"/>
  <c r="O26" i="15"/>
  <c r="N26" i="15"/>
  <c r="I26" i="15"/>
  <c r="J26" i="15" s="1"/>
  <c r="E26" i="15"/>
  <c r="D26" i="15"/>
  <c r="O25" i="15"/>
  <c r="J25" i="15"/>
  <c r="E25" i="15"/>
  <c r="M16" i="15"/>
  <c r="L16" i="15"/>
  <c r="H16" i="15"/>
  <c r="G16" i="15"/>
  <c r="C16" i="15"/>
  <c r="B16" i="15"/>
  <c r="N15" i="15"/>
  <c r="O15" i="15" s="1"/>
  <c r="J15" i="15"/>
  <c r="I15" i="15"/>
  <c r="D15" i="15"/>
  <c r="E15" i="15" s="1"/>
  <c r="O14" i="15"/>
  <c r="N14" i="15"/>
  <c r="I14" i="15"/>
  <c r="J14" i="15" s="1"/>
  <c r="E14" i="15"/>
  <c r="D14" i="15"/>
  <c r="N13" i="15"/>
  <c r="O13" i="15" s="1"/>
  <c r="P12" i="15" s="1"/>
  <c r="J13" i="15"/>
  <c r="I13" i="15"/>
  <c r="D13" i="15"/>
  <c r="E13" i="15" s="1"/>
  <c r="O12" i="15"/>
  <c r="N12" i="15"/>
  <c r="J12" i="15"/>
  <c r="K12" i="15" s="1"/>
  <c r="I12" i="15"/>
  <c r="D12" i="15"/>
  <c r="E12" i="15" s="1"/>
  <c r="O11" i="15"/>
  <c r="N11" i="15"/>
  <c r="I11" i="15"/>
  <c r="I16" i="15" s="1"/>
  <c r="J16" i="15" s="1"/>
  <c r="E11" i="15"/>
  <c r="D11" i="15"/>
  <c r="N10" i="15"/>
  <c r="O10" i="15" s="1"/>
  <c r="J10" i="15"/>
  <c r="I10" i="15"/>
  <c r="D10" i="15"/>
  <c r="D16" i="15" s="1"/>
  <c r="E16" i="15" s="1"/>
  <c r="O9" i="15"/>
  <c r="J9" i="15"/>
  <c r="E9" i="15"/>
  <c r="F12" i="15" l="1"/>
  <c r="F44" i="15"/>
  <c r="D32" i="15"/>
  <c r="E32" i="15" s="1"/>
  <c r="I32" i="15"/>
  <c r="J32" i="15" s="1"/>
  <c r="N32" i="15"/>
  <c r="O32" i="15" s="1"/>
  <c r="E10" i="15"/>
  <c r="J11" i="15"/>
  <c r="N16" i="15"/>
  <c r="O16" i="15" s="1"/>
  <c r="E42" i="15"/>
  <c r="N48" i="15"/>
  <c r="O48" i="15" s="1"/>
  <c r="M48" i="14" l="1"/>
  <c r="L48" i="14"/>
  <c r="H48" i="14"/>
  <c r="G48" i="14"/>
  <c r="C48" i="14"/>
  <c r="B48" i="14"/>
  <c r="N47" i="14"/>
  <c r="O47" i="14" s="1"/>
  <c r="J47" i="14"/>
  <c r="I47" i="14"/>
  <c r="D47" i="14"/>
  <c r="E47" i="14" s="1"/>
  <c r="O46" i="14"/>
  <c r="N46" i="14"/>
  <c r="I46" i="14"/>
  <c r="J46" i="14" s="1"/>
  <c r="E46" i="14"/>
  <c r="D46" i="14"/>
  <c r="N45" i="14"/>
  <c r="O45" i="14" s="1"/>
  <c r="P44" i="14" s="1"/>
  <c r="J45" i="14"/>
  <c r="I45" i="14"/>
  <c r="D45" i="14"/>
  <c r="E45" i="14" s="1"/>
  <c r="O44" i="14"/>
  <c r="N44" i="14"/>
  <c r="J44" i="14"/>
  <c r="K44" i="14" s="1"/>
  <c r="I44" i="14"/>
  <c r="D44" i="14"/>
  <c r="E44" i="14" s="1"/>
  <c r="F44" i="14" s="1"/>
  <c r="O43" i="14"/>
  <c r="N43" i="14"/>
  <c r="I43" i="14"/>
  <c r="J43" i="14" s="1"/>
  <c r="E43" i="14"/>
  <c r="D43" i="14"/>
  <c r="N42" i="14"/>
  <c r="N48" i="14" s="1"/>
  <c r="O48" i="14" s="1"/>
  <c r="J42" i="14"/>
  <c r="I42" i="14"/>
  <c r="I48" i="14" s="1"/>
  <c r="J48" i="14" s="1"/>
  <c r="D42" i="14"/>
  <c r="D48" i="14" s="1"/>
  <c r="E48" i="14" s="1"/>
  <c r="O41" i="14"/>
  <c r="J41" i="14"/>
  <c r="E41" i="14"/>
  <c r="M32" i="14"/>
  <c r="L32" i="14"/>
  <c r="H32" i="14"/>
  <c r="G32" i="14"/>
  <c r="C32" i="14"/>
  <c r="B32" i="14"/>
  <c r="O31" i="14"/>
  <c r="N31" i="14"/>
  <c r="I31" i="14"/>
  <c r="J31" i="14" s="1"/>
  <c r="E31" i="14"/>
  <c r="D31" i="14"/>
  <c r="N30" i="14"/>
  <c r="O30" i="14" s="1"/>
  <c r="J30" i="14"/>
  <c r="I30" i="14"/>
  <c r="D30" i="14"/>
  <c r="E30" i="14" s="1"/>
  <c r="F28" i="14" s="1"/>
  <c r="O29" i="14"/>
  <c r="N29" i="14"/>
  <c r="I29" i="14"/>
  <c r="J29" i="14" s="1"/>
  <c r="E29" i="14"/>
  <c r="D29" i="14"/>
  <c r="N28" i="14"/>
  <c r="O28" i="14" s="1"/>
  <c r="P28" i="14" s="1"/>
  <c r="I28" i="14"/>
  <c r="J28" i="14" s="1"/>
  <c r="K28" i="14" s="1"/>
  <c r="E28" i="14"/>
  <c r="D28" i="14"/>
  <c r="N27" i="14"/>
  <c r="O27" i="14" s="1"/>
  <c r="J27" i="14"/>
  <c r="I27" i="14"/>
  <c r="D27" i="14"/>
  <c r="E27" i="14" s="1"/>
  <c r="O26" i="14"/>
  <c r="N26" i="14"/>
  <c r="I26" i="14"/>
  <c r="J26" i="14" s="1"/>
  <c r="E26" i="14"/>
  <c r="D26" i="14"/>
  <c r="O25" i="14"/>
  <c r="J25" i="14"/>
  <c r="E25" i="14"/>
  <c r="M16" i="14"/>
  <c r="L16" i="14"/>
  <c r="H16" i="14"/>
  <c r="G16" i="14"/>
  <c r="C16" i="14"/>
  <c r="B16" i="14"/>
  <c r="N15" i="14"/>
  <c r="O15" i="14" s="1"/>
  <c r="J15" i="14"/>
  <c r="I15" i="14"/>
  <c r="D15" i="14"/>
  <c r="E15" i="14" s="1"/>
  <c r="O14" i="14"/>
  <c r="N14" i="14"/>
  <c r="I14" i="14"/>
  <c r="J14" i="14" s="1"/>
  <c r="E14" i="14"/>
  <c r="D14" i="14"/>
  <c r="N13" i="14"/>
  <c r="O13" i="14" s="1"/>
  <c r="P12" i="14" s="1"/>
  <c r="J13" i="14"/>
  <c r="I13" i="14"/>
  <c r="D13" i="14"/>
  <c r="E13" i="14" s="1"/>
  <c r="O12" i="14"/>
  <c r="N12" i="14"/>
  <c r="J12" i="14"/>
  <c r="I12" i="14"/>
  <c r="D12" i="14"/>
  <c r="E12" i="14" s="1"/>
  <c r="F12" i="14" s="1"/>
  <c r="O11" i="14"/>
  <c r="N11" i="14"/>
  <c r="I11" i="14"/>
  <c r="J11" i="14" s="1"/>
  <c r="E11" i="14"/>
  <c r="D11" i="14"/>
  <c r="N10" i="14"/>
  <c r="N16" i="14" s="1"/>
  <c r="O16" i="14" s="1"/>
  <c r="J10" i="14"/>
  <c r="I10" i="14"/>
  <c r="I16" i="14" s="1"/>
  <c r="J16" i="14" s="1"/>
  <c r="D10" i="14"/>
  <c r="D16" i="14" s="1"/>
  <c r="E16" i="14" s="1"/>
  <c r="O9" i="14"/>
  <c r="J9" i="14"/>
  <c r="E9" i="14"/>
  <c r="K12" i="14" l="1"/>
  <c r="D32" i="14"/>
  <c r="E32" i="14" s="1"/>
  <c r="I32" i="14"/>
  <c r="J32" i="14" s="1"/>
  <c r="N32" i="14"/>
  <c r="O32" i="14" s="1"/>
  <c r="E10" i="14"/>
  <c r="O10" i="14"/>
  <c r="E42" i="14"/>
  <c r="O42" i="14"/>
  <c r="M48" i="12" l="1"/>
  <c r="L48" i="12"/>
  <c r="H48" i="12"/>
  <c r="G48" i="12"/>
  <c r="C48" i="12"/>
  <c r="B48" i="12"/>
  <c r="N47" i="12"/>
  <c r="O47" i="12" s="1"/>
  <c r="J47" i="12"/>
  <c r="I47" i="12"/>
  <c r="D47" i="12"/>
  <c r="E47" i="12" s="1"/>
  <c r="O46" i="12"/>
  <c r="N46" i="12"/>
  <c r="I46" i="12"/>
  <c r="J46" i="12" s="1"/>
  <c r="E46" i="12"/>
  <c r="D46" i="12"/>
  <c r="N45" i="12"/>
  <c r="O45" i="12" s="1"/>
  <c r="P44" i="12" s="1"/>
  <c r="J45" i="12"/>
  <c r="I45" i="12"/>
  <c r="D45" i="12"/>
  <c r="E45" i="12" s="1"/>
  <c r="O44" i="12"/>
  <c r="N44" i="12"/>
  <c r="J44" i="12"/>
  <c r="K44" i="12" s="1"/>
  <c r="I44" i="12"/>
  <c r="D44" i="12"/>
  <c r="E44" i="12" s="1"/>
  <c r="F44" i="12" s="1"/>
  <c r="O43" i="12"/>
  <c r="N43" i="12"/>
  <c r="I43" i="12"/>
  <c r="J43" i="12" s="1"/>
  <c r="E43" i="12"/>
  <c r="D43" i="12"/>
  <c r="N42" i="12"/>
  <c r="N48" i="12" s="1"/>
  <c r="O48" i="12" s="1"/>
  <c r="J42" i="12"/>
  <c r="I42" i="12"/>
  <c r="I48" i="12" s="1"/>
  <c r="J48" i="12" s="1"/>
  <c r="D42" i="12"/>
  <c r="D48" i="12" s="1"/>
  <c r="E48" i="12" s="1"/>
  <c r="O41" i="12"/>
  <c r="J41" i="12"/>
  <c r="E41" i="12"/>
  <c r="M32" i="12"/>
  <c r="L32" i="12"/>
  <c r="H32" i="12"/>
  <c r="G32" i="12"/>
  <c r="C32" i="12"/>
  <c r="B32" i="12"/>
  <c r="O31" i="12"/>
  <c r="N31" i="12"/>
  <c r="I31" i="12"/>
  <c r="J31" i="12" s="1"/>
  <c r="E31" i="12"/>
  <c r="D31" i="12"/>
  <c r="N30" i="12"/>
  <c r="O30" i="12" s="1"/>
  <c r="J30" i="12"/>
  <c r="I30" i="12"/>
  <c r="D30" i="12"/>
  <c r="E30" i="12" s="1"/>
  <c r="F28" i="12" s="1"/>
  <c r="O29" i="12"/>
  <c r="N29" i="12"/>
  <c r="I29" i="12"/>
  <c r="J29" i="12" s="1"/>
  <c r="E29" i="12"/>
  <c r="D29" i="12"/>
  <c r="N28" i="12"/>
  <c r="O28" i="12" s="1"/>
  <c r="I28" i="12"/>
  <c r="J28" i="12" s="1"/>
  <c r="K28" i="12" s="1"/>
  <c r="E28" i="12"/>
  <c r="D28" i="12"/>
  <c r="N27" i="12"/>
  <c r="O27" i="12" s="1"/>
  <c r="J27" i="12"/>
  <c r="I27" i="12"/>
  <c r="D27" i="12"/>
  <c r="E27" i="12" s="1"/>
  <c r="O26" i="12"/>
  <c r="N26" i="12"/>
  <c r="I26" i="12"/>
  <c r="J26" i="12" s="1"/>
  <c r="E26" i="12"/>
  <c r="D26" i="12"/>
  <c r="O25" i="12"/>
  <c r="J25" i="12"/>
  <c r="E25" i="12"/>
  <c r="M16" i="12"/>
  <c r="L16" i="12"/>
  <c r="H16" i="12"/>
  <c r="G16" i="12"/>
  <c r="C16" i="12"/>
  <c r="B16" i="12"/>
  <c r="N15" i="12"/>
  <c r="O15" i="12" s="1"/>
  <c r="J15" i="12"/>
  <c r="I15" i="12"/>
  <c r="D15" i="12"/>
  <c r="E15" i="12" s="1"/>
  <c r="O14" i="12"/>
  <c r="N14" i="12"/>
  <c r="I14" i="12"/>
  <c r="J14" i="12" s="1"/>
  <c r="E14" i="12"/>
  <c r="D14" i="12"/>
  <c r="N13" i="12"/>
  <c r="O13" i="12" s="1"/>
  <c r="P12" i="12" s="1"/>
  <c r="J13" i="12"/>
  <c r="I13" i="12"/>
  <c r="D13" i="12"/>
  <c r="E13" i="12" s="1"/>
  <c r="O12" i="12"/>
  <c r="N12" i="12"/>
  <c r="J12" i="12"/>
  <c r="K12" i="12" s="1"/>
  <c r="I12" i="12"/>
  <c r="D12" i="12"/>
  <c r="E12" i="12" s="1"/>
  <c r="F12" i="12" s="1"/>
  <c r="O11" i="12"/>
  <c r="N11" i="12"/>
  <c r="I11" i="12"/>
  <c r="J11" i="12" s="1"/>
  <c r="E11" i="12"/>
  <c r="D11" i="12"/>
  <c r="N10" i="12"/>
  <c r="N16" i="12" s="1"/>
  <c r="O16" i="12" s="1"/>
  <c r="J10" i="12"/>
  <c r="I10" i="12"/>
  <c r="I16" i="12" s="1"/>
  <c r="J16" i="12" s="1"/>
  <c r="D10" i="12"/>
  <c r="D16" i="12" s="1"/>
  <c r="E16" i="12" s="1"/>
  <c r="O9" i="12"/>
  <c r="J9" i="12"/>
  <c r="E9" i="12"/>
  <c r="P28" i="12" l="1"/>
  <c r="D32" i="12"/>
  <c r="E32" i="12" s="1"/>
  <c r="I32" i="12"/>
  <c r="J32" i="12" s="1"/>
  <c r="N32" i="12"/>
  <c r="O32" i="12" s="1"/>
  <c r="E10" i="12"/>
  <c r="O10" i="12"/>
  <c r="E42" i="12"/>
  <c r="O42" i="12"/>
  <c r="B16" i="10"/>
  <c r="M48" i="11" l="1"/>
  <c r="L48" i="11"/>
  <c r="H48" i="11"/>
  <c r="G48" i="11"/>
  <c r="C48" i="11"/>
  <c r="B48" i="11"/>
  <c r="N47" i="11"/>
  <c r="O47" i="11" s="1"/>
  <c r="I47" i="11"/>
  <c r="J47" i="11" s="1"/>
  <c r="D47" i="11"/>
  <c r="E47" i="11" s="1"/>
  <c r="N46" i="11"/>
  <c r="O46" i="11" s="1"/>
  <c r="I46" i="11"/>
  <c r="J46" i="11" s="1"/>
  <c r="D46" i="11"/>
  <c r="E46" i="11" s="1"/>
  <c r="N45" i="11"/>
  <c r="O45" i="11" s="1"/>
  <c r="I45" i="11"/>
  <c r="J45" i="11" s="1"/>
  <c r="D45" i="11"/>
  <c r="E45" i="11" s="1"/>
  <c r="O44" i="11"/>
  <c r="P44" i="11" s="1"/>
  <c r="N44" i="11"/>
  <c r="I44" i="11"/>
  <c r="J44" i="11" s="1"/>
  <c r="E44" i="11"/>
  <c r="D44" i="11"/>
  <c r="O43" i="11"/>
  <c r="N43" i="11"/>
  <c r="J43" i="11"/>
  <c r="I43" i="11"/>
  <c r="E43" i="11"/>
  <c r="D43" i="11"/>
  <c r="O42" i="11"/>
  <c r="N42" i="11"/>
  <c r="N48" i="11" s="1"/>
  <c r="O48" i="11" s="1"/>
  <c r="J42" i="11"/>
  <c r="I42" i="11"/>
  <c r="I48" i="11" s="1"/>
  <c r="J48" i="11" s="1"/>
  <c r="E42" i="11"/>
  <c r="D42" i="11"/>
  <c r="D48" i="11" s="1"/>
  <c r="E48" i="11" s="1"/>
  <c r="O41" i="11"/>
  <c r="J41" i="11"/>
  <c r="E41" i="11"/>
  <c r="M32" i="11"/>
  <c r="L32" i="11"/>
  <c r="H32" i="11"/>
  <c r="G32" i="11"/>
  <c r="C32" i="11"/>
  <c r="B32" i="11"/>
  <c r="N31" i="11"/>
  <c r="O31" i="11" s="1"/>
  <c r="I31" i="11"/>
  <c r="J31" i="11" s="1"/>
  <c r="D31" i="11"/>
  <c r="E31" i="11" s="1"/>
  <c r="N30" i="11"/>
  <c r="O30" i="11" s="1"/>
  <c r="I30" i="11"/>
  <c r="J30" i="11" s="1"/>
  <c r="D30" i="11"/>
  <c r="E30" i="11" s="1"/>
  <c r="N29" i="11"/>
  <c r="O29" i="11" s="1"/>
  <c r="I29" i="11"/>
  <c r="J29" i="11" s="1"/>
  <c r="D29" i="11"/>
  <c r="E29" i="11" s="1"/>
  <c r="O28" i="11"/>
  <c r="N28" i="11"/>
  <c r="I28" i="11"/>
  <c r="J28" i="11" s="1"/>
  <c r="E28" i="11"/>
  <c r="D28" i="11"/>
  <c r="O27" i="11"/>
  <c r="N27" i="11"/>
  <c r="J27" i="11"/>
  <c r="I27" i="11"/>
  <c r="E27" i="11"/>
  <c r="D27" i="11"/>
  <c r="O26" i="11"/>
  <c r="N26" i="11"/>
  <c r="J26" i="11"/>
  <c r="I26" i="11"/>
  <c r="E26" i="11"/>
  <c r="D26" i="11"/>
  <c r="O25" i="11"/>
  <c r="J25" i="11"/>
  <c r="E25" i="11"/>
  <c r="M16" i="11"/>
  <c r="L16" i="11"/>
  <c r="H16" i="11"/>
  <c r="G16" i="11"/>
  <c r="C16" i="11"/>
  <c r="B16" i="11"/>
  <c r="N15" i="11"/>
  <c r="O15" i="11" s="1"/>
  <c r="I15" i="11"/>
  <c r="J15" i="11" s="1"/>
  <c r="D15" i="11"/>
  <c r="E15" i="11" s="1"/>
  <c r="N14" i="11"/>
  <c r="O14" i="11" s="1"/>
  <c r="I14" i="11"/>
  <c r="J14" i="11" s="1"/>
  <c r="D14" i="11"/>
  <c r="E14" i="11" s="1"/>
  <c r="N13" i="11"/>
  <c r="O13" i="11" s="1"/>
  <c r="I13" i="11"/>
  <c r="J13" i="11" s="1"/>
  <c r="D13" i="11"/>
  <c r="E13" i="11" s="1"/>
  <c r="O12" i="11"/>
  <c r="N12" i="11"/>
  <c r="I12" i="11"/>
  <c r="J12" i="11" s="1"/>
  <c r="K12" i="11" s="1"/>
  <c r="E12" i="11"/>
  <c r="D12" i="11"/>
  <c r="O11" i="11"/>
  <c r="N11" i="11"/>
  <c r="J11" i="11"/>
  <c r="I11" i="11"/>
  <c r="E11" i="11"/>
  <c r="D11" i="11"/>
  <c r="O10" i="11"/>
  <c r="N10" i="11"/>
  <c r="J10" i="11"/>
  <c r="I10" i="11"/>
  <c r="E10" i="11"/>
  <c r="D10" i="11"/>
  <c r="O9" i="11"/>
  <c r="J9" i="11"/>
  <c r="E9" i="11"/>
  <c r="P28" i="11" l="1"/>
  <c r="F44" i="11"/>
  <c r="P12" i="11"/>
  <c r="K44" i="11"/>
  <c r="F28" i="11"/>
  <c r="F12" i="11"/>
  <c r="K28" i="11"/>
  <c r="D16" i="11"/>
  <c r="E16" i="11" s="1"/>
  <c r="D32" i="11"/>
  <c r="E32" i="11" s="1"/>
  <c r="I32" i="11"/>
  <c r="J32" i="11" s="1"/>
  <c r="N32" i="11"/>
  <c r="O32" i="11" s="1"/>
  <c r="N16" i="11"/>
  <c r="O16" i="11" s="1"/>
  <c r="I16" i="11"/>
  <c r="J16" i="11" s="1"/>
  <c r="N31" i="10"/>
  <c r="N30" i="10"/>
  <c r="N29" i="10"/>
  <c r="N28" i="10"/>
  <c r="N27" i="10"/>
  <c r="N26" i="10"/>
  <c r="I31" i="10"/>
  <c r="I30" i="10"/>
  <c r="I29" i="10"/>
  <c r="I28" i="10"/>
  <c r="I27" i="10"/>
  <c r="I26" i="10"/>
  <c r="D31" i="10"/>
  <c r="E31" i="10" s="1"/>
  <c r="D30" i="10"/>
  <c r="E30" i="10" s="1"/>
  <c r="D29" i="10"/>
  <c r="E29" i="10" s="1"/>
  <c r="D28" i="10"/>
  <c r="E28" i="10" s="1"/>
  <c r="D27" i="10"/>
  <c r="D26" i="10"/>
  <c r="M48" i="10"/>
  <c r="L48" i="10"/>
  <c r="H48" i="10"/>
  <c r="G48" i="10"/>
  <c r="C48" i="10"/>
  <c r="B48" i="10"/>
  <c r="N47" i="10"/>
  <c r="I47" i="10"/>
  <c r="D47" i="10"/>
  <c r="E47" i="10" s="1"/>
  <c r="N46" i="10"/>
  <c r="I46" i="10"/>
  <c r="D46" i="10"/>
  <c r="E46" i="10" s="1"/>
  <c r="N45" i="10"/>
  <c r="I45" i="10"/>
  <c r="D45" i="10"/>
  <c r="E45" i="10" s="1"/>
  <c r="N44" i="10"/>
  <c r="I44" i="10"/>
  <c r="D44" i="10"/>
  <c r="E44" i="10" s="1"/>
  <c r="N43" i="10"/>
  <c r="I43" i="10"/>
  <c r="D43" i="10"/>
  <c r="N42" i="10"/>
  <c r="I42" i="10"/>
  <c r="D42" i="10"/>
  <c r="M32" i="10"/>
  <c r="L32" i="10"/>
  <c r="H32" i="10"/>
  <c r="G32" i="10"/>
  <c r="C32" i="10"/>
  <c r="B32" i="10"/>
  <c r="M16" i="10"/>
  <c r="L16" i="10"/>
  <c r="H16" i="10"/>
  <c r="G16" i="10"/>
  <c r="C16" i="10"/>
  <c r="N15" i="10"/>
  <c r="I15" i="10"/>
  <c r="D15" i="10"/>
  <c r="N14" i="10"/>
  <c r="I14" i="10"/>
  <c r="D14" i="10"/>
  <c r="N13" i="10"/>
  <c r="I13" i="10"/>
  <c r="D13" i="10"/>
  <c r="N12" i="10"/>
  <c r="I12" i="10"/>
  <c r="D12" i="10"/>
  <c r="N11" i="10"/>
  <c r="I11" i="10"/>
  <c r="D11" i="10"/>
  <c r="N10" i="10"/>
  <c r="I10" i="10"/>
  <c r="D10" i="10"/>
  <c r="P44" i="10" l="1"/>
  <c r="N48" i="10"/>
  <c r="D48" i="10"/>
  <c r="E48" i="10" s="1"/>
  <c r="N32" i="10"/>
  <c r="I32" i="10"/>
  <c r="K12" i="10"/>
  <c r="I16" i="10"/>
  <c r="D16" i="10"/>
  <c r="I48" i="10"/>
  <c r="N16" i="10"/>
  <c r="F44" i="10"/>
  <c r="K44" i="10"/>
  <c r="P12" i="10"/>
  <c r="F12" i="10"/>
  <c r="F28" i="10"/>
  <c r="D32" i="10"/>
  <c r="E32" i="10" s="1"/>
  <c r="P28" i="10"/>
  <c r="K28" i="10"/>
  <c r="O25" i="9"/>
  <c r="J25" i="9"/>
  <c r="E25" i="9"/>
  <c r="J41" i="9" l="1"/>
  <c r="O41" i="9"/>
  <c r="E41" i="9"/>
  <c r="O9" i="9" l="1"/>
  <c r="J9" i="9"/>
  <c r="E9" i="9"/>
  <c r="M48" i="9" l="1"/>
  <c r="L48" i="9"/>
  <c r="H48" i="9"/>
  <c r="G48" i="9"/>
  <c r="C48" i="9"/>
  <c r="B48" i="9"/>
  <c r="N47" i="9"/>
  <c r="O47" i="9" s="1"/>
  <c r="I47" i="9"/>
  <c r="J47" i="9" s="1"/>
  <c r="D47" i="9"/>
  <c r="E47" i="9" s="1"/>
  <c r="N46" i="9"/>
  <c r="O46" i="9" s="1"/>
  <c r="I46" i="9"/>
  <c r="J46" i="9" s="1"/>
  <c r="D46" i="9"/>
  <c r="E46" i="9" s="1"/>
  <c r="N45" i="9"/>
  <c r="O45" i="9" s="1"/>
  <c r="I45" i="9"/>
  <c r="J45" i="9" s="1"/>
  <c r="D45" i="9"/>
  <c r="E45" i="9" s="1"/>
  <c r="N44" i="9"/>
  <c r="O44" i="9" s="1"/>
  <c r="I44" i="9"/>
  <c r="J44" i="9" s="1"/>
  <c r="D44" i="9"/>
  <c r="E44" i="9" s="1"/>
  <c r="N43" i="9"/>
  <c r="O43" i="9" s="1"/>
  <c r="I43" i="9"/>
  <c r="J43" i="9" s="1"/>
  <c r="D43" i="9"/>
  <c r="E43" i="9" s="1"/>
  <c r="N42" i="9"/>
  <c r="O42" i="9" s="1"/>
  <c r="I42" i="9"/>
  <c r="J42" i="9" s="1"/>
  <c r="D42" i="9"/>
  <c r="E42" i="9" s="1"/>
  <c r="M32" i="9"/>
  <c r="L32" i="9"/>
  <c r="H32" i="9"/>
  <c r="G32" i="9"/>
  <c r="C32" i="9"/>
  <c r="B32" i="9"/>
  <c r="N31" i="9"/>
  <c r="O31" i="9" s="1"/>
  <c r="I31" i="9"/>
  <c r="J31" i="9" s="1"/>
  <c r="D31" i="9"/>
  <c r="E31" i="9" s="1"/>
  <c r="N30" i="9"/>
  <c r="O30" i="9" s="1"/>
  <c r="I30" i="9"/>
  <c r="J30" i="9" s="1"/>
  <c r="D30" i="9"/>
  <c r="E30" i="9" s="1"/>
  <c r="N29" i="9"/>
  <c r="O29" i="9" s="1"/>
  <c r="I29" i="9"/>
  <c r="J29" i="9" s="1"/>
  <c r="D29" i="9"/>
  <c r="E29" i="9" s="1"/>
  <c r="N28" i="9"/>
  <c r="I28" i="9"/>
  <c r="J28" i="9" s="1"/>
  <c r="D28" i="9"/>
  <c r="E28" i="9" s="1"/>
  <c r="N27" i="9"/>
  <c r="O27" i="9" s="1"/>
  <c r="I27" i="9"/>
  <c r="J27" i="9" s="1"/>
  <c r="D27" i="9"/>
  <c r="E27" i="9" s="1"/>
  <c r="N26" i="9"/>
  <c r="I26" i="9"/>
  <c r="J26" i="9" s="1"/>
  <c r="D26" i="9"/>
  <c r="E26" i="9" s="1"/>
  <c r="M16" i="9"/>
  <c r="L16" i="9"/>
  <c r="H16" i="9"/>
  <c r="G16" i="9"/>
  <c r="C16" i="9"/>
  <c r="B16" i="9"/>
  <c r="N15" i="9"/>
  <c r="O15" i="9" s="1"/>
  <c r="I15" i="9"/>
  <c r="J15" i="9" s="1"/>
  <c r="D15" i="9"/>
  <c r="E15" i="9" s="1"/>
  <c r="N14" i="9"/>
  <c r="O14" i="9" s="1"/>
  <c r="I14" i="9"/>
  <c r="J14" i="9" s="1"/>
  <c r="D14" i="9"/>
  <c r="E14" i="9" s="1"/>
  <c r="N13" i="9"/>
  <c r="O13" i="9" s="1"/>
  <c r="I13" i="9"/>
  <c r="J13" i="9" s="1"/>
  <c r="D13" i="9"/>
  <c r="E13" i="9" s="1"/>
  <c r="N12" i="9"/>
  <c r="O12" i="9" s="1"/>
  <c r="I12" i="9"/>
  <c r="J12" i="9" s="1"/>
  <c r="D12" i="9"/>
  <c r="N11" i="9"/>
  <c r="O11" i="9" s="1"/>
  <c r="I11" i="9"/>
  <c r="J11" i="9" s="1"/>
  <c r="D11" i="9"/>
  <c r="E11" i="9" s="1"/>
  <c r="N10" i="9"/>
  <c r="O10" i="9" s="1"/>
  <c r="I10" i="9"/>
  <c r="J10" i="9" s="1"/>
  <c r="D10" i="9"/>
  <c r="E10" i="9" s="1"/>
  <c r="F28" i="9" l="1"/>
  <c r="O28" i="9"/>
  <c r="P28" i="9" s="1"/>
  <c r="N32" i="9"/>
  <c r="O32" i="9" s="1"/>
  <c r="O26" i="9"/>
  <c r="I32" i="9"/>
  <c r="J32" i="9" s="1"/>
  <c r="D48" i="9"/>
  <c r="E48" i="9" s="1"/>
  <c r="N48" i="9"/>
  <c r="O48" i="9" s="1"/>
  <c r="F44" i="9"/>
  <c r="N16" i="9"/>
  <c r="O16" i="9" s="1"/>
  <c r="D16" i="9"/>
  <c r="E16" i="9" s="1"/>
  <c r="E12" i="9"/>
  <c r="F12" i="9" s="1"/>
  <c r="I48" i="9"/>
  <c r="J48" i="9" s="1"/>
  <c r="K28" i="9"/>
  <c r="D32" i="9"/>
  <c r="E32" i="9" s="1"/>
  <c r="I16" i="9"/>
  <c r="J16" i="9" s="1"/>
  <c r="K12" i="9"/>
  <c r="P12" i="9"/>
  <c r="K44" i="9"/>
  <c r="P44" i="9"/>
  <c r="H46" i="8"/>
  <c r="G46" i="8"/>
  <c r="C46" i="8"/>
  <c r="B46" i="8"/>
  <c r="I45" i="8"/>
  <c r="J45" i="8" s="1"/>
  <c r="D45" i="8"/>
  <c r="E45" i="8" s="1"/>
  <c r="I44" i="8"/>
  <c r="J44" i="8" s="1"/>
  <c r="D44" i="8"/>
  <c r="E44" i="8" s="1"/>
  <c r="I43" i="8"/>
  <c r="J43" i="8" s="1"/>
  <c r="D43" i="8"/>
  <c r="E43" i="8" s="1"/>
  <c r="I42" i="8"/>
  <c r="J42" i="8" s="1"/>
  <c r="K42" i="8" s="1"/>
  <c r="D42" i="8"/>
  <c r="E42" i="8" s="1"/>
  <c r="F42" i="8" s="1"/>
  <c r="I41" i="8"/>
  <c r="J41" i="8" s="1"/>
  <c r="D41" i="8"/>
  <c r="E41" i="8" s="1"/>
  <c r="I40" i="8"/>
  <c r="J40" i="8" s="1"/>
  <c r="D40" i="8"/>
  <c r="E40" i="8" s="1"/>
  <c r="J39" i="8"/>
  <c r="E39" i="8"/>
  <c r="H31" i="8"/>
  <c r="G31" i="8"/>
  <c r="C31" i="8"/>
  <c r="B31" i="8"/>
  <c r="I30" i="8"/>
  <c r="J30" i="8" s="1"/>
  <c r="D30" i="8"/>
  <c r="E30" i="8" s="1"/>
  <c r="I29" i="8"/>
  <c r="J29" i="8" s="1"/>
  <c r="D29" i="8"/>
  <c r="E29" i="8" s="1"/>
  <c r="I28" i="8"/>
  <c r="J28" i="8" s="1"/>
  <c r="D28" i="8"/>
  <c r="E28" i="8" s="1"/>
  <c r="I27" i="8"/>
  <c r="J27" i="8" s="1"/>
  <c r="K27" i="8" s="1"/>
  <c r="D27" i="8"/>
  <c r="E27" i="8" s="1"/>
  <c r="I26" i="8"/>
  <c r="J26" i="8" s="1"/>
  <c r="D26" i="8"/>
  <c r="E26" i="8" s="1"/>
  <c r="I25" i="8"/>
  <c r="J25" i="8" s="1"/>
  <c r="D25" i="8"/>
  <c r="E25" i="8" s="1"/>
  <c r="J24" i="8"/>
  <c r="E24" i="8"/>
  <c r="H16" i="8"/>
  <c r="G16" i="8"/>
  <c r="C16" i="8"/>
  <c r="B16" i="8"/>
  <c r="I15" i="8"/>
  <c r="J15" i="8" s="1"/>
  <c r="D15" i="8"/>
  <c r="E15" i="8" s="1"/>
  <c r="I14" i="8"/>
  <c r="J14" i="8" s="1"/>
  <c r="D14" i="8"/>
  <c r="E14" i="8" s="1"/>
  <c r="I13" i="8"/>
  <c r="J13" i="8" s="1"/>
  <c r="D13" i="8"/>
  <c r="E13" i="8" s="1"/>
  <c r="I12" i="8"/>
  <c r="J12" i="8" s="1"/>
  <c r="K12" i="8" s="1"/>
  <c r="D12" i="8"/>
  <c r="E12" i="8" s="1"/>
  <c r="F12" i="8" s="1"/>
  <c r="I11" i="8"/>
  <c r="J11" i="8" s="1"/>
  <c r="D11" i="8"/>
  <c r="E11" i="8" s="1"/>
  <c r="I10" i="8"/>
  <c r="J10" i="8" s="1"/>
  <c r="D10" i="8"/>
  <c r="E10" i="8" s="1"/>
  <c r="J9" i="8"/>
  <c r="E9" i="8"/>
  <c r="H45" i="7"/>
  <c r="G45" i="7"/>
  <c r="C45" i="7"/>
  <c r="B45" i="7"/>
  <c r="I44" i="7"/>
  <c r="J44" i="7" s="1"/>
  <c r="D44" i="7"/>
  <c r="E44" i="7" s="1"/>
  <c r="I43" i="7"/>
  <c r="J43" i="7" s="1"/>
  <c r="E43" i="7"/>
  <c r="D43" i="7"/>
  <c r="I42" i="7"/>
  <c r="J42" i="7" s="1"/>
  <c r="E42" i="7"/>
  <c r="D42" i="7"/>
  <c r="I41" i="7"/>
  <c r="J41" i="7" s="1"/>
  <c r="D41" i="7"/>
  <c r="E41" i="7" s="1"/>
  <c r="I40" i="7"/>
  <c r="J40" i="7" s="1"/>
  <c r="D40" i="7"/>
  <c r="E40" i="7" s="1"/>
  <c r="I39" i="7"/>
  <c r="D39" i="7"/>
  <c r="D45" i="7" s="1"/>
  <c r="E45" i="7" s="1"/>
  <c r="J38" i="7"/>
  <c r="E38" i="7"/>
  <c r="H30" i="7"/>
  <c r="G30" i="7"/>
  <c r="C30" i="7"/>
  <c r="B30" i="7"/>
  <c r="I29" i="7"/>
  <c r="J29" i="7" s="1"/>
  <c r="D29" i="7"/>
  <c r="E29" i="7" s="1"/>
  <c r="I28" i="7"/>
  <c r="J28" i="7" s="1"/>
  <c r="D28" i="7"/>
  <c r="E28" i="7" s="1"/>
  <c r="I27" i="7"/>
  <c r="J27" i="7" s="1"/>
  <c r="D27" i="7"/>
  <c r="E27" i="7" s="1"/>
  <c r="I26" i="7"/>
  <c r="J26" i="7" s="1"/>
  <c r="D26" i="7"/>
  <c r="E26" i="7" s="1"/>
  <c r="I25" i="7"/>
  <c r="J25" i="7" s="1"/>
  <c r="D25" i="7"/>
  <c r="E25" i="7" s="1"/>
  <c r="I24" i="7"/>
  <c r="I30" i="7" s="1"/>
  <c r="J30" i="7" s="1"/>
  <c r="D24" i="7"/>
  <c r="J23" i="7"/>
  <c r="E23" i="7"/>
  <c r="H15" i="7"/>
  <c r="G15" i="7"/>
  <c r="C15" i="7"/>
  <c r="B15" i="7"/>
  <c r="I14" i="7"/>
  <c r="J14" i="7" s="1"/>
  <c r="D14" i="7"/>
  <c r="E14" i="7" s="1"/>
  <c r="I13" i="7"/>
  <c r="J13" i="7" s="1"/>
  <c r="D13" i="7"/>
  <c r="E13" i="7" s="1"/>
  <c r="I12" i="7"/>
  <c r="J12" i="7" s="1"/>
  <c r="D12" i="7"/>
  <c r="E12" i="7" s="1"/>
  <c r="I11" i="7"/>
  <c r="J11" i="7" s="1"/>
  <c r="K11" i="7" s="1"/>
  <c r="D11" i="7"/>
  <c r="E11" i="7" s="1"/>
  <c r="I10" i="7"/>
  <c r="J10" i="7" s="1"/>
  <c r="D10" i="7"/>
  <c r="E10" i="7" s="1"/>
  <c r="I9" i="7"/>
  <c r="J9" i="7" s="1"/>
  <c r="D9" i="7"/>
  <c r="E9" i="7" s="1"/>
  <c r="J8" i="7"/>
  <c r="E8" i="7"/>
  <c r="J24" i="7" l="1"/>
  <c r="F41" i="7"/>
  <c r="D30" i="7"/>
  <c r="E30" i="7" s="1"/>
  <c r="I45" i="7"/>
  <c r="J45" i="7" s="1"/>
  <c r="K41" i="7"/>
  <c r="E24" i="7"/>
  <c r="F27" i="8"/>
  <c r="D16" i="8"/>
  <c r="E16" i="8" s="1"/>
  <c r="I16" i="8"/>
  <c r="J16" i="8" s="1"/>
  <c r="D31" i="8"/>
  <c r="E31" i="8" s="1"/>
  <c r="I31" i="8"/>
  <c r="J31" i="8" s="1"/>
  <c r="D46" i="8"/>
  <c r="E46" i="8" s="1"/>
  <c r="I46" i="8"/>
  <c r="J46" i="8" s="1"/>
  <c r="K26" i="7"/>
  <c r="E39" i="7"/>
  <c r="J39" i="7"/>
  <c r="F26" i="7"/>
  <c r="F11" i="7"/>
  <c r="D15" i="7"/>
  <c r="E15" i="7" s="1"/>
  <c r="I15" i="7"/>
  <c r="J15" i="7" s="1"/>
  <c r="H48" i="6" l="1"/>
  <c r="G48" i="6"/>
  <c r="C48" i="6"/>
  <c r="B48" i="6"/>
  <c r="I47" i="6"/>
  <c r="J47" i="6" s="1"/>
  <c r="D47" i="6"/>
  <c r="E47" i="6" s="1"/>
  <c r="I46" i="6"/>
  <c r="J46" i="6" s="1"/>
  <c r="D46" i="6"/>
  <c r="E46" i="6" s="1"/>
  <c r="I45" i="6"/>
  <c r="J45" i="6" s="1"/>
  <c r="D45" i="6"/>
  <c r="E45" i="6" s="1"/>
  <c r="J44" i="6"/>
  <c r="K44" i="6" s="1"/>
  <c r="I44" i="6"/>
  <c r="D44" i="6"/>
  <c r="E44" i="6" s="1"/>
  <c r="I43" i="6"/>
  <c r="J43" i="6" s="1"/>
  <c r="D43" i="6"/>
  <c r="E43" i="6" s="1"/>
  <c r="I42" i="6"/>
  <c r="J42" i="6" s="1"/>
  <c r="D42" i="6"/>
  <c r="E42" i="6" s="1"/>
  <c r="J41" i="6"/>
  <c r="E41" i="6"/>
  <c r="H33" i="6"/>
  <c r="G33" i="6"/>
  <c r="C33" i="6"/>
  <c r="B33" i="6"/>
  <c r="I32" i="6"/>
  <c r="J32" i="6" s="1"/>
  <c r="D32" i="6"/>
  <c r="E32" i="6" s="1"/>
  <c r="I31" i="6"/>
  <c r="J31" i="6" s="1"/>
  <c r="D31" i="6"/>
  <c r="E31" i="6" s="1"/>
  <c r="I30" i="6"/>
  <c r="J30" i="6" s="1"/>
  <c r="D30" i="6"/>
  <c r="E30" i="6" s="1"/>
  <c r="J29" i="6"/>
  <c r="K29" i="6" s="1"/>
  <c r="I29" i="6"/>
  <c r="D29" i="6"/>
  <c r="E29" i="6" s="1"/>
  <c r="I28" i="6"/>
  <c r="J28" i="6" s="1"/>
  <c r="D28" i="6"/>
  <c r="E28" i="6" s="1"/>
  <c r="I27" i="6"/>
  <c r="J27" i="6" s="1"/>
  <c r="D27" i="6"/>
  <c r="E27" i="6" s="1"/>
  <c r="J26" i="6"/>
  <c r="E26" i="6"/>
  <c r="H18" i="6"/>
  <c r="G18" i="6"/>
  <c r="C18" i="6"/>
  <c r="B18" i="6"/>
  <c r="I17" i="6"/>
  <c r="J17" i="6" s="1"/>
  <c r="D17" i="6"/>
  <c r="E17" i="6" s="1"/>
  <c r="I16" i="6"/>
  <c r="J16" i="6" s="1"/>
  <c r="D16" i="6"/>
  <c r="E16" i="6" s="1"/>
  <c r="I15" i="6"/>
  <c r="J15" i="6" s="1"/>
  <c r="D15" i="6"/>
  <c r="E15" i="6" s="1"/>
  <c r="I14" i="6"/>
  <c r="J14" i="6" s="1"/>
  <c r="K14" i="6" s="1"/>
  <c r="D14" i="6"/>
  <c r="E14" i="6" s="1"/>
  <c r="F14" i="6" s="1"/>
  <c r="I13" i="6"/>
  <c r="J13" i="6" s="1"/>
  <c r="D13" i="6"/>
  <c r="E13" i="6" s="1"/>
  <c r="I12" i="6"/>
  <c r="J12" i="6" s="1"/>
  <c r="D12" i="6"/>
  <c r="E12" i="6" s="1"/>
  <c r="J11" i="6"/>
  <c r="E11" i="6"/>
  <c r="F44" i="6" l="1"/>
  <c r="F29" i="6"/>
  <c r="D18" i="6"/>
  <c r="E18" i="6" s="1"/>
  <c r="D33" i="6"/>
  <c r="E33" i="6" s="1"/>
  <c r="I33" i="6"/>
  <c r="J33" i="6" s="1"/>
  <c r="D48" i="6"/>
  <c r="E48" i="6" s="1"/>
  <c r="I48" i="6"/>
  <c r="J48" i="6" s="1"/>
  <c r="I18" i="6"/>
  <c r="J18" i="6" s="1"/>
  <c r="O41" i="5" l="1"/>
  <c r="J41" i="5"/>
  <c r="E41" i="5"/>
  <c r="O26" i="5"/>
  <c r="J26" i="5"/>
  <c r="B33" i="5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D32" i="5"/>
  <c r="D31" i="5"/>
  <c r="D30" i="5"/>
  <c r="D29" i="5"/>
  <c r="D28" i="5"/>
  <c r="D27" i="5"/>
  <c r="O11" i="5" l="1"/>
  <c r="J11" i="5"/>
  <c r="E11" i="5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D13" i="5"/>
  <c r="E13" i="5" s="1"/>
  <c r="D14" i="5"/>
  <c r="E14" i="5" s="1"/>
  <c r="D15" i="5"/>
  <c r="E15" i="5" s="1"/>
  <c r="D16" i="5"/>
  <c r="E16" i="5" s="1"/>
  <c r="D17" i="5"/>
  <c r="E17" i="5" s="1"/>
  <c r="D12" i="5"/>
  <c r="E12" i="5" s="1"/>
  <c r="M48" i="5"/>
  <c r="L48" i="5"/>
  <c r="H48" i="5"/>
  <c r="G48" i="5"/>
  <c r="C48" i="5"/>
  <c r="B48" i="5"/>
  <c r="N48" i="5"/>
  <c r="O48" i="5" s="1"/>
  <c r="I48" i="5"/>
  <c r="J48" i="5" s="1"/>
  <c r="D48" i="5"/>
  <c r="E48" i="5" s="1"/>
  <c r="M33" i="5"/>
  <c r="L33" i="5"/>
  <c r="H33" i="5"/>
  <c r="G33" i="5"/>
  <c r="C33" i="5"/>
  <c r="E32" i="5"/>
  <c r="E31" i="5"/>
  <c r="E30" i="5"/>
  <c r="E29" i="5"/>
  <c r="E28" i="5"/>
  <c r="N33" i="5"/>
  <c r="O33" i="5" s="1"/>
  <c r="I33" i="5"/>
  <c r="J33" i="5" s="1"/>
  <c r="E27" i="5"/>
  <c r="D33" i="5"/>
  <c r="E33" i="5" s="1"/>
  <c r="E26" i="5"/>
  <c r="M18" i="5"/>
  <c r="L18" i="5"/>
  <c r="H18" i="5"/>
  <c r="G18" i="5"/>
  <c r="C18" i="5"/>
  <c r="B18" i="5"/>
  <c r="N18" i="5"/>
  <c r="O18" i="5" s="1"/>
  <c r="I18" i="5" l="1"/>
  <c r="J18" i="5" s="1"/>
  <c r="F14" i="5"/>
  <c r="D18" i="5"/>
  <c r="E18" i="5" s="1"/>
  <c r="F44" i="5"/>
  <c r="P29" i="5"/>
  <c r="K29" i="5"/>
  <c r="K14" i="5"/>
  <c r="P14" i="5"/>
  <c r="F29" i="5"/>
  <c r="K44" i="5"/>
  <c r="P44" i="5"/>
  <c r="O41" i="4"/>
  <c r="J41" i="4"/>
  <c r="E41" i="4"/>
  <c r="O26" i="4"/>
  <c r="J26" i="4"/>
  <c r="M48" i="4"/>
  <c r="L48" i="4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M33" i="4"/>
  <c r="L33" i="4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O11" i="4"/>
  <c r="M18" i="4"/>
  <c r="L18" i="4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J11" i="4"/>
  <c r="E11" i="4"/>
  <c r="N48" i="4" l="1"/>
  <c r="O48" i="4" s="1"/>
  <c r="N33" i="4"/>
  <c r="O33" i="4" s="1"/>
  <c r="P29" i="4"/>
  <c r="P44" i="4"/>
  <c r="N18" i="4"/>
  <c r="O18" i="4" s="1"/>
  <c r="P14" i="4"/>
  <c r="E26" i="4"/>
  <c r="I30" i="4" l="1"/>
  <c r="J30" i="4" s="1"/>
  <c r="I31" i="4"/>
  <c r="J31" i="4" s="1"/>
  <c r="I32" i="4"/>
  <c r="J32" i="4" s="1"/>
  <c r="I29" i="4"/>
  <c r="J29" i="4" s="1"/>
  <c r="I27" i="4"/>
  <c r="J27" i="4" s="1"/>
  <c r="I28" i="4"/>
  <c r="J28" i="4" s="1"/>
  <c r="D30" i="4"/>
  <c r="E30" i="4" s="1"/>
  <c r="D31" i="4"/>
  <c r="E31" i="4" s="1"/>
  <c r="D32" i="4"/>
  <c r="E32" i="4" s="1"/>
  <c r="D29" i="4"/>
  <c r="E29" i="4" s="1"/>
  <c r="D27" i="4"/>
  <c r="E27" i="4" s="1"/>
  <c r="D28" i="4"/>
  <c r="E28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H48" i="4"/>
  <c r="G48" i="4"/>
  <c r="C48" i="4"/>
  <c r="B48" i="4"/>
  <c r="H33" i="4"/>
  <c r="G33" i="4"/>
  <c r="C33" i="4"/>
  <c r="B33" i="4"/>
  <c r="H18" i="4"/>
  <c r="G18" i="4"/>
  <c r="C18" i="4"/>
  <c r="B18" i="4"/>
  <c r="I12" i="4"/>
  <c r="J12" i="4" s="1"/>
  <c r="I15" i="4"/>
  <c r="J15" i="4" s="1"/>
  <c r="I16" i="4"/>
  <c r="J16" i="4" s="1"/>
  <c r="I17" i="4"/>
  <c r="J17" i="4" s="1"/>
  <c r="I13" i="4"/>
  <c r="J13" i="4" s="1"/>
  <c r="I14" i="4"/>
  <c r="J14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K44" i="4" l="1"/>
  <c r="F44" i="4"/>
  <c r="I48" i="4"/>
  <c r="J48" i="4" s="1"/>
  <c r="D48" i="4"/>
  <c r="E48" i="4" s="1"/>
  <c r="F29" i="4"/>
  <c r="I33" i="4"/>
  <c r="J33" i="4" s="1"/>
  <c r="K29" i="4"/>
  <c r="I18" i="4"/>
  <c r="J18" i="4" s="1"/>
  <c r="K14" i="4"/>
  <c r="D33" i="4"/>
  <c r="E33" i="4" s="1"/>
  <c r="F14" i="4"/>
  <c r="D18" i="4"/>
  <c r="E18" i="4" s="1"/>
</calcChain>
</file>

<file path=xl/sharedStrings.xml><?xml version="1.0" encoding="utf-8"?>
<sst xmlns="http://schemas.openxmlformats.org/spreadsheetml/2006/main" count="819" uniqueCount="50">
  <si>
    <t>Vieglais</t>
  </si>
  <si>
    <t>Gājējs</t>
  </si>
  <si>
    <t>Velosipēds</t>
  </si>
  <si>
    <t>Mopēds</t>
  </si>
  <si>
    <t>Motocikls</t>
  </si>
  <si>
    <t>Kvadricikls</t>
  </si>
  <si>
    <t>Vadītājs</t>
  </si>
  <si>
    <t>Pasažieris</t>
  </si>
  <si>
    <t>Kopā</t>
  </si>
  <si>
    <t>%</t>
  </si>
  <si>
    <t>Gājuši bojā</t>
  </si>
  <si>
    <t>Ievainoti</t>
  </si>
  <si>
    <t>Cits transportlīdzeklis</t>
  </si>
  <si>
    <t xml:space="preserve">LATVIJĀ CIETUŠO SKAITS 2012. GADĀ PĒC DALĪBNIEKA STATUSA </t>
  </si>
  <si>
    <t>CIETUŠO SKAITS 2012. GADĀ APDZĪVOTĀS VIETĀS (RĪGA, PILSĒTAS UN APDZĪVOTĀS VIETAS)</t>
  </si>
  <si>
    <t>CIETUŠO SKAITS 2012. GADĀ UZ VALSTS AUTOCEĻIEM</t>
  </si>
  <si>
    <t>T.sk. smagi ievainoti</t>
  </si>
  <si>
    <t xml:space="preserve">LATVIJĀ CIETUŠO SKAITS 2013. GADĀ PĒC DALĪBNIEKA STATUSA </t>
  </si>
  <si>
    <t>CIETUŠO SKAITS 2013. GADĀ APDZĪVOTĀS VIETĀS (RĪGA, PILSĒTAS UN APDZĪVOTĀS VIETAS)</t>
  </si>
  <si>
    <t>CIETUŠO SKAITS 2013. GADĀ UZ VALSTS AUTOCEĻIEM</t>
  </si>
  <si>
    <t xml:space="preserve">LATVIJĀ CIETUŠO SKAITS 2011. GADĀ PĒC DALĪBNIEKA STATUSA </t>
  </si>
  <si>
    <t>CIETUŠO SKAITS 2011. GADĀ APDZĪVOTĀS VIETĀS (RĪGA, PILSĒTAS UN APDZĪVOTĀS VIETAS)</t>
  </si>
  <si>
    <t>CIETUŠO SKAITS 2011. GADĀ UZ VALSTS AUTOCEĻIEM</t>
  </si>
  <si>
    <t xml:space="preserve">LATVIJĀ CIETUŠO SKAITS 2010. GADĀ PĒC DALĪBNIEKA STATUSA </t>
  </si>
  <si>
    <t>CIETUŠO SKAITS 2010. GADĀ APDZĪVOTĀS VIETĀS (RĪGA, PILSĒTAS UN APDZĪVOTĀS VIETAS)</t>
  </si>
  <si>
    <t>CIETUŠO SKAITS 2010. GADĀ UZ VALSTS AUTOCEĻIEM</t>
  </si>
  <si>
    <t xml:space="preserve">LATVIJĀ CIETUŠO SKAITS 2009. GADĀ PĒC DALĪBNIEKA STATUSA </t>
  </si>
  <si>
    <t>CIETUŠO SKAITS 2009. GADĀ APDZĪVOTAJĀS VIETĀS (RĪGA, PILSĒTAS UN APDZĪVOTĀS VIETAS)</t>
  </si>
  <si>
    <t>CIETUŠO SKAITS 2009. GADĀ UZ VALSTS AUTOCEĻIEM</t>
  </si>
  <si>
    <t xml:space="preserve">LATVIJĀ CIETUŠO SKAITS 2014. GADĀ PĒC DALĪBNIEKA STATUSA </t>
  </si>
  <si>
    <t>CIETUŠO SKAITS 2014. GADĀ APDZĪVOTĀS VIETĀS (RĪGA, PILSĒTAS UN APDZĪVOTĀS VIETAS)</t>
  </si>
  <si>
    <t>CIETUŠO SKAITS 2014. GADĀ UZ VALSTS AUTOCEĻIEM</t>
  </si>
  <si>
    <t xml:space="preserve">LATVIJĀ CIETUŠO SKAITS 2015. GADĀ PĒC DALĪBNIEKA STATUSA </t>
  </si>
  <si>
    <t>CIETUŠO SKAITS 2015. GADĀ APDZĪVOTĀS VIETĀS (RĪGA, PILSĒTAS UN APDZĪVOTĀS VIETAS)</t>
  </si>
  <si>
    <t>CIETUŠO SKAITS 2015. GADĀ UZ VALSTS AUTOCEĻIEM</t>
  </si>
  <si>
    <t xml:space="preserve">LATVIJĀ CIETUŠO SKAITS 2016. GADĀ PĒC DALĪBNIEKA STATUSA </t>
  </si>
  <si>
    <t>CIETUŠO SKAITS 2016. GADĀ APDZĪVOTĀS VIETĀS (RĪGA, PILSĒTAS UN APDZĪVOTĀS VIETAS)</t>
  </si>
  <si>
    <t>CIETUŠO SKAITS 2016. GADĀ UZ VALSTS AUTOCEĻIEM</t>
  </si>
  <si>
    <t xml:space="preserve">LATVIJĀ CIETUŠO SKAITS 2017. GADĀ PĒC DALĪBNIEKA STATUSA </t>
  </si>
  <si>
    <t>CIETUŠO SKAITS 2017. GADĀ APDZĪVOTĀS VIETĀS (RĪGA, PILSĒTAS UN APDZĪVOTĀS VIETAS)</t>
  </si>
  <si>
    <t>CIETUŠO SKAITS 2017. GADĀ UZ VALSTS AUTOCEĻIEM</t>
  </si>
  <si>
    <t xml:space="preserve">LATVIJĀ CIETUŠO SKAITS 2018. GADĀ PĒC DALĪBNIEKA STATUSA </t>
  </si>
  <si>
    <t>CIETUŠO SKAITS 2018. GADĀ APDZĪVOTĀS VIETĀS (RĪGA, PILSĒTAS UN APDZĪVOTĀS VIETAS)</t>
  </si>
  <si>
    <t>CIETUŠO SKAITS 2018. GADĀ UZ VALSTS AUTOCEĻIEM</t>
  </si>
  <si>
    <t xml:space="preserve">LATVIJĀ CIETUŠO SKAITS 2019. GADĀ PĒC DALĪBNIEKA STATUSA </t>
  </si>
  <si>
    <t>CIETUŠO SKAITS 2019. GADĀ APDZĪVOTĀS VIETĀS (RĪGA, PILSĒTAS UN APDZĪVOTĀS VIETAS)</t>
  </si>
  <si>
    <t>CIETUŠO SKAITS 2019. GADĀ UZ VALSTS AUTOCEĻIEM</t>
  </si>
  <si>
    <t xml:space="preserve">LATVIJĀ CIETUŠO SKAITS 2020. GADĀ PĒC DALĪBNIEKA STATUSA </t>
  </si>
  <si>
    <t>CIETUŠO SKAITS 2020. GADĀ APDZĪVOTĀS VIETĀS (RĪGA, PILSĒTAS UN APDZĪVOTĀS VIETAS)</t>
  </si>
  <si>
    <t>CIETUŠO SKAITS 2020. GADĀ UZ VALSTS AUTOCEĻIEM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</si>
</sst>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0"/>
      <name val="Times New Roman"/>
      <charset val="186"/>
    </font>
    <font>
      <sz val="10"/>
      <name val="Times New Roman"/>
      <family val="1"/>
      <charset val="186"/>
    </font>
    <font>
      <sz val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theme="1"/>
      <name val="Times New Roman"/>
      <family val="1"/>
      <charset val="186"/>
    </font>
    <font>
      <b/>
      <sz val="9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164" fontId="3" fillId="0" borderId="0" xfId="1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textRotation="90"/>
    </xf>
    <xf numFmtId="0" fontId="2" fillId="0" borderId="1" xfId="0" applyFont="1" applyFill="1" applyBorder="1"/>
    <xf numFmtId="0" fontId="5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164" fontId="5" fillId="0" borderId="1" xfId="1" applyNumberFormat="1" applyFont="1" applyFill="1" applyBorder="1"/>
    <xf numFmtId="164" fontId="6" fillId="0" borderId="1" xfId="1" applyNumberFormat="1" applyFont="1" applyFill="1" applyBorder="1"/>
    <xf numFmtId="0" fontId="5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Border="1"/>
    <xf numFmtId="0" fontId="5" fillId="0" borderId="1" xfId="0" applyFont="1" applyBorder="1" applyAlignment="1">
      <alignment horizontal="center" textRotation="90"/>
    </xf>
    <xf numFmtId="0" fontId="2" fillId="0" borderId="0" xfId="0" applyFont="1"/>
    <xf numFmtId="0" fontId="2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2" fillId="3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164" fontId="6" fillId="3" borderId="1" xfId="1" applyNumberFormat="1" applyFont="1" applyFill="1" applyBorder="1"/>
    <xf numFmtId="0" fontId="9" fillId="0" borderId="1" xfId="0" applyFont="1" applyFill="1" applyBorder="1"/>
    <xf numFmtId="0" fontId="6" fillId="0" borderId="1" xfId="0" applyFont="1" applyFill="1" applyBorder="1"/>
    <xf numFmtId="164" fontId="2" fillId="0" borderId="0" xfId="0" applyNumberFormat="1" applyFont="1"/>
    <xf numFmtId="0" fontId="5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horizontal="center" textRotation="90"/>
    </xf>
    <xf numFmtId="0" fontId="0" fillId="0" borderId="1" xfId="0" applyFill="1" applyBorder="1"/>
    <xf numFmtId="0" fontId="3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164" fontId="3" fillId="0" borderId="1" xfId="1" applyNumberFormat="1" applyFont="1" applyFill="1" applyBorder="1"/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0" borderId="1" xfId="0" applyFont="1" applyBorder="1" applyAlignment="1">
      <alignment horizontal="center" textRotation="90"/>
    </xf>
    <xf numFmtId="0" fontId="1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3" borderId="1" xfId="0" applyFill="1" applyBorder="1"/>
    <xf numFmtId="0" fontId="3" fillId="3" borderId="1" xfId="0" applyFont="1" applyFill="1" applyBorder="1"/>
    <xf numFmtId="164" fontId="12" fillId="3" borderId="1" xfId="1" applyNumberFormat="1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4" fontId="12" fillId="0" borderId="1" xfId="1" applyNumberFormat="1" applyFont="1" applyFill="1" applyBorder="1"/>
    <xf numFmtId="164" fontId="11" fillId="3" borderId="1" xfId="1" applyNumberFormat="1" applyFont="1" applyFill="1" applyBorder="1"/>
    <xf numFmtId="164" fontId="11" fillId="0" borderId="1" xfId="1" applyNumberFormat="1" applyFont="1" applyFill="1" applyBorder="1"/>
    <xf numFmtId="0" fontId="3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164" fontId="0" fillId="0" borderId="0" xfId="0" applyNumberFormat="1" applyBorder="1"/>
    <xf numFmtId="0" fontId="5" fillId="0" borderId="0" xfId="0" applyFont="1"/>
    <xf numFmtId="0" fontId="6" fillId="2" borderId="4" xfId="0" applyFont="1" applyFill="1" applyBorder="1" applyAlignment="1">
      <alignment horizontal="left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164" fontId="3" fillId="0" borderId="0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5" fillId="0" borderId="0" xfId="0" applyFont="1" applyBorder="1"/>
    <xf numFmtId="164" fontId="3" fillId="0" borderId="0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16" fillId="0" borderId="0" xfId="0" applyFont="1" applyBorder="1"/>
    <xf numFmtId="0" fontId="14" fillId="0" borderId="0" xfId="0" applyFont="1" applyBorder="1"/>
    <xf numFmtId="164" fontId="3" fillId="0" borderId="0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3" fillId="0" borderId="0" xfId="0" applyFont="1" applyFill="1" applyBorder="1" applyAlignment="1">
      <alignment horizontal="left" vertical="center"/>
    </xf>
    <xf numFmtId="164" fontId="15" fillId="0" borderId="0" xfId="0" applyNumberFormat="1" applyFont="1"/>
    <xf numFmtId="0" fontId="17" fillId="0" borderId="0" xfId="0" applyFont="1"/>
    <xf numFmtId="164" fontId="3" fillId="0" borderId="0" xfId="1" applyNumberFormat="1" applyFont="1" applyBorder="1" applyAlignment="1">
      <alignment horizontal="center"/>
    </xf>
    <xf numFmtId="0" fontId="13" fillId="0" borderId="0" xfId="0" applyFont="1" applyFill="1" applyAlignment="1">
      <alignment horizontal="right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7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textRotation="90"/>
    </xf>
    <xf numFmtId="0" fontId="5" fillId="0" borderId="4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textRotation="90"/>
    </xf>
    <xf numFmtId="0" fontId="3" fillId="0" borderId="0" xfId="0" applyFont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textRotation="90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 textRotation="90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center"/>
    </xf>
    <xf numFmtId="164" fontId="12" fillId="2" borderId="4" xfId="1" applyNumberFormat="1" applyFont="1" applyFill="1" applyBorder="1" applyAlignment="1">
      <alignment horizontal="center"/>
    </xf>
    <xf numFmtId="164" fontId="12" fillId="2" borderId="7" xfId="1" applyNumberFormat="1" applyFont="1" applyFill="1" applyBorder="1" applyAlignment="1">
      <alignment horizontal="center"/>
    </xf>
    <xf numFmtId="164" fontId="3" fillId="2" borderId="4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164" fontId="12" fillId="0" borderId="3" xfId="1" applyNumberFormat="1" applyFont="1" applyFill="1" applyBorder="1" applyAlignment="1">
      <alignment horizontal="center"/>
    </xf>
    <xf numFmtId="164" fontId="12" fillId="0" borderId="2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164" fontId="12" fillId="0" borderId="4" xfId="1" applyNumberFormat="1" applyFont="1" applyBorder="1" applyAlignment="1">
      <alignment horizontal="center"/>
    </xf>
    <xf numFmtId="164" fontId="12" fillId="0" borderId="3" xfId="1" applyNumberFormat="1" applyFont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164" fontId="3" fillId="0" borderId="4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64" fontId="11" fillId="0" borderId="4" xfId="1" applyNumberFormat="1" applyFont="1" applyFill="1" applyBorder="1" applyAlignment="1">
      <alignment horizontal="center"/>
    </xf>
    <xf numFmtId="164" fontId="11" fillId="0" borderId="3" xfId="1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/>
    </xf>
    <xf numFmtId="164" fontId="11" fillId="0" borderId="3" xfId="1" applyNumberFormat="1" applyFont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/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  <col min="19" max="20" width="9.83203125" bestFit="1" customWidth="1"/>
    <col min="23" max="23" width="12.5" customWidth="1"/>
    <col min="24" max="24" width="11.5" customWidth="1"/>
    <col min="25" max="25" width="11.83203125" customWidth="1"/>
  </cols>
  <sheetData>
    <row r="1" spans="1:25" ht="13.5" customHeight="1" x14ac:dyDescent="0.2"/>
    <row r="2" spans="1:25" ht="13.5" customHeight="1" x14ac:dyDescent="0.2"/>
    <row r="3" spans="1:25" ht="13.5" customHeight="1" x14ac:dyDescent="0.2"/>
    <row r="4" spans="1:25" ht="13.5" customHeight="1" x14ac:dyDescent="0.2"/>
    <row r="5" spans="1:25" ht="13.5" customHeight="1" x14ac:dyDescent="0.2">
      <c r="A5" s="141" t="s">
        <v>47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25" ht="13.5" customHeight="1" x14ac:dyDescent="0.2"/>
    <row r="7" spans="1:25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25" ht="47.25" customHeight="1" x14ac:dyDescent="0.2">
      <c r="A8" s="11"/>
      <c r="B8" s="78" t="s">
        <v>6</v>
      </c>
      <c r="C8" s="78" t="s">
        <v>7</v>
      </c>
      <c r="D8" s="78" t="s">
        <v>8</v>
      </c>
      <c r="E8" s="129" t="s">
        <v>9</v>
      </c>
      <c r="F8" s="129"/>
      <c r="G8" s="76" t="s">
        <v>6</v>
      </c>
      <c r="H8" s="76" t="s">
        <v>7</v>
      </c>
      <c r="I8" s="76" t="s">
        <v>8</v>
      </c>
      <c r="J8" s="129" t="s">
        <v>9</v>
      </c>
      <c r="K8" s="129"/>
      <c r="L8" s="76" t="s">
        <v>6</v>
      </c>
      <c r="M8" s="76" t="s">
        <v>7</v>
      </c>
      <c r="N8" s="76" t="s">
        <v>8</v>
      </c>
      <c r="O8" s="129" t="s">
        <v>9</v>
      </c>
      <c r="P8" s="129"/>
    </row>
    <row r="9" spans="1:25" ht="13.5" customHeight="1" x14ac:dyDescent="0.2">
      <c r="A9" s="37" t="s">
        <v>1</v>
      </c>
      <c r="B9" s="133">
        <v>43</v>
      </c>
      <c r="C9" s="134"/>
      <c r="D9" s="135"/>
      <c r="E9" s="124">
        <f>B9/139</f>
        <v>0.30935251798561153</v>
      </c>
      <c r="F9" s="125"/>
      <c r="G9" s="133">
        <v>639</v>
      </c>
      <c r="H9" s="134"/>
      <c r="I9" s="135"/>
      <c r="J9" s="124">
        <f>G9/4059</f>
        <v>0.1574279379157428</v>
      </c>
      <c r="K9" s="125"/>
      <c r="L9" s="133">
        <v>85</v>
      </c>
      <c r="M9" s="134"/>
      <c r="N9" s="135"/>
      <c r="O9" s="124">
        <f>L9/491</f>
        <v>0.17311608961303462</v>
      </c>
      <c r="P9" s="125"/>
      <c r="S9" s="10"/>
      <c r="T9" s="10"/>
      <c r="U9" s="10"/>
      <c r="V9" s="10"/>
      <c r="W9" s="10"/>
      <c r="X9" s="10"/>
      <c r="Y9" s="10"/>
    </row>
    <row r="10" spans="1:25" ht="13.5" customHeight="1" x14ac:dyDescent="0.2">
      <c r="A10" s="37" t="s">
        <v>0</v>
      </c>
      <c r="B10" s="37">
        <v>42</v>
      </c>
      <c r="C10" s="37">
        <v>22</v>
      </c>
      <c r="D10" s="38">
        <f>SUM(B10:C10)</f>
        <v>64</v>
      </c>
      <c r="E10" s="124">
        <f>D10/139</f>
        <v>0.46043165467625902</v>
      </c>
      <c r="F10" s="125"/>
      <c r="G10" s="37">
        <v>1174</v>
      </c>
      <c r="H10" s="37">
        <v>819</v>
      </c>
      <c r="I10" s="38">
        <f>SUM(G10:H10)</f>
        <v>1993</v>
      </c>
      <c r="J10" s="124">
        <f>I10/4059</f>
        <v>0.49100763734910075</v>
      </c>
      <c r="K10" s="125"/>
      <c r="L10" s="37">
        <v>128</v>
      </c>
      <c r="M10" s="37">
        <v>108</v>
      </c>
      <c r="N10" s="38">
        <f>SUM(L10:M10)</f>
        <v>236</v>
      </c>
      <c r="O10" s="124">
        <f>N10/491</f>
        <v>0.48065173116089616</v>
      </c>
      <c r="P10" s="125"/>
      <c r="T10" s="97"/>
      <c r="U10" s="97"/>
      <c r="V10" s="97"/>
      <c r="W10" s="97"/>
    </row>
    <row r="11" spans="1:25" ht="13.5" customHeight="1" x14ac:dyDescent="0.2">
      <c r="A11" s="37" t="s">
        <v>12</v>
      </c>
      <c r="B11" s="37">
        <v>5</v>
      </c>
      <c r="C11" s="37">
        <v>1</v>
      </c>
      <c r="D11" s="38">
        <f t="shared" ref="D11:D15" si="0">SUM(B11:C11)</f>
        <v>6</v>
      </c>
      <c r="E11" s="124">
        <f>D11/139</f>
        <v>4.3165467625899283E-2</v>
      </c>
      <c r="F11" s="125"/>
      <c r="G11" s="37">
        <v>135</v>
      </c>
      <c r="H11" s="37">
        <v>230</v>
      </c>
      <c r="I11" s="38">
        <f t="shared" ref="I11:I15" si="1">SUM(G11:H11)</f>
        <v>365</v>
      </c>
      <c r="J11" s="124">
        <f>I11/4059</f>
        <v>8.9923626508992369E-2</v>
      </c>
      <c r="K11" s="125"/>
      <c r="L11" s="37">
        <v>21</v>
      </c>
      <c r="M11" s="37">
        <v>14</v>
      </c>
      <c r="N11" s="38">
        <f t="shared" ref="N11:N15" si="2">SUM(L11:M11)</f>
        <v>35</v>
      </c>
      <c r="O11" s="124">
        <f>N11/491</f>
        <v>7.128309572301425E-2</v>
      </c>
      <c r="P11" s="125"/>
      <c r="T11" s="113"/>
      <c r="U11" s="97"/>
      <c r="V11" s="97"/>
      <c r="W11" s="97"/>
    </row>
    <row r="12" spans="1:25" ht="13.5" customHeight="1" x14ac:dyDescent="0.2">
      <c r="A12" s="37" t="s">
        <v>2</v>
      </c>
      <c r="B12" s="37">
        <v>17</v>
      </c>
      <c r="C12" s="37">
        <v>0</v>
      </c>
      <c r="D12" s="38">
        <f t="shared" si="0"/>
        <v>17</v>
      </c>
      <c r="E12" s="18">
        <f>D12/139</f>
        <v>0.1223021582733813</v>
      </c>
      <c r="F12" s="117">
        <f>SUM(E12:E15)</f>
        <v>0.18705035971223025</v>
      </c>
      <c r="G12" s="37">
        <v>656</v>
      </c>
      <c r="H12" s="37">
        <v>8</v>
      </c>
      <c r="I12" s="38">
        <f t="shared" si="1"/>
        <v>664</v>
      </c>
      <c r="J12" s="18">
        <f>I12/4059</f>
        <v>0.16358709041635872</v>
      </c>
      <c r="K12" s="117">
        <f>SUM(J12:J15)</f>
        <v>0.2616407982261641</v>
      </c>
      <c r="L12" s="37">
        <v>55</v>
      </c>
      <c r="M12" s="37">
        <v>0</v>
      </c>
      <c r="N12" s="38">
        <f t="shared" si="2"/>
        <v>55</v>
      </c>
      <c r="O12" s="18">
        <f>N12/491</f>
        <v>0.11201629327902241</v>
      </c>
      <c r="P12" s="117">
        <f>SUM(O12:O15)</f>
        <v>0.27494908350305503</v>
      </c>
      <c r="S12" s="10"/>
      <c r="T12" s="97"/>
      <c r="U12" s="97"/>
      <c r="V12" s="97"/>
      <c r="W12" s="97"/>
    </row>
    <row r="13" spans="1:25" ht="13.5" customHeight="1" x14ac:dyDescent="0.2">
      <c r="A13" s="37" t="s">
        <v>3</v>
      </c>
      <c r="B13" s="37">
        <v>2</v>
      </c>
      <c r="C13" s="37">
        <v>0</v>
      </c>
      <c r="D13" s="38">
        <f t="shared" si="0"/>
        <v>2</v>
      </c>
      <c r="E13" s="18">
        <f t="shared" ref="E13:E15" si="3">D13/139</f>
        <v>1.4388489208633094E-2</v>
      </c>
      <c r="F13" s="118"/>
      <c r="G13" s="37">
        <v>103</v>
      </c>
      <c r="H13" s="37">
        <v>19</v>
      </c>
      <c r="I13" s="38">
        <f t="shared" si="1"/>
        <v>122</v>
      </c>
      <c r="J13" s="18">
        <f t="shared" ref="J13:J15" si="4">I13/4059</f>
        <v>3.0056664203005668E-2</v>
      </c>
      <c r="K13" s="118"/>
      <c r="L13" s="37">
        <v>14</v>
      </c>
      <c r="M13" s="37">
        <v>5</v>
      </c>
      <c r="N13" s="38">
        <f t="shared" si="2"/>
        <v>19</v>
      </c>
      <c r="O13" s="18">
        <f t="shared" ref="O13:O15" si="5">N13/491</f>
        <v>3.8696537678207736E-2</v>
      </c>
      <c r="P13" s="118"/>
      <c r="T13" s="97"/>
      <c r="U13" s="97"/>
      <c r="V13" s="97"/>
      <c r="W13" s="97"/>
    </row>
    <row r="14" spans="1:25" ht="13.5" customHeight="1" x14ac:dyDescent="0.2">
      <c r="A14" s="37" t="s">
        <v>4</v>
      </c>
      <c r="B14" s="37">
        <v>5</v>
      </c>
      <c r="C14" s="37">
        <v>1</v>
      </c>
      <c r="D14" s="38">
        <f t="shared" si="0"/>
        <v>6</v>
      </c>
      <c r="E14" s="18">
        <f t="shared" si="3"/>
        <v>4.3165467625899283E-2</v>
      </c>
      <c r="F14" s="118"/>
      <c r="G14" s="37">
        <v>218</v>
      </c>
      <c r="H14" s="37">
        <v>27</v>
      </c>
      <c r="I14" s="38">
        <f t="shared" si="1"/>
        <v>245</v>
      </c>
      <c r="J14" s="18">
        <f t="shared" si="4"/>
        <v>6.0359694506035969E-2</v>
      </c>
      <c r="K14" s="118"/>
      <c r="L14" s="37">
        <v>45</v>
      </c>
      <c r="M14" s="37">
        <v>5</v>
      </c>
      <c r="N14" s="38">
        <f t="shared" si="2"/>
        <v>50</v>
      </c>
      <c r="O14" s="18">
        <f t="shared" si="5"/>
        <v>0.10183299389002037</v>
      </c>
      <c r="P14" s="118"/>
      <c r="T14" s="97"/>
      <c r="U14" s="97"/>
      <c r="V14" s="97"/>
      <c r="W14" s="97"/>
    </row>
    <row r="15" spans="1:25" x14ac:dyDescent="0.2">
      <c r="A15" s="37" t="s">
        <v>5</v>
      </c>
      <c r="B15" s="37">
        <v>1</v>
      </c>
      <c r="C15" s="37">
        <v>0</v>
      </c>
      <c r="D15" s="38">
        <f t="shared" si="0"/>
        <v>1</v>
      </c>
      <c r="E15" s="18">
        <f t="shared" si="3"/>
        <v>7.1942446043165471E-3</v>
      </c>
      <c r="F15" s="119"/>
      <c r="G15" s="37">
        <v>21</v>
      </c>
      <c r="H15" s="37">
        <v>10</v>
      </c>
      <c r="I15" s="38">
        <f t="shared" si="1"/>
        <v>31</v>
      </c>
      <c r="J15" s="18">
        <f t="shared" si="4"/>
        <v>7.6373491007637349E-3</v>
      </c>
      <c r="K15" s="119"/>
      <c r="L15" s="37">
        <v>5</v>
      </c>
      <c r="M15" s="37">
        <v>6</v>
      </c>
      <c r="N15" s="38">
        <f t="shared" si="2"/>
        <v>11</v>
      </c>
      <c r="O15" s="18">
        <f t="shared" si="5"/>
        <v>2.2403258655804479E-2</v>
      </c>
      <c r="P15" s="119"/>
      <c r="T15" s="97"/>
      <c r="U15" s="97"/>
      <c r="V15" s="97"/>
      <c r="W15" s="97"/>
    </row>
    <row r="16" spans="1:25" x14ac:dyDescent="0.2">
      <c r="A16" s="90" t="s">
        <v>8</v>
      </c>
      <c r="B16" s="74">
        <f>SUM(B10:B15)</f>
        <v>72</v>
      </c>
      <c r="C16" s="74">
        <f>SUM(C10:C15)</f>
        <v>24</v>
      </c>
      <c r="D16" s="75">
        <f>D10+D11+B9+D12+D13+D14+D15</f>
        <v>139</v>
      </c>
      <c r="E16" s="120">
        <f>D16/139</f>
        <v>1</v>
      </c>
      <c r="F16" s="121"/>
      <c r="G16" s="74">
        <f>SUM(G10:G15)</f>
        <v>2307</v>
      </c>
      <c r="H16" s="74">
        <f>SUM(H10:H15)</f>
        <v>1113</v>
      </c>
      <c r="I16" s="75">
        <f>I10+I11+G9+I12+I13+I14+I15</f>
        <v>4059</v>
      </c>
      <c r="J16" s="120">
        <f>I16/4059</f>
        <v>1</v>
      </c>
      <c r="K16" s="122"/>
      <c r="L16" s="74">
        <f>SUM(L10:L15)</f>
        <v>268</v>
      </c>
      <c r="M16" s="74">
        <f>SUM(M10:M15)</f>
        <v>138</v>
      </c>
      <c r="N16" s="75">
        <f>N10+N11+L9+N12+N13+N14+N15</f>
        <v>491</v>
      </c>
      <c r="O16" s="120">
        <f>N16/491</f>
        <v>1</v>
      </c>
      <c r="P16" s="122"/>
      <c r="T16" s="97"/>
      <c r="U16" s="97"/>
      <c r="V16" s="97"/>
      <c r="W16" s="97"/>
    </row>
    <row r="17" spans="1:24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  <c r="T17" s="98"/>
      <c r="U17" s="106"/>
      <c r="V17" s="106"/>
      <c r="W17" s="106"/>
      <c r="X17" s="106"/>
    </row>
    <row r="18" spans="1:24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  <c r="T18" s="98"/>
      <c r="U18" s="98"/>
      <c r="V18" s="98"/>
      <c r="W18" s="98"/>
      <c r="X18" s="98"/>
    </row>
    <row r="19" spans="1:24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  <c r="T19" s="98"/>
      <c r="U19" s="98"/>
      <c r="V19" s="98"/>
      <c r="W19" s="98"/>
      <c r="X19" s="98"/>
    </row>
    <row r="20" spans="1:24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  <c r="T20" s="98"/>
      <c r="U20" s="98"/>
      <c r="V20" s="98"/>
      <c r="W20" s="98"/>
      <c r="X20" s="98"/>
    </row>
    <row r="21" spans="1:24" s="5" customFormat="1" ht="13.5" customHeight="1" x14ac:dyDescent="0.2">
      <c r="A21" s="126" t="s">
        <v>48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T21" s="98"/>
      <c r="U21" s="98"/>
      <c r="V21" s="98"/>
      <c r="W21" s="98"/>
      <c r="X21" s="98"/>
    </row>
    <row r="22" spans="1:24" s="5" customFormat="1" ht="13.5" customHeight="1" x14ac:dyDescent="0.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U22" s="98"/>
      <c r="V22" s="98"/>
      <c r="W22" s="98"/>
      <c r="X22" s="98"/>
    </row>
    <row r="23" spans="1:24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  <c r="U23" s="107"/>
      <c r="V23" s="107"/>
      <c r="W23" s="107"/>
      <c r="X23" s="107"/>
    </row>
    <row r="24" spans="1:24" s="23" customFormat="1" ht="45.75" x14ac:dyDescent="0.2">
      <c r="A24" s="22"/>
      <c r="B24" s="77" t="s">
        <v>6</v>
      </c>
      <c r="C24" s="77" t="s">
        <v>7</v>
      </c>
      <c r="D24" s="77" t="s">
        <v>8</v>
      </c>
      <c r="E24" s="140" t="s">
        <v>9</v>
      </c>
      <c r="F24" s="140"/>
      <c r="G24" s="77" t="s">
        <v>6</v>
      </c>
      <c r="H24" s="77" t="s">
        <v>7</v>
      </c>
      <c r="I24" s="77" t="s">
        <v>8</v>
      </c>
      <c r="J24" s="140" t="s">
        <v>9</v>
      </c>
      <c r="K24" s="140"/>
      <c r="L24" s="78" t="s">
        <v>6</v>
      </c>
      <c r="M24" s="78" t="s">
        <v>7</v>
      </c>
      <c r="N24" s="78" t="s">
        <v>8</v>
      </c>
      <c r="O24" s="129" t="s">
        <v>9</v>
      </c>
      <c r="P24" s="129"/>
      <c r="T24" s="96"/>
      <c r="U24" s="105"/>
      <c r="V24" s="105"/>
      <c r="W24" s="105"/>
      <c r="X24" s="107"/>
    </row>
    <row r="25" spans="1:24" s="25" customFormat="1" ht="13.5" customHeight="1" x14ac:dyDescent="0.2">
      <c r="A25" s="13" t="s">
        <v>1</v>
      </c>
      <c r="B25" s="130">
        <v>20</v>
      </c>
      <c r="C25" s="131"/>
      <c r="D25" s="132"/>
      <c r="E25" s="124">
        <f>B25/42</f>
        <v>0.47619047619047616</v>
      </c>
      <c r="F25" s="125"/>
      <c r="G25" s="130">
        <v>590</v>
      </c>
      <c r="H25" s="131"/>
      <c r="I25" s="132"/>
      <c r="J25" s="124">
        <f>G25/2623</f>
        <v>0.2249332825009531</v>
      </c>
      <c r="K25" s="125"/>
      <c r="L25" s="130">
        <v>64</v>
      </c>
      <c r="M25" s="131"/>
      <c r="N25" s="132"/>
      <c r="O25" s="124">
        <f>L25/204</f>
        <v>0.31372549019607843</v>
      </c>
      <c r="P25" s="125"/>
      <c r="S25" s="10"/>
      <c r="T25" s="10"/>
      <c r="U25" s="10"/>
      <c r="V25" s="96"/>
      <c r="W25" s="96"/>
      <c r="X25" s="96"/>
    </row>
    <row r="26" spans="1:24" s="25" customFormat="1" ht="13.5" customHeight="1" x14ac:dyDescent="0.2">
      <c r="A26" s="26" t="s">
        <v>0</v>
      </c>
      <c r="B26" s="26">
        <v>8</v>
      </c>
      <c r="C26" s="26">
        <v>7</v>
      </c>
      <c r="D26" s="14">
        <f>SUM(B26:C26)</f>
        <v>15</v>
      </c>
      <c r="E26" s="124">
        <f>D26/42</f>
        <v>0.35714285714285715</v>
      </c>
      <c r="F26" s="125"/>
      <c r="G26" s="28">
        <v>612</v>
      </c>
      <c r="H26" s="28">
        <v>366</v>
      </c>
      <c r="I26" s="38">
        <f>SUM(G26:H26)</f>
        <v>978</v>
      </c>
      <c r="J26" s="124">
        <f>I26/2623</f>
        <v>0.37285550895920699</v>
      </c>
      <c r="K26" s="125"/>
      <c r="L26" s="15">
        <v>29</v>
      </c>
      <c r="M26" s="15">
        <v>32</v>
      </c>
      <c r="N26" s="38">
        <f>SUM(L26:M26)</f>
        <v>61</v>
      </c>
      <c r="O26" s="124">
        <f>N26/204</f>
        <v>0.29901960784313725</v>
      </c>
      <c r="P26" s="125"/>
      <c r="T26" s="96"/>
      <c r="U26" s="96"/>
      <c r="V26" s="96"/>
      <c r="W26" s="96"/>
      <c r="X26" s="96"/>
    </row>
    <row r="27" spans="1:24" s="25" customFormat="1" ht="13.5" customHeight="1" x14ac:dyDescent="0.2">
      <c r="A27" s="26" t="s">
        <v>12</v>
      </c>
      <c r="B27" s="28">
        <v>0</v>
      </c>
      <c r="C27" s="28">
        <v>0</v>
      </c>
      <c r="D27" s="14">
        <f t="shared" ref="D27:D31" si="6">SUM(B27:C27)</f>
        <v>0</v>
      </c>
      <c r="E27" s="124">
        <f>D27/42</f>
        <v>0</v>
      </c>
      <c r="F27" s="125"/>
      <c r="G27" s="28">
        <v>60</v>
      </c>
      <c r="H27" s="28">
        <v>191</v>
      </c>
      <c r="I27" s="38">
        <f t="shared" ref="I27:I31" si="7">SUM(G27:H27)</f>
        <v>251</v>
      </c>
      <c r="J27" s="124">
        <f>I27/2623</f>
        <v>9.5691955775829202E-2</v>
      </c>
      <c r="K27" s="125"/>
      <c r="L27" s="15">
        <v>6</v>
      </c>
      <c r="M27" s="15">
        <v>7</v>
      </c>
      <c r="N27" s="38">
        <f t="shared" ref="N27:N31" si="8">SUM(L27:M27)</f>
        <v>13</v>
      </c>
      <c r="O27" s="124">
        <f>N27/204</f>
        <v>6.3725490196078427E-2</v>
      </c>
      <c r="P27" s="125"/>
      <c r="T27" s="96"/>
      <c r="U27" s="96"/>
      <c r="V27" s="96"/>
      <c r="W27" s="96"/>
      <c r="X27" s="96"/>
    </row>
    <row r="28" spans="1:24" s="25" customFormat="1" ht="13.5" customHeight="1" x14ac:dyDescent="0.2">
      <c r="A28" s="30" t="s">
        <v>2</v>
      </c>
      <c r="B28" s="30">
        <v>4</v>
      </c>
      <c r="C28" s="30">
        <v>0</v>
      </c>
      <c r="D28" s="14">
        <f t="shared" si="6"/>
        <v>4</v>
      </c>
      <c r="E28" s="36">
        <f>D28/42</f>
        <v>9.5238095238095233E-2</v>
      </c>
      <c r="F28" s="136">
        <f>SUM(E28:E31)</f>
        <v>0.16666666666666666</v>
      </c>
      <c r="G28" s="30">
        <v>559</v>
      </c>
      <c r="H28" s="30">
        <v>8</v>
      </c>
      <c r="I28" s="38">
        <f t="shared" si="7"/>
        <v>567</v>
      </c>
      <c r="J28" s="36">
        <f>I28/2623</f>
        <v>0.21616469691193291</v>
      </c>
      <c r="K28" s="136">
        <f>SUM(J28:J31)</f>
        <v>0.30651925276401071</v>
      </c>
      <c r="L28" s="13">
        <v>33</v>
      </c>
      <c r="M28" s="13">
        <v>0</v>
      </c>
      <c r="N28" s="38">
        <f t="shared" si="8"/>
        <v>33</v>
      </c>
      <c r="O28" s="18">
        <f>N28/204</f>
        <v>0.16176470588235295</v>
      </c>
      <c r="P28" s="117">
        <f>SUM(O28:O31)</f>
        <v>0.3235294117647059</v>
      </c>
      <c r="T28" s="96"/>
      <c r="U28" s="96"/>
      <c r="V28" s="96"/>
      <c r="W28" s="96"/>
      <c r="X28" s="96"/>
    </row>
    <row r="29" spans="1:24" s="25" customFormat="1" ht="13.5" customHeight="1" x14ac:dyDescent="0.2">
      <c r="A29" s="30" t="s">
        <v>3</v>
      </c>
      <c r="B29" s="30">
        <v>0</v>
      </c>
      <c r="C29" s="30">
        <v>0</v>
      </c>
      <c r="D29" s="14">
        <f t="shared" si="6"/>
        <v>0</v>
      </c>
      <c r="E29" s="36">
        <f t="shared" ref="E29:E31" si="9">D29/42</f>
        <v>0</v>
      </c>
      <c r="F29" s="137"/>
      <c r="G29" s="30">
        <v>67</v>
      </c>
      <c r="H29" s="30">
        <v>10</v>
      </c>
      <c r="I29" s="38">
        <f t="shared" si="7"/>
        <v>77</v>
      </c>
      <c r="J29" s="36">
        <f t="shared" ref="J29:J31" si="10">I29/2623</f>
        <v>2.9355699580632864E-2</v>
      </c>
      <c r="K29" s="137"/>
      <c r="L29" s="13">
        <v>7</v>
      </c>
      <c r="M29" s="13">
        <v>2</v>
      </c>
      <c r="N29" s="38">
        <f t="shared" si="8"/>
        <v>9</v>
      </c>
      <c r="O29" s="18">
        <f t="shared" ref="O29:O31" si="11">N29/204</f>
        <v>4.4117647058823532E-2</v>
      </c>
      <c r="P29" s="118"/>
      <c r="S29" s="96"/>
      <c r="T29" s="96"/>
      <c r="U29" s="96"/>
      <c r="V29" s="96"/>
      <c r="W29" s="96"/>
      <c r="X29" s="96"/>
    </row>
    <row r="30" spans="1:24" s="25" customFormat="1" ht="13.5" customHeight="1" x14ac:dyDescent="0.2">
      <c r="A30" s="30" t="s">
        <v>4</v>
      </c>
      <c r="B30" s="30">
        <v>3</v>
      </c>
      <c r="C30" s="30">
        <v>0</v>
      </c>
      <c r="D30" s="14">
        <f t="shared" si="6"/>
        <v>3</v>
      </c>
      <c r="E30" s="36">
        <f t="shared" si="9"/>
        <v>7.1428571428571425E-2</v>
      </c>
      <c r="F30" s="137"/>
      <c r="G30" s="30">
        <v>138</v>
      </c>
      <c r="H30" s="30">
        <v>13</v>
      </c>
      <c r="I30" s="38">
        <f t="shared" si="7"/>
        <v>151</v>
      </c>
      <c r="J30" s="36">
        <f t="shared" si="10"/>
        <v>5.7567670606176131E-2</v>
      </c>
      <c r="K30" s="137"/>
      <c r="L30" s="13">
        <v>19</v>
      </c>
      <c r="M30" s="13">
        <v>1</v>
      </c>
      <c r="N30" s="38">
        <f t="shared" si="8"/>
        <v>20</v>
      </c>
      <c r="O30" s="18">
        <f t="shared" si="11"/>
        <v>9.8039215686274508E-2</v>
      </c>
      <c r="P30" s="118"/>
      <c r="T30" s="96"/>
      <c r="U30" s="104"/>
      <c r="V30" s="104"/>
      <c r="W30" s="104"/>
      <c r="X30" s="96"/>
    </row>
    <row r="31" spans="1:24" s="25" customFormat="1" ht="13.5" customHeight="1" x14ac:dyDescent="0.2">
      <c r="A31" s="30" t="s">
        <v>5</v>
      </c>
      <c r="B31" s="30">
        <v>0</v>
      </c>
      <c r="C31" s="30">
        <v>0</v>
      </c>
      <c r="D31" s="14">
        <f t="shared" si="6"/>
        <v>0</v>
      </c>
      <c r="E31" s="36">
        <f t="shared" si="9"/>
        <v>0</v>
      </c>
      <c r="F31" s="138"/>
      <c r="G31" s="30">
        <v>5</v>
      </c>
      <c r="H31" s="30">
        <v>4</v>
      </c>
      <c r="I31" s="38">
        <f t="shared" si="7"/>
        <v>9</v>
      </c>
      <c r="J31" s="36">
        <f t="shared" si="10"/>
        <v>3.4311856652687761E-3</v>
      </c>
      <c r="K31" s="138"/>
      <c r="L31" s="13">
        <v>2</v>
      </c>
      <c r="M31" s="13">
        <v>2</v>
      </c>
      <c r="N31" s="38">
        <f t="shared" si="8"/>
        <v>4</v>
      </c>
      <c r="O31" s="18">
        <f t="shared" si="11"/>
        <v>1.9607843137254902E-2</v>
      </c>
      <c r="P31" s="119"/>
      <c r="S31" s="96"/>
      <c r="T31" s="96"/>
      <c r="U31" s="96"/>
      <c r="V31" s="96"/>
      <c r="W31" s="96"/>
      <c r="X31" s="104"/>
    </row>
    <row r="32" spans="1:24" s="25" customFormat="1" ht="13.5" customHeight="1" x14ac:dyDescent="0.2">
      <c r="A32" s="32" t="s">
        <v>8</v>
      </c>
      <c r="B32" s="33">
        <f>SUM(B26:B31)</f>
        <v>15</v>
      </c>
      <c r="C32" s="33">
        <f>SUM(C26:C31)</f>
        <v>7</v>
      </c>
      <c r="D32" s="34">
        <f>D26+D27+B25+D28+D29+D30+D31</f>
        <v>42</v>
      </c>
      <c r="E32" s="139">
        <f>D32/42</f>
        <v>1</v>
      </c>
      <c r="F32" s="139"/>
      <c r="G32" s="33">
        <f>SUM(G26:G31)</f>
        <v>1441</v>
      </c>
      <c r="H32" s="33">
        <f>SUM(H26:H31)</f>
        <v>592</v>
      </c>
      <c r="I32" s="34">
        <f>I26+I27+G25+I28+I29+I30+I31</f>
        <v>2623</v>
      </c>
      <c r="J32" s="139">
        <f>I32/2623</f>
        <v>1</v>
      </c>
      <c r="K32" s="139"/>
      <c r="L32" s="20">
        <f>SUM(L26:L31)</f>
        <v>96</v>
      </c>
      <c r="M32" s="20">
        <f>SUM(M26:M31)</f>
        <v>44</v>
      </c>
      <c r="N32" s="21">
        <f>N26+N27+L25+N28+N29+N30+N31</f>
        <v>204</v>
      </c>
      <c r="O32" s="120">
        <f>N32/204</f>
        <v>1</v>
      </c>
      <c r="P32" s="122"/>
      <c r="T32" s="98"/>
      <c r="U32" s="98"/>
      <c r="V32" s="98"/>
      <c r="W32" s="98"/>
    </row>
    <row r="33" spans="1:24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  <c r="N33" s="8"/>
      <c r="O33" s="9"/>
      <c r="P33" s="9"/>
      <c r="T33" s="98"/>
      <c r="U33" s="98"/>
      <c r="V33" s="98"/>
      <c r="W33" s="98"/>
    </row>
    <row r="34" spans="1:24" s="5" customFormat="1" ht="13.5" customHeight="1" x14ac:dyDescent="0.3">
      <c r="A34" s="1"/>
      <c r="B34" s="2"/>
      <c r="C34" s="2"/>
      <c r="D34" s="3"/>
      <c r="E34" s="115"/>
      <c r="F34" s="115"/>
      <c r="G34" s="2"/>
      <c r="H34" s="2"/>
      <c r="I34" s="3"/>
      <c r="J34" s="115"/>
      <c r="K34" s="115"/>
      <c r="L34" s="6"/>
      <c r="N34" s="8"/>
      <c r="O34" s="115"/>
      <c r="P34" s="115"/>
      <c r="T34" s="98"/>
      <c r="U34" s="98"/>
      <c r="V34" s="98"/>
      <c r="W34" s="98"/>
    </row>
    <row r="35" spans="1:24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  <c r="S35" s="88"/>
      <c r="T35" s="98"/>
      <c r="U35" s="98"/>
      <c r="V35" s="98"/>
      <c r="W35" s="98"/>
    </row>
    <row r="36" spans="1:24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  <c r="T36" s="98"/>
      <c r="U36" s="98"/>
      <c r="V36" s="98"/>
      <c r="W36" s="98"/>
    </row>
    <row r="37" spans="1:24" s="5" customFormat="1" ht="13.5" customHeight="1" x14ac:dyDescent="0.2">
      <c r="A37" s="126" t="s">
        <v>49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S37" s="98"/>
    </row>
    <row r="38" spans="1:24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24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24" s="23" customFormat="1" ht="45.75" x14ac:dyDescent="0.2">
      <c r="A40" s="35"/>
      <c r="B40" s="78" t="s">
        <v>6</v>
      </c>
      <c r="C40" s="78" t="s">
        <v>7</v>
      </c>
      <c r="D40" s="78" t="s">
        <v>8</v>
      </c>
      <c r="E40" s="129" t="s">
        <v>9</v>
      </c>
      <c r="F40" s="129"/>
      <c r="G40" s="78" t="s">
        <v>6</v>
      </c>
      <c r="H40" s="78" t="s">
        <v>7</v>
      </c>
      <c r="I40" s="78" t="s">
        <v>8</v>
      </c>
      <c r="J40" s="129" t="s">
        <v>9</v>
      </c>
      <c r="K40" s="129"/>
      <c r="L40" s="78" t="s">
        <v>6</v>
      </c>
      <c r="M40" s="78" t="s">
        <v>7</v>
      </c>
      <c r="N40" s="78" t="s">
        <v>8</v>
      </c>
      <c r="O40" s="129" t="s">
        <v>9</v>
      </c>
      <c r="P40" s="129"/>
      <c r="T40" s="114"/>
      <c r="U40" s="114"/>
      <c r="V40" s="114"/>
      <c r="W40" s="114"/>
    </row>
    <row r="41" spans="1:24" s="25" customFormat="1" ht="13.5" customHeight="1" x14ac:dyDescent="0.2">
      <c r="A41" s="13" t="s">
        <v>1</v>
      </c>
      <c r="B41" s="130">
        <v>18</v>
      </c>
      <c r="C41" s="131"/>
      <c r="D41" s="132"/>
      <c r="E41" s="124">
        <f>B41/76</f>
        <v>0.23684210526315788</v>
      </c>
      <c r="F41" s="125"/>
      <c r="G41" s="133">
        <v>27</v>
      </c>
      <c r="H41" s="134"/>
      <c r="I41" s="135"/>
      <c r="J41" s="124">
        <f>G41/1098</f>
        <v>2.4590163934426229E-2</v>
      </c>
      <c r="K41" s="125"/>
      <c r="L41" s="133">
        <v>13</v>
      </c>
      <c r="M41" s="134"/>
      <c r="N41" s="135"/>
      <c r="O41" s="124">
        <f>L41/210</f>
        <v>6.1904761904761907E-2</v>
      </c>
      <c r="P41" s="125"/>
      <c r="S41" s="10"/>
      <c r="T41" s="10"/>
      <c r="U41" s="10"/>
      <c r="V41" s="97"/>
      <c r="W41" s="97"/>
    </row>
    <row r="42" spans="1:24" s="25" customFormat="1" ht="13.5" customHeight="1" x14ac:dyDescent="0.2">
      <c r="A42" s="13" t="s">
        <v>0</v>
      </c>
      <c r="B42" s="13">
        <v>30</v>
      </c>
      <c r="C42" s="13">
        <v>12</v>
      </c>
      <c r="D42" s="14">
        <f>SUM(B42:C42)</f>
        <v>42</v>
      </c>
      <c r="E42" s="124">
        <f>D42/76</f>
        <v>0.55263157894736847</v>
      </c>
      <c r="F42" s="125"/>
      <c r="G42" s="37">
        <v>453</v>
      </c>
      <c r="H42" s="37">
        <v>375</v>
      </c>
      <c r="I42" s="14">
        <f>SUM(G42:H42)</f>
        <v>828</v>
      </c>
      <c r="J42" s="124">
        <f>I42/1098</f>
        <v>0.75409836065573765</v>
      </c>
      <c r="K42" s="125"/>
      <c r="L42" s="37">
        <v>74</v>
      </c>
      <c r="M42" s="37">
        <v>61</v>
      </c>
      <c r="N42" s="14">
        <f>SUM(L42:M42)</f>
        <v>135</v>
      </c>
      <c r="O42" s="124">
        <f>N42/210</f>
        <v>0.6428571428571429</v>
      </c>
      <c r="P42" s="125"/>
      <c r="T42"/>
      <c r="U42"/>
      <c r="V42"/>
      <c r="W42"/>
    </row>
    <row r="43" spans="1:24" s="25" customFormat="1" ht="13.5" customHeight="1" x14ac:dyDescent="0.2">
      <c r="A43" s="13" t="s">
        <v>12</v>
      </c>
      <c r="B43" s="15">
        <v>3</v>
      </c>
      <c r="C43" s="15">
        <v>1</v>
      </c>
      <c r="D43" s="14">
        <f t="shared" ref="D43:D47" si="12">SUM(B43:C43)</f>
        <v>4</v>
      </c>
      <c r="E43" s="124">
        <f>D43/76</f>
        <v>5.2631578947368418E-2</v>
      </c>
      <c r="F43" s="125"/>
      <c r="G43" s="37">
        <v>51</v>
      </c>
      <c r="H43" s="37">
        <v>25</v>
      </c>
      <c r="I43" s="14">
        <f t="shared" ref="I43:I47" si="13">SUM(G43:H43)</f>
        <v>76</v>
      </c>
      <c r="J43" s="124">
        <f>I43/1098</f>
        <v>6.9216757741347903E-2</v>
      </c>
      <c r="K43" s="125"/>
      <c r="L43" s="37">
        <v>10</v>
      </c>
      <c r="M43" s="37">
        <v>5</v>
      </c>
      <c r="N43" s="14">
        <f t="shared" ref="N43:N47" si="14">SUM(L43:M43)</f>
        <v>15</v>
      </c>
      <c r="O43" s="124">
        <f>N43/210</f>
        <v>7.1428571428571425E-2</v>
      </c>
      <c r="P43" s="125"/>
      <c r="T43"/>
      <c r="U43"/>
      <c r="V43"/>
      <c r="W43"/>
    </row>
    <row r="44" spans="1:24" s="25" customFormat="1" ht="13.5" customHeight="1" x14ac:dyDescent="0.2">
      <c r="A44" s="13" t="s">
        <v>2</v>
      </c>
      <c r="B44" s="13">
        <v>9</v>
      </c>
      <c r="C44" s="13">
        <v>0</v>
      </c>
      <c r="D44" s="14">
        <f t="shared" si="12"/>
        <v>9</v>
      </c>
      <c r="E44" s="18">
        <f>D44/76</f>
        <v>0.11842105263157894</v>
      </c>
      <c r="F44" s="117">
        <f>SUM(E44:E47)</f>
        <v>0.15789473684210525</v>
      </c>
      <c r="G44" s="37">
        <v>62</v>
      </c>
      <c r="H44" s="37">
        <v>0</v>
      </c>
      <c r="I44" s="14">
        <f t="shared" si="13"/>
        <v>62</v>
      </c>
      <c r="J44" s="18">
        <f>I44/1098</f>
        <v>5.6466302367941715E-2</v>
      </c>
      <c r="K44" s="117">
        <f>SUM(J44:J47)</f>
        <v>0.15209471766848817</v>
      </c>
      <c r="L44" s="37">
        <v>15</v>
      </c>
      <c r="M44" s="37">
        <v>0</v>
      </c>
      <c r="N44" s="14">
        <f t="shared" si="14"/>
        <v>15</v>
      </c>
      <c r="O44" s="18">
        <f>N44/210</f>
        <v>7.1428571428571425E-2</v>
      </c>
      <c r="P44" s="117">
        <f>SUM(O44:O47)</f>
        <v>0.22380952380952379</v>
      </c>
      <c r="T44"/>
      <c r="U44"/>
      <c r="V44"/>
      <c r="W44"/>
    </row>
    <row r="45" spans="1:24" s="25" customFormat="1" ht="13.5" customHeight="1" x14ac:dyDescent="0.2">
      <c r="A45" s="13" t="s">
        <v>3</v>
      </c>
      <c r="B45" s="13">
        <v>1</v>
      </c>
      <c r="C45" s="13">
        <v>0</v>
      </c>
      <c r="D45" s="14">
        <f t="shared" si="12"/>
        <v>1</v>
      </c>
      <c r="E45" s="18">
        <f t="shared" ref="E45:E47" si="15">D45/76</f>
        <v>1.3157894736842105E-2</v>
      </c>
      <c r="F45" s="118"/>
      <c r="G45" s="37">
        <v>20</v>
      </c>
      <c r="H45" s="37">
        <v>9</v>
      </c>
      <c r="I45" s="14">
        <f t="shared" si="13"/>
        <v>29</v>
      </c>
      <c r="J45" s="18">
        <f t="shared" ref="J45:J47" si="16">I45/1098</f>
        <v>2.6411657559198543E-2</v>
      </c>
      <c r="K45" s="118"/>
      <c r="L45" s="37">
        <v>3</v>
      </c>
      <c r="M45" s="37">
        <v>3</v>
      </c>
      <c r="N45" s="14">
        <f t="shared" si="14"/>
        <v>6</v>
      </c>
      <c r="O45" s="18">
        <f t="shared" ref="O45:O47" si="17">N45/210</f>
        <v>2.8571428571428571E-2</v>
      </c>
      <c r="P45" s="118"/>
      <c r="T45"/>
      <c r="U45"/>
      <c r="V45"/>
      <c r="W45"/>
      <c r="X45" s="96"/>
    </row>
    <row r="46" spans="1:24" s="25" customFormat="1" ht="13.5" customHeight="1" x14ac:dyDescent="0.2">
      <c r="A46" s="13" t="s">
        <v>4</v>
      </c>
      <c r="B46" s="13">
        <v>2</v>
      </c>
      <c r="C46" s="13">
        <v>0</v>
      </c>
      <c r="D46" s="14">
        <f t="shared" si="12"/>
        <v>2</v>
      </c>
      <c r="E46" s="18">
        <f t="shared" si="15"/>
        <v>2.6315789473684209E-2</v>
      </c>
      <c r="F46" s="118"/>
      <c r="G46" s="37">
        <v>61</v>
      </c>
      <c r="H46" s="37">
        <v>13</v>
      </c>
      <c r="I46" s="14">
        <f t="shared" si="13"/>
        <v>74</v>
      </c>
      <c r="J46" s="18">
        <f t="shared" si="16"/>
        <v>6.7395264116575593E-2</v>
      </c>
      <c r="K46" s="118"/>
      <c r="L46" s="37">
        <v>22</v>
      </c>
      <c r="M46" s="37">
        <v>4</v>
      </c>
      <c r="N46" s="14">
        <f t="shared" si="14"/>
        <v>26</v>
      </c>
      <c r="O46" s="18">
        <f t="shared" si="17"/>
        <v>0.12380952380952381</v>
      </c>
      <c r="P46" s="118"/>
      <c r="T46"/>
      <c r="U46"/>
      <c r="V46"/>
      <c r="W46"/>
      <c r="X46" s="96"/>
    </row>
    <row r="47" spans="1:24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2</v>
      </c>
      <c r="H47" s="37">
        <v>0</v>
      </c>
      <c r="I47" s="14">
        <f t="shared" si="13"/>
        <v>2</v>
      </c>
      <c r="J47" s="18">
        <f t="shared" si="16"/>
        <v>1.8214936247723133E-3</v>
      </c>
      <c r="K47" s="119"/>
      <c r="L47" s="37">
        <v>0</v>
      </c>
      <c r="M47" s="37">
        <v>0</v>
      </c>
      <c r="N47" s="14">
        <f t="shared" si="14"/>
        <v>0</v>
      </c>
      <c r="O47" s="18">
        <f t="shared" si="17"/>
        <v>0</v>
      </c>
      <c r="P47" s="119"/>
      <c r="T47"/>
      <c r="U47"/>
      <c r="V47"/>
      <c r="W47"/>
    </row>
    <row r="48" spans="1:24" s="25" customFormat="1" ht="13.5" customHeight="1" x14ac:dyDescent="0.2">
      <c r="A48" s="19" t="s">
        <v>8</v>
      </c>
      <c r="B48" s="20">
        <f>SUM(B42:B47)</f>
        <v>45</v>
      </c>
      <c r="C48" s="20">
        <f>SUM(C42:C47)</f>
        <v>13</v>
      </c>
      <c r="D48" s="21">
        <f>D42+D43+B41+D44+D45+D46+D47</f>
        <v>76</v>
      </c>
      <c r="E48" s="120">
        <f>D48/76</f>
        <v>1</v>
      </c>
      <c r="F48" s="121"/>
      <c r="G48" s="20">
        <f>SUM(G42:G47)</f>
        <v>649</v>
      </c>
      <c r="H48" s="20">
        <f>SUM(H42:H47)</f>
        <v>422</v>
      </c>
      <c r="I48" s="21">
        <f>I42+I43+G41+I44+I45+I46+I47</f>
        <v>1098</v>
      </c>
      <c r="J48" s="120">
        <f>I48/1098</f>
        <v>1</v>
      </c>
      <c r="K48" s="122"/>
      <c r="L48" s="20">
        <f>SUM(L42:L47)</f>
        <v>124</v>
      </c>
      <c r="M48" s="20">
        <f>SUM(M42:M47)</f>
        <v>73</v>
      </c>
      <c r="N48" s="21">
        <f>N42+N43+L41+N44+N45+N46+N47</f>
        <v>210</v>
      </c>
      <c r="O48" s="120">
        <f>N48/210</f>
        <v>1</v>
      </c>
      <c r="P48" s="122"/>
      <c r="T48"/>
      <c r="U48"/>
      <c r="V48"/>
      <c r="W48"/>
    </row>
    <row r="51" spans="5:23" x14ac:dyDescent="0.2">
      <c r="E51" s="123"/>
      <c r="F51" s="123"/>
      <c r="J51" s="123"/>
      <c r="K51" s="123"/>
      <c r="O51" s="123"/>
      <c r="P51" s="123"/>
    </row>
    <row r="52" spans="5:23" ht="34.5" customHeight="1" x14ac:dyDescent="0.3">
      <c r="N52" s="116">
        <v>11</v>
      </c>
      <c r="O52" s="116"/>
      <c r="P52" s="116"/>
      <c r="T52" s="97"/>
      <c r="U52" s="97"/>
      <c r="V52" s="97"/>
      <c r="W52" s="97"/>
    </row>
    <row r="53" spans="5:23" x14ac:dyDescent="0.2">
      <c r="T53" s="97"/>
      <c r="U53" s="97"/>
      <c r="V53" s="97"/>
      <c r="W53" s="97"/>
    </row>
    <row r="54" spans="5:23" x14ac:dyDescent="0.2">
      <c r="T54" s="97"/>
      <c r="U54" s="97"/>
      <c r="V54" s="97"/>
      <c r="W54" s="97"/>
    </row>
  </sheetData>
  <mergeCells count="82"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  <mergeCell ref="E10:F10"/>
    <mergeCell ref="J10:K10"/>
    <mergeCell ref="O10:P10"/>
    <mergeCell ref="E11:F11"/>
    <mergeCell ref="J11:K11"/>
    <mergeCell ref="O11:P11"/>
    <mergeCell ref="F12:F15"/>
    <mergeCell ref="K12:K15"/>
    <mergeCell ref="P12:P15"/>
    <mergeCell ref="E16:F16"/>
    <mergeCell ref="J16:K16"/>
    <mergeCell ref="O16:P16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E26:F26"/>
    <mergeCell ref="J26:K26"/>
    <mergeCell ref="O26:P26"/>
    <mergeCell ref="E27:F27"/>
    <mergeCell ref="J27:K27"/>
    <mergeCell ref="O27:P27"/>
    <mergeCell ref="F28:F31"/>
    <mergeCell ref="K28:K31"/>
    <mergeCell ref="P28:P31"/>
    <mergeCell ref="E32:F32"/>
    <mergeCell ref="J32:K32"/>
    <mergeCell ref="O32:P32"/>
    <mergeCell ref="E43:F43"/>
    <mergeCell ref="J43:K43"/>
    <mergeCell ref="O43:P43"/>
    <mergeCell ref="O41:P41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E34:F34"/>
    <mergeCell ref="J34:K34"/>
    <mergeCell ref="O34:P34"/>
    <mergeCell ref="N52:P52"/>
    <mergeCell ref="F44:F47"/>
    <mergeCell ref="K44:K47"/>
    <mergeCell ref="P44:P47"/>
    <mergeCell ref="E48:F48"/>
    <mergeCell ref="J48:K48"/>
    <mergeCell ref="O48:P48"/>
    <mergeCell ref="E51:F51"/>
    <mergeCell ref="J51:K51"/>
    <mergeCell ref="O51:P51"/>
    <mergeCell ref="E42:F42"/>
    <mergeCell ref="J42:K42"/>
    <mergeCell ref="O42:P42"/>
  </mergeCells>
  <pageMargins left="0.59055118110236227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Q47" sqref="Q47"/>
    </sheetView>
  </sheetViews>
  <sheetFormatPr defaultRowHeight="12.75" x14ac:dyDescent="0.2"/>
  <cols>
    <col min="1" max="1" width="23.33203125" customWidth="1"/>
    <col min="2" max="11" width="7.83203125" customWidth="1"/>
    <col min="12" max="12" width="2.5" customWidth="1"/>
    <col min="14" max="14" width="17.5" customWidth="1"/>
    <col min="15" max="15" width="9.33203125" customWidth="1"/>
  </cols>
  <sheetData>
    <row r="1" spans="1:11" ht="13.5" customHeight="1" x14ac:dyDescent="0.2"/>
    <row r="2" spans="1:11" ht="13.5" customHeight="1" x14ac:dyDescent="0.2"/>
    <row r="3" spans="1:11" ht="13.5" customHeight="1" x14ac:dyDescent="0.2"/>
    <row r="4" spans="1:11" ht="13.5" customHeight="1" x14ac:dyDescent="0.2"/>
    <row r="5" spans="1:11" ht="13.5" customHeight="1" x14ac:dyDescent="0.2"/>
    <row r="6" spans="1:11" ht="13.5" customHeight="1" x14ac:dyDescent="0.2"/>
    <row r="7" spans="1:11" ht="13.5" customHeight="1" x14ac:dyDescent="0.2">
      <c r="A7" s="141" t="s">
        <v>20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</row>
    <row r="8" spans="1:11" ht="13.5" customHeight="1" x14ac:dyDescent="0.2"/>
    <row r="9" spans="1:11" ht="13.5" customHeight="1" x14ac:dyDescent="0.2">
      <c r="A9" s="42"/>
      <c r="B9" s="127" t="s">
        <v>10</v>
      </c>
      <c r="C9" s="127"/>
      <c r="D9" s="127"/>
      <c r="E9" s="127"/>
      <c r="F9" s="127"/>
      <c r="G9" s="127" t="s">
        <v>11</v>
      </c>
      <c r="H9" s="127"/>
      <c r="I9" s="127"/>
      <c r="J9" s="127"/>
      <c r="K9" s="127"/>
    </row>
    <row r="10" spans="1:11" ht="48.75" x14ac:dyDescent="0.2">
      <c r="A10" s="42"/>
      <c r="B10" s="44" t="s">
        <v>6</v>
      </c>
      <c r="C10" s="44" t="s">
        <v>7</v>
      </c>
      <c r="D10" s="44" t="s">
        <v>8</v>
      </c>
      <c r="E10" s="173" t="s">
        <v>9</v>
      </c>
      <c r="F10" s="173"/>
      <c r="G10" s="44" t="s">
        <v>6</v>
      </c>
      <c r="H10" s="44" t="s">
        <v>7</v>
      </c>
      <c r="I10" s="44" t="s">
        <v>8</v>
      </c>
      <c r="J10" s="173" t="s">
        <v>9</v>
      </c>
      <c r="K10" s="173"/>
    </row>
    <row r="11" spans="1:11" x14ac:dyDescent="0.2">
      <c r="A11" s="45" t="s">
        <v>1</v>
      </c>
      <c r="B11" s="164">
        <v>60</v>
      </c>
      <c r="C11" s="165"/>
      <c r="D11" s="166"/>
      <c r="E11" s="175">
        <f>B11/179</f>
        <v>0.33519553072625696</v>
      </c>
      <c r="F11" s="176"/>
      <c r="G11" s="164">
        <v>936</v>
      </c>
      <c r="H11" s="165"/>
      <c r="I11" s="166"/>
      <c r="J11" s="175">
        <f>G11/4224</f>
        <v>0.22159090909090909</v>
      </c>
      <c r="K11" s="176"/>
    </row>
    <row r="12" spans="1:11" x14ac:dyDescent="0.2">
      <c r="A12" s="45" t="s">
        <v>0</v>
      </c>
      <c r="B12" s="45">
        <v>46</v>
      </c>
      <c r="C12" s="45">
        <v>32</v>
      </c>
      <c r="D12" s="46">
        <f t="shared" ref="D12:D17" si="0">SUM(B12:C12)</f>
        <v>78</v>
      </c>
      <c r="E12" s="175">
        <f>D12/179</f>
        <v>0.43575418994413406</v>
      </c>
      <c r="F12" s="176"/>
      <c r="G12" s="47">
        <v>1074</v>
      </c>
      <c r="H12" s="47">
        <v>958</v>
      </c>
      <c r="I12" s="48">
        <f t="shared" ref="I12:I17" si="1">SUM(G12:H12)</f>
        <v>2032</v>
      </c>
      <c r="J12" s="175">
        <f>I12/4224</f>
        <v>0.48106060606060608</v>
      </c>
      <c r="K12" s="176"/>
    </row>
    <row r="13" spans="1:11" x14ac:dyDescent="0.2">
      <c r="A13" s="45" t="s">
        <v>12</v>
      </c>
      <c r="B13" s="47">
        <v>10</v>
      </c>
      <c r="C13" s="47">
        <v>3</v>
      </c>
      <c r="D13" s="46">
        <f t="shared" si="0"/>
        <v>13</v>
      </c>
      <c r="E13" s="175">
        <f>D13/179</f>
        <v>7.2625698324022353E-2</v>
      </c>
      <c r="F13" s="176"/>
      <c r="G13" s="47">
        <v>140</v>
      </c>
      <c r="H13" s="47">
        <v>322</v>
      </c>
      <c r="I13" s="46">
        <f t="shared" si="1"/>
        <v>462</v>
      </c>
      <c r="J13" s="175">
        <f>I13/4224</f>
        <v>0.109375</v>
      </c>
      <c r="K13" s="176"/>
    </row>
    <row r="14" spans="1:11" x14ac:dyDescent="0.2">
      <c r="A14" s="45" t="s">
        <v>2</v>
      </c>
      <c r="B14" s="45">
        <v>15</v>
      </c>
      <c r="C14" s="45">
        <v>0</v>
      </c>
      <c r="D14" s="46">
        <f t="shared" si="0"/>
        <v>15</v>
      </c>
      <c r="E14" s="49">
        <f>D14/179</f>
        <v>8.3798882681564241E-2</v>
      </c>
      <c r="F14" s="177">
        <f>SUM(E14:E17)</f>
        <v>0.15642458100558659</v>
      </c>
      <c r="G14" s="45">
        <v>413</v>
      </c>
      <c r="H14" s="45">
        <v>7</v>
      </c>
      <c r="I14" s="46">
        <f t="shared" si="1"/>
        <v>420</v>
      </c>
      <c r="J14" s="49">
        <f>I14/4224</f>
        <v>9.9431818181818177E-2</v>
      </c>
      <c r="K14" s="177">
        <f>SUM(J14:J17)</f>
        <v>0.18797348484848486</v>
      </c>
    </row>
    <row r="15" spans="1:11" x14ac:dyDescent="0.2">
      <c r="A15" s="45" t="s">
        <v>3</v>
      </c>
      <c r="B15" s="45">
        <v>4</v>
      </c>
      <c r="C15" s="45">
        <v>1</v>
      </c>
      <c r="D15" s="46">
        <f t="shared" si="0"/>
        <v>5</v>
      </c>
      <c r="E15" s="49">
        <f t="shared" ref="E15:E17" si="2">D15/179</f>
        <v>2.7932960893854747E-2</v>
      </c>
      <c r="F15" s="178"/>
      <c r="G15" s="45">
        <v>123</v>
      </c>
      <c r="H15" s="45">
        <v>18</v>
      </c>
      <c r="I15" s="46">
        <f t="shared" si="1"/>
        <v>141</v>
      </c>
      <c r="J15" s="49">
        <f t="shared" ref="J15:J17" si="3">I15/4224</f>
        <v>3.3380681818181816E-2</v>
      </c>
      <c r="K15" s="178"/>
    </row>
    <row r="16" spans="1:11" x14ac:dyDescent="0.2">
      <c r="A16" s="45" t="s">
        <v>4</v>
      </c>
      <c r="B16" s="45">
        <v>5</v>
      </c>
      <c r="C16" s="45">
        <v>2</v>
      </c>
      <c r="D16" s="46">
        <f t="shared" si="0"/>
        <v>7</v>
      </c>
      <c r="E16" s="49">
        <f t="shared" si="2"/>
        <v>3.9106145251396648E-2</v>
      </c>
      <c r="F16" s="178"/>
      <c r="G16" s="45">
        <v>182</v>
      </c>
      <c r="H16" s="45">
        <v>34</v>
      </c>
      <c r="I16" s="46">
        <f t="shared" si="1"/>
        <v>216</v>
      </c>
      <c r="J16" s="49">
        <f t="shared" si="3"/>
        <v>5.113636363636364E-2</v>
      </c>
      <c r="K16" s="178"/>
    </row>
    <row r="17" spans="1:16" ht="13.5" customHeight="1" x14ac:dyDescent="0.2">
      <c r="A17" s="45" t="s">
        <v>5</v>
      </c>
      <c r="B17" s="45">
        <v>1</v>
      </c>
      <c r="C17" s="45">
        <v>0</v>
      </c>
      <c r="D17" s="46">
        <f t="shared" si="0"/>
        <v>1</v>
      </c>
      <c r="E17" s="49">
        <f t="shared" si="2"/>
        <v>5.5865921787709499E-3</v>
      </c>
      <c r="F17" s="179"/>
      <c r="G17" s="45">
        <v>15</v>
      </c>
      <c r="H17" s="45">
        <v>2</v>
      </c>
      <c r="I17" s="46">
        <f t="shared" si="1"/>
        <v>17</v>
      </c>
      <c r="J17" s="49">
        <f t="shared" si="3"/>
        <v>4.024621212121212E-3</v>
      </c>
      <c r="K17" s="179"/>
    </row>
    <row r="18" spans="1:16" ht="13.5" customHeight="1" x14ac:dyDescent="0.2">
      <c r="A18" s="50" t="s">
        <v>8</v>
      </c>
      <c r="B18" s="51">
        <f>SUM(B12:B17)</f>
        <v>81</v>
      </c>
      <c r="C18" s="51">
        <f>SUM(C12:C17)</f>
        <v>38</v>
      </c>
      <c r="D18" s="52">
        <f>D12+D13+B11+D14+D15+D16+D17</f>
        <v>179</v>
      </c>
      <c r="E18" s="157">
        <f>D18/179</f>
        <v>1</v>
      </c>
      <c r="F18" s="180"/>
      <c r="G18" s="51">
        <f>SUM(G12:G17)</f>
        <v>1947</v>
      </c>
      <c r="H18" s="51">
        <f>SUM(H12:H17)</f>
        <v>1341</v>
      </c>
      <c r="I18" s="52">
        <f>I12+I13+G11+I14+I15+I16+I17</f>
        <v>4224</v>
      </c>
      <c r="J18" s="157">
        <f>I18/4224</f>
        <v>1</v>
      </c>
      <c r="K18" s="158"/>
    </row>
    <row r="19" spans="1:16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16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</row>
    <row r="21" spans="1:16" s="5" customFormat="1" ht="13.5" customHeight="1" x14ac:dyDescent="0.2">
      <c r="A21" s="1"/>
      <c r="B21" s="2"/>
      <c r="C21" s="2"/>
      <c r="D21" s="3"/>
      <c r="E21" s="4"/>
      <c r="F21" s="4"/>
      <c r="G21" s="2"/>
      <c r="H21" s="2"/>
      <c r="I21" s="3"/>
      <c r="J21" s="4"/>
      <c r="K21" s="4"/>
    </row>
    <row r="22" spans="1:16" s="5" customFormat="1" ht="13.5" customHeight="1" x14ac:dyDescent="0.2">
      <c r="A22" s="181" t="s">
        <v>21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</row>
    <row r="23" spans="1:16" s="5" customFormat="1" ht="13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6" s="5" customFormat="1" ht="13.5" customHeight="1" x14ac:dyDescent="0.2">
      <c r="A24" s="7"/>
      <c r="B24" s="127" t="s">
        <v>10</v>
      </c>
      <c r="C24" s="127"/>
      <c r="D24" s="127"/>
      <c r="E24" s="127"/>
      <c r="F24" s="127"/>
      <c r="G24" s="127" t="s">
        <v>11</v>
      </c>
      <c r="H24" s="127"/>
      <c r="I24" s="127"/>
      <c r="J24" s="127"/>
      <c r="K24" s="127"/>
    </row>
    <row r="25" spans="1:16" s="5" customFormat="1" ht="48" customHeight="1" x14ac:dyDescent="0.2">
      <c r="A25" s="7"/>
      <c r="B25" s="53" t="s">
        <v>6</v>
      </c>
      <c r="C25" s="53" t="s">
        <v>7</v>
      </c>
      <c r="D25" s="53" t="s">
        <v>8</v>
      </c>
      <c r="E25" s="174" t="s">
        <v>9</v>
      </c>
      <c r="F25" s="174"/>
      <c r="G25" s="53" t="s">
        <v>6</v>
      </c>
      <c r="H25" s="53" t="s">
        <v>7</v>
      </c>
      <c r="I25" s="53" t="s">
        <v>8</v>
      </c>
      <c r="J25" s="174" t="s">
        <v>9</v>
      </c>
      <c r="K25" s="174"/>
    </row>
    <row r="26" spans="1:16" ht="13.5" customHeight="1" x14ac:dyDescent="0.2">
      <c r="A26" s="45" t="s">
        <v>1</v>
      </c>
      <c r="B26" s="164">
        <v>26</v>
      </c>
      <c r="C26" s="165"/>
      <c r="D26" s="166"/>
      <c r="E26" s="159">
        <f>B26/53</f>
        <v>0.49056603773584906</v>
      </c>
      <c r="F26" s="160"/>
      <c r="G26" s="164">
        <v>829</v>
      </c>
      <c r="H26" s="165"/>
      <c r="I26" s="166"/>
      <c r="J26" s="159">
        <f>G26/2607</f>
        <v>0.31799002685078637</v>
      </c>
      <c r="K26" s="160"/>
      <c r="N26" s="54"/>
      <c r="O26" s="9"/>
      <c r="P26" s="9"/>
    </row>
    <row r="27" spans="1:16" ht="13.5" customHeight="1" x14ac:dyDescent="0.2">
      <c r="A27" s="55" t="s">
        <v>0</v>
      </c>
      <c r="B27" s="55">
        <v>8</v>
      </c>
      <c r="C27" s="55">
        <v>4</v>
      </c>
      <c r="D27" s="56">
        <f t="shared" ref="D27:D32" si="4">SUM(B27:C27)</f>
        <v>12</v>
      </c>
      <c r="E27" s="167">
        <f>D27/53</f>
        <v>0.22641509433962265</v>
      </c>
      <c r="F27" s="168"/>
      <c r="G27" s="57">
        <v>543</v>
      </c>
      <c r="H27" s="57">
        <v>373</v>
      </c>
      <c r="I27" s="58">
        <f t="shared" ref="I27:I32" si="5">SUM(G27:H27)</f>
        <v>916</v>
      </c>
      <c r="J27" s="167">
        <f>I27/2607</f>
        <v>0.35136171845032604</v>
      </c>
      <c r="K27" s="168"/>
      <c r="N27" s="8"/>
      <c r="O27" s="9"/>
      <c r="P27" s="9"/>
    </row>
    <row r="28" spans="1:16" ht="13.5" customHeight="1" x14ac:dyDescent="0.2">
      <c r="A28" s="55" t="s">
        <v>12</v>
      </c>
      <c r="B28" s="57">
        <v>0</v>
      </c>
      <c r="C28" s="57">
        <v>2</v>
      </c>
      <c r="D28" s="56">
        <f t="shared" si="4"/>
        <v>2</v>
      </c>
      <c r="E28" s="167">
        <f>D28/53</f>
        <v>3.7735849056603772E-2</v>
      </c>
      <c r="F28" s="168"/>
      <c r="G28" s="57">
        <v>56</v>
      </c>
      <c r="H28" s="57">
        <v>225</v>
      </c>
      <c r="I28" s="56">
        <f t="shared" si="5"/>
        <v>281</v>
      </c>
      <c r="J28" s="167">
        <f>I28/2607</f>
        <v>0.1077867280398926</v>
      </c>
      <c r="K28" s="168"/>
      <c r="N28" s="8"/>
      <c r="O28" s="9"/>
      <c r="P28" s="9"/>
    </row>
    <row r="29" spans="1:16" ht="13.5" customHeight="1" x14ac:dyDescent="0.2">
      <c r="A29" s="59" t="s">
        <v>2</v>
      </c>
      <c r="B29" s="59">
        <v>5</v>
      </c>
      <c r="C29" s="59">
        <v>0</v>
      </c>
      <c r="D29" s="60">
        <f t="shared" si="4"/>
        <v>5</v>
      </c>
      <c r="E29" s="61">
        <f>D29/53</f>
        <v>9.4339622641509441E-2</v>
      </c>
      <c r="F29" s="169">
        <f>SUM(E29:E32)</f>
        <v>0.24528301886792456</v>
      </c>
      <c r="G29" s="59">
        <v>326</v>
      </c>
      <c r="H29" s="59">
        <v>4</v>
      </c>
      <c r="I29" s="60">
        <f t="shared" si="5"/>
        <v>330</v>
      </c>
      <c r="J29" s="61">
        <f>I29/2607</f>
        <v>0.12658227848101267</v>
      </c>
      <c r="K29" s="169">
        <f>SUM(J29:J32)</f>
        <v>0.22286152665899503</v>
      </c>
      <c r="N29" s="8"/>
      <c r="O29" s="9"/>
      <c r="P29" s="9"/>
    </row>
    <row r="30" spans="1:16" ht="13.5" customHeight="1" x14ac:dyDescent="0.2">
      <c r="A30" s="59" t="s">
        <v>3</v>
      </c>
      <c r="B30" s="59">
        <v>2</v>
      </c>
      <c r="C30" s="59">
        <v>1</v>
      </c>
      <c r="D30" s="60">
        <f t="shared" si="4"/>
        <v>3</v>
      </c>
      <c r="E30" s="61">
        <f t="shared" ref="E30:E32" si="6">D30/53</f>
        <v>5.6603773584905662E-2</v>
      </c>
      <c r="F30" s="170"/>
      <c r="G30" s="59">
        <v>91</v>
      </c>
      <c r="H30" s="59">
        <v>14</v>
      </c>
      <c r="I30" s="60">
        <f t="shared" si="5"/>
        <v>105</v>
      </c>
      <c r="J30" s="61">
        <f t="shared" ref="J30:J32" si="7">I30/2607</f>
        <v>4.0276179516685849E-2</v>
      </c>
      <c r="K30" s="170"/>
      <c r="N30" s="8"/>
      <c r="O30" s="9"/>
      <c r="P30" s="9"/>
    </row>
    <row r="31" spans="1:16" ht="13.5" customHeight="1" x14ac:dyDescent="0.2">
      <c r="A31" s="59" t="s">
        <v>4</v>
      </c>
      <c r="B31" s="59">
        <v>5</v>
      </c>
      <c r="C31" s="59">
        <v>0</v>
      </c>
      <c r="D31" s="60">
        <f t="shared" si="4"/>
        <v>5</v>
      </c>
      <c r="E31" s="61">
        <f t="shared" si="6"/>
        <v>9.4339622641509441E-2</v>
      </c>
      <c r="F31" s="170"/>
      <c r="G31" s="59">
        <v>120</v>
      </c>
      <c r="H31" s="59">
        <v>22</v>
      </c>
      <c r="I31" s="60">
        <f t="shared" si="5"/>
        <v>142</v>
      </c>
      <c r="J31" s="61">
        <f t="shared" si="7"/>
        <v>5.4468738013041813E-2</v>
      </c>
      <c r="K31" s="170"/>
      <c r="N31" s="8"/>
      <c r="O31" s="9"/>
      <c r="P31" s="9"/>
    </row>
    <row r="32" spans="1:16" ht="13.5" customHeight="1" x14ac:dyDescent="0.2">
      <c r="A32" s="59" t="s">
        <v>5</v>
      </c>
      <c r="B32" s="59">
        <v>0</v>
      </c>
      <c r="C32" s="59">
        <v>0</v>
      </c>
      <c r="D32" s="60">
        <f t="shared" si="4"/>
        <v>0</v>
      </c>
      <c r="E32" s="61">
        <f t="shared" si="6"/>
        <v>0</v>
      </c>
      <c r="F32" s="171"/>
      <c r="G32" s="59">
        <v>4</v>
      </c>
      <c r="H32" s="59">
        <v>0</v>
      </c>
      <c r="I32" s="60">
        <f t="shared" si="5"/>
        <v>4</v>
      </c>
      <c r="J32" s="61">
        <f t="shared" si="7"/>
        <v>1.5343306482546988E-3</v>
      </c>
      <c r="K32" s="171"/>
      <c r="N32" s="54"/>
      <c r="O32" s="9"/>
      <c r="P32" s="9"/>
    </row>
    <row r="33" spans="1:16" ht="13.5" customHeight="1" x14ac:dyDescent="0.3">
      <c r="A33" s="62" t="s">
        <v>8</v>
      </c>
      <c r="B33" s="63">
        <f>SUM(B27:B32)</f>
        <v>20</v>
      </c>
      <c r="C33" s="63">
        <f>SUM(C27:C32)</f>
        <v>7</v>
      </c>
      <c r="D33" s="64">
        <f>D27+D28+B26+D29+D30+D31+D32</f>
        <v>53</v>
      </c>
      <c r="E33" s="172">
        <f>D33/53</f>
        <v>1</v>
      </c>
      <c r="F33" s="172"/>
      <c r="G33" s="63">
        <f>SUM(G27:G32)</f>
        <v>1140</v>
      </c>
      <c r="H33" s="63">
        <f>SUM(H27:H32)</f>
        <v>638</v>
      </c>
      <c r="I33" s="64">
        <f>I27+I28+G26+I29+I30+I31+I32</f>
        <v>2607</v>
      </c>
      <c r="J33" s="172">
        <f>I33/2607</f>
        <v>1</v>
      </c>
      <c r="K33" s="172"/>
      <c r="L33" s="43"/>
      <c r="N33" s="8"/>
      <c r="O33" s="9"/>
      <c r="P33" s="9"/>
    </row>
    <row r="34" spans="1:16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16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</row>
    <row r="36" spans="1:16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</row>
    <row r="37" spans="1:16" s="5" customFormat="1" ht="13.5" customHeight="1" x14ac:dyDescent="0.3">
      <c r="A37" s="126" t="s">
        <v>22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6"/>
      <c r="N37" s="8"/>
      <c r="O37" s="9"/>
      <c r="P37" s="9"/>
    </row>
    <row r="38" spans="1:16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16" s="5" customFormat="1" ht="13.5" customHeight="1" x14ac:dyDescent="0.3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6"/>
      <c r="N39" s="8"/>
      <c r="O39" s="9"/>
      <c r="P39" s="9"/>
    </row>
    <row r="40" spans="1:16" s="5" customFormat="1" ht="48.75" customHeight="1" x14ac:dyDescent="0.3">
      <c r="A40" s="1"/>
      <c r="B40" s="44" t="s">
        <v>6</v>
      </c>
      <c r="C40" s="44" t="s">
        <v>7</v>
      </c>
      <c r="D40" s="44" t="s">
        <v>8</v>
      </c>
      <c r="E40" s="173" t="s">
        <v>9</v>
      </c>
      <c r="F40" s="173"/>
      <c r="G40" s="44" t="s">
        <v>6</v>
      </c>
      <c r="H40" s="44" t="s">
        <v>7</v>
      </c>
      <c r="I40" s="44" t="s">
        <v>8</v>
      </c>
      <c r="J40" s="173" t="s">
        <v>9</v>
      </c>
      <c r="K40" s="173"/>
      <c r="L40" s="6"/>
      <c r="N40" s="8"/>
      <c r="O40" s="9"/>
      <c r="P40" s="9"/>
    </row>
    <row r="41" spans="1:16" ht="13.5" customHeight="1" x14ac:dyDescent="0.2">
      <c r="A41" s="45" t="s">
        <v>1</v>
      </c>
      <c r="B41" s="164">
        <v>29</v>
      </c>
      <c r="C41" s="165"/>
      <c r="D41" s="166"/>
      <c r="E41" s="159">
        <f>B41/104</f>
        <v>0.27884615384615385</v>
      </c>
      <c r="F41" s="160"/>
      <c r="G41" s="164">
        <v>63</v>
      </c>
      <c r="H41" s="165"/>
      <c r="I41" s="166"/>
      <c r="J41" s="159">
        <f>G41/1236</f>
        <v>5.0970873786407765E-2</v>
      </c>
      <c r="K41" s="160"/>
      <c r="N41" s="8"/>
      <c r="O41" s="9"/>
      <c r="P41" s="9"/>
    </row>
    <row r="42" spans="1:16" ht="13.5" customHeight="1" x14ac:dyDescent="0.2">
      <c r="A42" s="45" t="s">
        <v>0</v>
      </c>
      <c r="B42" s="45">
        <v>32</v>
      </c>
      <c r="C42" s="45">
        <v>25</v>
      </c>
      <c r="D42" s="46">
        <f t="shared" ref="D42:D47" si="8">SUM(B42:C42)</f>
        <v>57</v>
      </c>
      <c r="E42" s="159">
        <f>D42/104</f>
        <v>0.54807692307692313</v>
      </c>
      <c r="F42" s="160"/>
      <c r="G42" s="47">
        <v>434</v>
      </c>
      <c r="H42" s="47">
        <v>484</v>
      </c>
      <c r="I42" s="48">
        <f t="shared" ref="I42:I47" si="9">SUM(G42:H42)</f>
        <v>918</v>
      </c>
      <c r="J42" s="159">
        <f>I42/1236</f>
        <v>0.74271844660194175</v>
      </c>
      <c r="K42" s="160"/>
      <c r="N42" s="8"/>
      <c r="O42" s="9"/>
      <c r="P42" s="9"/>
    </row>
    <row r="43" spans="1:16" ht="13.5" customHeight="1" x14ac:dyDescent="0.2">
      <c r="A43" s="45" t="s">
        <v>12</v>
      </c>
      <c r="B43" s="47">
        <v>6</v>
      </c>
      <c r="C43" s="47">
        <v>1</v>
      </c>
      <c r="D43" s="46">
        <f t="shared" si="8"/>
        <v>7</v>
      </c>
      <c r="E43" s="159">
        <f>D43/104</f>
        <v>6.7307692307692304E-2</v>
      </c>
      <c r="F43" s="160"/>
      <c r="G43" s="47">
        <v>72</v>
      </c>
      <c r="H43" s="47">
        <v>76</v>
      </c>
      <c r="I43" s="46">
        <f t="shared" si="9"/>
        <v>148</v>
      </c>
      <c r="J43" s="159">
        <f>I43/1236</f>
        <v>0.11974110032362459</v>
      </c>
      <c r="K43" s="160"/>
      <c r="N43" s="8"/>
      <c r="O43" s="9"/>
      <c r="P43" s="9"/>
    </row>
    <row r="44" spans="1:16" ht="13.5" customHeight="1" x14ac:dyDescent="0.2">
      <c r="A44" s="45" t="s">
        <v>2</v>
      </c>
      <c r="B44" s="45">
        <v>8</v>
      </c>
      <c r="C44" s="45">
        <v>0</v>
      </c>
      <c r="D44" s="46">
        <f t="shared" si="8"/>
        <v>8</v>
      </c>
      <c r="E44" s="65">
        <f>D44/104</f>
        <v>7.6923076923076927E-2</v>
      </c>
      <c r="F44" s="161">
        <f>SUM(E44:E47)</f>
        <v>0.10576923076923077</v>
      </c>
      <c r="G44" s="45">
        <v>47</v>
      </c>
      <c r="H44" s="45">
        <v>0</v>
      </c>
      <c r="I44" s="46">
        <f t="shared" si="9"/>
        <v>47</v>
      </c>
      <c r="J44" s="65">
        <f>I44/1236</f>
        <v>3.802588996763754E-2</v>
      </c>
      <c r="K44" s="161">
        <f>SUM(J44:J47)</f>
        <v>8.6569579288025889E-2</v>
      </c>
      <c r="N44" s="8"/>
      <c r="O44" s="9"/>
      <c r="P44" s="9"/>
    </row>
    <row r="45" spans="1:16" ht="13.5" customHeight="1" x14ac:dyDescent="0.2">
      <c r="A45" s="45" t="s">
        <v>3</v>
      </c>
      <c r="B45" s="45">
        <v>1</v>
      </c>
      <c r="C45" s="45">
        <v>0</v>
      </c>
      <c r="D45" s="46">
        <f t="shared" si="8"/>
        <v>1</v>
      </c>
      <c r="E45" s="65">
        <f t="shared" ref="E45:E47" si="10">D45/104</f>
        <v>9.6153846153846159E-3</v>
      </c>
      <c r="F45" s="162"/>
      <c r="G45" s="45">
        <v>17</v>
      </c>
      <c r="H45" s="45">
        <v>2</v>
      </c>
      <c r="I45" s="46">
        <f t="shared" si="9"/>
        <v>19</v>
      </c>
      <c r="J45" s="65">
        <f t="shared" ref="J45:J47" si="11">I45/1236</f>
        <v>1.5372168284789644E-2</v>
      </c>
      <c r="K45" s="162"/>
      <c r="N45" s="8"/>
      <c r="O45" s="9"/>
      <c r="P45" s="9"/>
    </row>
    <row r="46" spans="1:16" ht="13.5" customHeight="1" x14ac:dyDescent="0.2">
      <c r="A46" s="45" t="s">
        <v>4</v>
      </c>
      <c r="B46" s="45">
        <v>0</v>
      </c>
      <c r="C46" s="45">
        <v>2</v>
      </c>
      <c r="D46" s="46">
        <f t="shared" si="8"/>
        <v>2</v>
      </c>
      <c r="E46" s="65">
        <f t="shared" si="10"/>
        <v>1.9230769230769232E-2</v>
      </c>
      <c r="F46" s="162"/>
      <c r="G46" s="45">
        <v>29</v>
      </c>
      <c r="H46" s="45">
        <v>9</v>
      </c>
      <c r="I46" s="46">
        <f t="shared" si="9"/>
        <v>38</v>
      </c>
      <c r="J46" s="65">
        <f t="shared" si="11"/>
        <v>3.0744336569579287E-2</v>
      </c>
      <c r="K46" s="162"/>
      <c r="N46" s="8"/>
      <c r="O46" s="9"/>
      <c r="P46" s="9"/>
    </row>
    <row r="47" spans="1:16" ht="13.5" customHeight="1" x14ac:dyDescent="0.2">
      <c r="A47" s="45" t="s">
        <v>5</v>
      </c>
      <c r="B47" s="45">
        <v>0</v>
      </c>
      <c r="C47" s="45">
        <v>0</v>
      </c>
      <c r="D47" s="46">
        <f t="shared" si="8"/>
        <v>0</v>
      </c>
      <c r="E47" s="65">
        <f t="shared" si="10"/>
        <v>0</v>
      </c>
      <c r="F47" s="163"/>
      <c r="G47" s="45">
        <v>3</v>
      </c>
      <c r="H47" s="45">
        <v>0</v>
      </c>
      <c r="I47" s="46">
        <f t="shared" si="9"/>
        <v>3</v>
      </c>
      <c r="J47" s="65">
        <f t="shared" si="11"/>
        <v>2.4271844660194173E-3</v>
      </c>
      <c r="K47" s="163"/>
      <c r="N47" s="8"/>
      <c r="O47" s="9"/>
      <c r="P47" s="9"/>
    </row>
    <row r="48" spans="1:16" ht="13.5" customHeight="1" x14ac:dyDescent="0.2">
      <c r="A48" s="50" t="s">
        <v>8</v>
      </c>
      <c r="B48" s="51">
        <f>SUM(B42:B47)</f>
        <v>47</v>
      </c>
      <c r="C48" s="51">
        <f>SUM(C42:C47)</f>
        <v>28</v>
      </c>
      <c r="D48" s="52">
        <f>D42+D43+B41+D44+D45+D46+D47</f>
        <v>104</v>
      </c>
      <c r="E48" s="155">
        <f>D48/104</f>
        <v>1</v>
      </c>
      <c r="F48" s="156"/>
      <c r="G48" s="51">
        <f>SUM(G42:G47)</f>
        <v>602</v>
      </c>
      <c r="H48" s="51">
        <f>SUM(H42:H47)</f>
        <v>571</v>
      </c>
      <c r="I48" s="52">
        <f>I42+I43+G41+I44+I45+I46+I47</f>
        <v>1236</v>
      </c>
      <c r="J48" s="157">
        <f>I48/1236</f>
        <v>1</v>
      </c>
      <c r="K48" s="158"/>
    </row>
    <row r="52" spans="11:12" ht="33" customHeight="1" x14ac:dyDescent="0.3">
      <c r="K52" s="146"/>
      <c r="L52" s="146"/>
    </row>
  </sheetData>
  <mergeCells count="52">
    <mergeCell ref="B11:D11"/>
    <mergeCell ref="E11:F11"/>
    <mergeCell ref="G11:I11"/>
    <mergeCell ref="J11:K11"/>
    <mergeCell ref="A7:K7"/>
    <mergeCell ref="B9:F9"/>
    <mergeCell ref="G9:K9"/>
    <mergeCell ref="E10:F10"/>
    <mergeCell ref="J10:K10"/>
    <mergeCell ref="E25:F25"/>
    <mergeCell ref="J25:K25"/>
    <mergeCell ref="E12:F12"/>
    <mergeCell ref="J12:K12"/>
    <mergeCell ref="E13:F13"/>
    <mergeCell ref="J13:K13"/>
    <mergeCell ref="F14:F17"/>
    <mergeCell ref="K14:K17"/>
    <mergeCell ref="E18:F18"/>
    <mergeCell ref="J18:K18"/>
    <mergeCell ref="A22:K22"/>
    <mergeCell ref="B24:F24"/>
    <mergeCell ref="G24:K24"/>
    <mergeCell ref="B26:D26"/>
    <mergeCell ref="E26:F26"/>
    <mergeCell ref="G26:I26"/>
    <mergeCell ref="J26:K26"/>
    <mergeCell ref="E27:F27"/>
    <mergeCell ref="J27:K27"/>
    <mergeCell ref="B41:D41"/>
    <mergeCell ref="E41:F41"/>
    <mergeCell ref="G41:I41"/>
    <mergeCell ref="J41:K41"/>
    <mergeCell ref="E28:F28"/>
    <mergeCell ref="J28:K28"/>
    <mergeCell ref="F29:F32"/>
    <mergeCell ref="K29:K32"/>
    <mergeCell ref="E33:F33"/>
    <mergeCell ref="J33:K33"/>
    <mergeCell ref="A37:K37"/>
    <mergeCell ref="B39:F39"/>
    <mergeCell ref="G39:K39"/>
    <mergeCell ref="E40:F40"/>
    <mergeCell ref="J40:K40"/>
    <mergeCell ref="E48:F48"/>
    <mergeCell ref="J48:K48"/>
    <mergeCell ref="K52:L52"/>
    <mergeCell ref="E42:F42"/>
    <mergeCell ref="J42:K42"/>
    <mergeCell ref="E43:F43"/>
    <mergeCell ref="J43:K43"/>
    <mergeCell ref="F44:F47"/>
    <mergeCell ref="K44:K47"/>
  </mergeCells>
  <pageMargins left="0.39370078740157483" right="0" top="0" bottom="0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V20" sqref="V20"/>
    </sheetView>
  </sheetViews>
  <sheetFormatPr defaultRowHeight="12.75" x14ac:dyDescent="0.2"/>
  <cols>
    <col min="1" max="1" width="23.33203125" customWidth="1"/>
    <col min="2" max="11" width="7.83203125" customWidth="1"/>
    <col min="12" max="12" width="2.5" customWidth="1"/>
    <col min="15" max="15" width="11.33203125" customWidth="1"/>
  </cols>
  <sheetData>
    <row r="1" spans="1:18" ht="13.5" customHeight="1" x14ac:dyDescent="0.2"/>
    <row r="2" spans="1:18" ht="13.5" customHeight="1" x14ac:dyDescent="0.2"/>
    <row r="3" spans="1:18" ht="13.5" customHeight="1" x14ac:dyDescent="0.2"/>
    <row r="4" spans="1:18" ht="13.5" customHeight="1" x14ac:dyDescent="0.2">
      <c r="A4" s="141" t="s">
        <v>23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18" ht="13.5" customHeight="1" x14ac:dyDescent="0.2"/>
    <row r="6" spans="1:18" ht="13.5" customHeight="1" x14ac:dyDescent="0.2">
      <c r="A6" s="42"/>
      <c r="B6" s="127" t="s">
        <v>10</v>
      </c>
      <c r="C6" s="127"/>
      <c r="D6" s="127"/>
      <c r="E6" s="127"/>
      <c r="F6" s="127"/>
      <c r="G6" s="127" t="s">
        <v>11</v>
      </c>
      <c r="H6" s="127"/>
      <c r="I6" s="127"/>
      <c r="J6" s="127"/>
      <c r="K6" s="127"/>
    </row>
    <row r="7" spans="1:18" ht="48.75" x14ac:dyDescent="0.2">
      <c r="A7" s="42"/>
      <c r="B7" s="44" t="s">
        <v>6</v>
      </c>
      <c r="C7" s="44" t="s">
        <v>7</v>
      </c>
      <c r="D7" s="44" t="s">
        <v>8</v>
      </c>
      <c r="E7" s="173" t="s">
        <v>9</v>
      </c>
      <c r="F7" s="173"/>
      <c r="G7" s="44" t="s">
        <v>6</v>
      </c>
      <c r="H7" s="44" t="s">
        <v>7</v>
      </c>
      <c r="I7" s="44" t="s">
        <v>8</v>
      </c>
      <c r="J7" s="173" t="s">
        <v>9</v>
      </c>
      <c r="K7" s="173"/>
    </row>
    <row r="8" spans="1:18" ht="13.5" customHeight="1" x14ac:dyDescent="0.2">
      <c r="A8" s="45" t="s">
        <v>1</v>
      </c>
      <c r="B8" s="164">
        <v>79</v>
      </c>
      <c r="C8" s="165"/>
      <c r="D8" s="166"/>
      <c r="E8" s="175">
        <f>B8/218</f>
        <v>0.36238532110091742</v>
      </c>
      <c r="F8" s="176"/>
      <c r="G8" s="164">
        <v>931</v>
      </c>
      <c r="H8" s="165"/>
      <c r="I8" s="166"/>
      <c r="J8" s="175">
        <f>G8/4023</f>
        <v>0.23141933880188914</v>
      </c>
      <c r="K8" s="176"/>
    </row>
    <row r="9" spans="1:18" ht="13.5" customHeight="1" x14ac:dyDescent="0.2">
      <c r="A9" s="45" t="s">
        <v>0</v>
      </c>
      <c r="B9" s="45">
        <v>51</v>
      </c>
      <c r="C9" s="45">
        <v>40</v>
      </c>
      <c r="D9" s="46">
        <f t="shared" ref="D9:D14" si="0">SUM(B9:C9)</f>
        <v>91</v>
      </c>
      <c r="E9" s="175">
        <f t="shared" ref="E9:E15" si="1">D9/218</f>
        <v>0.41743119266055045</v>
      </c>
      <c r="F9" s="176"/>
      <c r="G9" s="47">
        <v>1016</v>
      </c>
      <c r="H9" s="47">
        <v>1017</v>
      </c>
      <c r="I9" s="48">
        <f t="shared" ref="I9:I14" si="2">SUM(G9:H9)</f>
        <v>2033</v>
      </c>
      <c r="J9" s="175">
        <f t="shared" ref="J9:J15" si="3">I9/4023</f>
        <v>0.50534427044494157</v>
      </c>
      <c r="K9" s="176"/>
    </row>
    <row r="10" spans="1:18" ht="13.5" customHeight="1" x14ac:dyDescent="0.2">
      <c r="A10" s="45" t="s">
        <v>12</v>
      </c>
      <c r="B10" s="47">
        <v>7</v>
      </c>
      <c r="C10" s="47">
        <v>6</v>
      </c>
      <c r="D10" s="46">
        <f t="shared" si="0"/>
        <v>13</v>
      </c>
      <c r="E10" s="175">
        <f t="shared" si="1"/>
        <v>5.9633027522935783E-2</v>
      </c>
      <c r="F10" s="176"/>
      <c r="G10" s="47">
        <v>117</v>
      </c>
      <c r="H10" s="47">
        <v>259</v>
      </c>
      <c r="I10" s="46">
        <f t="shared" si="2"/>
        <v>376</v>
      </c>
      <c r="J10" s="175">
        <f t="shared" si="3"/>
        <v>9.3462590106885415E-2</v>
      </c>
      <c r="K10" s="176"/>
    </row>
    <row r="11" spans="1:18" ht="13.5" customHeight="1" x14ac:dyDescent="0.2">
      <c r="A11" s="45" t="s">
        <v>2</v>
      </c>
      <c r="B11" s="45">
        <v>13</v>
      </c>
      <c r="C11" s="45">
        <v>0</v>
      </c>
      <c r="D11" s="46">
        <f t="shared" si="0"/>
        <v>13</v>
      </c>
      <c r="E11" s="49">
        <f t="shared" si="1"/>
        <v>5.9633027522935783E-2</v>
      </c>
      <c r="F11" s="177">
        <f>SUM(E11:E14)</f>
        <v>0.16055045871559634</v>
      </c>
      <c r="G11" s="45">
        <v>326</v>
      </c>
      <c r="H11" s="45">
        <v>2</v>
      </c>
      <c r="I11" s="46">
        <f t="shared" si="2"/>
        <v>328</v>
      </c>
      <c r="J11" s="49">
        <f t="shared" si="3"/>
        <v>8.1531195625155359E-2</v>
      </c>
      <c r="K11" s="177">
        <f>SUM(J11:J14)</f>
        <v>0.16977380064628386</v>
      </c>
    </row>
    <row r="12" spans="1:18" ht="13.5" customHeight="1" x14ac:dyDescent="0.2">
      <c r="A12" s="45" t="s">
        <v>3</v>
      </c>
      <c r="B12" s="45">
        <v>4</v>
      </c>
      <c r="C12" s="45">
        <v>0</v>
      </c>
      <c r="D12" s="46">
        <f t="shared" si="0"/>
        <v>4</v>
      </c>
      <c r="E12" s="49">
        <f t="shared" si="1"/>
        <v>1.834862385321101E-2</v>
      </c>
      <c r="F12" s="178"/>
      <c r="G12" s="45">
        <v>112</v>
      </c>
      <c r="H12" s="45">
        <v>27</v>
      </c>
      <c r="I12" s="46">
        <f t="shared" si="2"/>
        <v>139</v>
      </c>
      <c r="J12" s="49">
        <f t="shared" si="3"/>
        <v>3.4551329853343277E-2</v>
      </c>
      <c r="K12" s="178"/>
    </row>
    <row r="13" spans="1:18" ht="13.5" customHeight="1" x14ac:dyDescent="0.2">
      <c r="A13" s="45" t="s">
        <v>4</v>
      </c>
      <c r="B13" s="45">
        <v>15</v>
      </c>
      <c r="C13" s="45">
        <v>2</v>
      </c>
      <c r="D13" s="46">
        <f t="shared" si="0"/>
        <v>17</v>
      </c>
      <c r="E13" s="49">
        <f t="shared" si="1"/>
        <v>7.7981651376146793E-2</v>
      </c>
      <c r="F13" s="178"/>
      <c r="G13" s="45">
        <v>165</v>
      </c>
      <c r="H13" s="45">
        <v>35</v>
      </c>
      <c r="I13" s="46">
        <f t="shared" si="2"/>
        <v>200</v>
      </c>
      <c r="J13" s="49">
        <f t="shared" si="3"/>
        <v>4.9714143673875215E-2</v>
      </c>
      <c r="K13" s="178"/>
    </row>
    <row r="14" spans="1:18" ht="13.5" customHeight="1" x14ac:dyDescent="0.2">
      <c r="A14" s="45" t="s">
        <v>5</v>
      </c>
      <c r="B14" s="45">
        <v>1</v>
      </c>
      <c r="C14" s="45">
        <v>0</v>
      </c>
      <c r="D14" s="46">
        <f t="shared" si="0"/>
        <v>1</v>
      </c>
      <c r="E14" s="49">
        <f t="shared" si="1"/>
        <v>4.5871559633027525E-3</v>
      </c>
      <c r="F14" s="179"/>
      <c r="G14" s="45">
        <v>11</v>
      </c>
      <c r="H14" s="45">
        <v>5</v>
      </c>
      <c r="I14" s="46">
        <f t="shared" si="2"/>
        <v>16</v>
      </c>
      <c r="J14" s="49">
        <f t="shared" si="3"/>
        <v>3.9771314939100171E-3</v>
      </c>
      <c r="K14" s="179"/>
    </row>
    <row r="15" spans="1:18" ht="13.5" customHeight="1" x14ac:dyDescent="0.2">
      <c r="A15" s="50" t="s">
        <v>8</v>
      </c>
      <c r="B15" s="51">
        <f>SUM(B9:B14)</f>
        <v>91</v>
      </c>
      <c r="C15" s="51">
        <f>SUM(C9:C14)</f>
        <v>48</v>
      </c>
      <c r="D15" s="52">
        <f>D9+D10+B8+D11+D12+D13+D14</f>
        <v>218</v>
      </c>
      <c r="E15" s="157">
        <f t="shared" si="1"/>
        <v>1</v>
      </c>
      <c r="F15" s="180"/>
      <c r="G15" s="51">
        <f>SUM(G9:G14)</f>
        <v>1747</v>
      </c>
      <c r="H15" s="51">
        <f>SUM(H9:H14)</f>
        <v>1345</v>
      </c>
      <c r="I15" s="52">
        <f>I9+I10+G8+I11+I12+I13+I14</f>
        <v>4023</v>
      </c>
      <c r="J15" s="157">
        <f t="shared" si="3"/>
        <v>1</v>
      </c>
      <c r="K15" s="158"/>
    </row>
    <row r="16" spans="1:18" s="5" customFormat="1" ht="13.5" customHeight="1" x14ac:dyDescent="0.2">
      <c r="A16" s="1"/>
      <c r="B16" s="2"/>
      <c r="C16" s="2"/>
      <c r="D16" s="3"/>
      <c r="E16" s="4"/>
      <c r="F16" s="4"/>
      <c r="G16" s="2"/>
      <c r="H16" s="2"/>
      <c r="I16" s="3"/>
      <c r="J16" s="4"/>
      <c r="K16" s="4"/>
      <c r="O16"/>
      <c r="P16"/>
      <c r="Q16"/>
      <c r="R16"/>
    </row>
    <row r="17" spans="1:18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  <c r="O17"/>
      <c r="P17"/>
      <c r="Q17"/>
      <c r="R17"/>
    </row>
    <row r="18" spans="1:18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</row>
    <row r="19" spans="1:18" s="5" customFormat="1" ht="13.5" customHeight="1" x14ac:dyDescent="0.2">
      <c r="A19" s="181" t="s">
        <v>24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</row>
    <row r="20" spans="1:18" s="5" customFormat="1" ht="13.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8" s="5" customFormat="1" ht="13.5" customHeight="1" x14ac:dyDescent="0.2">
      <c r="A21" s="7"/>
      <c r="B21" s="127" t="s">
        <v>10</v>
      </c>
      <c r="C21" s="127"/>
      <c r="D21" s="127"/>
      <c r="E21" s="127"/>
      <c r="F21" s="127"/>
      <c r="G21" s="127" t="s">
        <v>11</v>
      </c>
      <c r="H21" s="127"/>
      <c r="I21" s="127"/>
      <c r="J21" s="127"/>
      <c r="K21" s="127"/>
    </row>
    <row r="22" spans="1:18" s="5" customFormat="1" ht="48" customHeight="1" x14ac:dyDescent="0.2">
      <c r="A22" s="7"/>
      <c r="B22" s="53" t="s">
        <v>6</v>
      </c>
      <c r="C22" s="53" t="s">
        <v>7</v>
      </c>
      <c r="D22" s="53" t="s">
        <v>8</v>
      </c>
      <c r="E22" s="174" t="s">
        <v>9</v>
      </c>
      <c r="F22" s="174"/>
      <c r="G22" s="53" t="s">
        <v>6</v>
      </c>
      <c r="H22" s="53" t="s">
        <v>7</v>
      </c>
      <c r="I22" s="53" t="s">
        <v>8</v>
      </c>
      <c r="J22" s="174" t="s">
        <v>9</v>
      </c>
      <c r="K22" s="174"/>
    </row>
    <row r="23" spans="1:18" ht="13.5" customHeight="1" x14ac:dyDescent="0.2">
      <c r="A23" s="45" t="s">
        <v>1</v>
      </c>
      <c r="B23" s="164">
        <v>39</v>
      </c>
      <c r="C23" s="165"/>
      <c r="D23" s="166"/>
      <c r="E23" s="182">
        <f>B23/79</f>
        <v>0.49367088607594939</v>
      </c>
      <c r="F23" s="183"/>
      <c r="G23" s="164">
        <v>840</v>
      </c>
      <c r="H23" s="165"/>
      <c r="I23" s="166"/>
      <c r="J23" s="182">
        <f>G23/2563</f>
        <v>0.32774092859929771</v>
      </c>
      <c r="K23" s="183"/>
    </row>
    <row r="24" spans="1:18" ht="13.5" customHeight="1" x14ac:dyDescent="0.2">
      <c r="A24" s="55" t="s">
        <v>0</v>
      </c>
      <c r="B24" s="55">
        <v>10</v>
      </c>
      <c r="C24" s="55">
        <v>8</v>
      </c>
      <c r="D24" s="56">
        <f t="shared" ref="D24:D29" si="4">SUM(B24:C24)</f>
        <v>18</v>
      </c>
      <c r="E24" s="187">
        <f t="shared" ref="E24:E30" si="5">D24/79</f>
        <v>0.22784810126582278</v>
      </c>
      <c r="F24" s="188"/>
      <c r="G24" s="57">
        <v>530</v>
      </c>
      <c r="H24" s="57">
        <v>462</v>
      </c>
      <c r="I24" s="58">
        <f t="shared" ref="I24:I29" si="6">SUM(G24:H24)</f>
        <v>992</v>
      </c>
      <c r="J24" s="187">
        <f t="shared" ref="J24:J30" si="7">I24/2563</f>
        <v>0.38704642996488492</v>
      </c>
      <c r="K24" s="188"/>
    </row>
    <row r="25" spans="1:18" ht="13.5" customHeight="1" x14ac:dyDescent="0.2">
      <c r="A25" s="55" t="s">
        <v>12</v>
      </c>
      <c r="B25" s="57">
        <v>2</v>
      </c>
      <c r="C25" s="57">
        <v>5</v>
      </c>
      <c r="D25" s="56">
        <f t="shared" si="4"/>
        <v>7</v>
      </c>
      <c r="E25" s="187">
        <f t="shared" si="5"/>
        <v>8.8607594936708861E-2</v>
      </c>
      <c r="F25" s="188"/>
      <c r="G25" s="57">
        <v>36</v>
      </c>
      <c r="H25" s="57">
        <v>198</v>
      </c>
      <c r="I25" s="56">
        <f t="shared" si="6"/>
        <v>234</v>
      </c>
      <c r="J25" s="187">
        <f t="shared" si="7"/>
        <v>9.1299258681232925E-2</v>
      </c>
      <c r="K25" s="188"/>
    </row>
    <row r="26" spans="1:18" ht="13.5" customHeight="1" x14ac:dyDescent="0.2">
      <c r="A26" s="59" t="s">
        <v>2</v>
      </c>
      <c r="B26" s="59">
        <v>6</v>
      </c>
      <c r="C26" s="59">
        <v>0</v>
      </c>
      <c r="D26" s="60">
        <f t="shared" si="4"/>
        <v>6</v>
      </c>
      <c r="E26" s="66">
        <f t="shared" si="5"/>
        <v>7.5949367088607597E-2</v>
      </c>
      <c r="F26" s="189">
        <f>SUM(E26:E29)</f>
        <v>0.189873417721519</v>
      </c>
      <c r="G26" s="59">
        <v>258</v>
      </c>
      <c r="H26" s="59">
        <v>2</v>
      </c>
      <c r="I26" s="60">
        <f t="shared" si="6"/>
        <v>260</v>
      </c>
      <c r="J26" s="66">
        <f t="shared" si="7"/>
        <v>0.10144362075692548</v>
      </c>
      <c r="K26" s="189">
        <f>SUM(J26:J29)</f>
        <v>0.19391338275458447</v>
      </c>
    </row>
    <row r="27" spans="1:18" ht="13.5" customHeight="1" x14ac:dyDescent="0.2">
      <c r="A27" s="59" t="s">
        <v>3</v>
      </c>
      <c r="B27" s="59">
        <v>2</v>
      </c>
      <c r="C27" s="59">
        <v>0</v>
      </c>
      <c r="D27" s="60">
        <f t="shared" si="4"/>
        <v>2</v>
      </c>
      <c r="E27" s="66">
        <f t="shared" si="5"/>
        <v>2.5316455696202531E-2</v>
      </c>
      <c r="F27" s="190"/>
      <c r="G27" s="59">
        <v>77</v>
      </c>
      <c r="H27" s="59">
        <v>18</v>
      </c>
      <c r="I27" s="60">
        <f t="shared" si="6"/>
        <v>95</v>
      </c>
      <c r="J27" s="66">
        <f t="shared" si="7"/>
        <v>3.7065938353491999E-2</v>
      </c>
      <c r="K27" s="190"/>
    </row>
    <row r="28" spans="1:18" ht="13.5" customHeight="1" x14ac:dyDescent="0.2">
      <c r="A28" s="59" t="s">
        <v>4</v>
      </c>
      <c r="B28" s="59">
        <v>6</v>
      </c>
      <c r="C28" s="59">
        <v>1</v>
      </c>
      <c r="D28" s="60">
        <f t="shared" si="4"/>
        <v>7</v>
      </c>
      <c r="E28" s="66">
        <f t="shared" si="5"/>
        <v>8.8607594936708861E-2</v>
      </c>
      <c r="F28" s="190"/>
      <c r="G28" s="59">
        <v>117</v>
      </c>
      <c r="H28" s="59">
        <v>19</v>
      </c>
      <c r="I28" s="60">
        <f t="shared" si="6"/>
        <v>136</v>
      </c>
      <c r="J28" s="66">
        <f t="shared" si="7"/>
        <v>5.3062817011314864E-2</v>
      </c>
      <c r="K28" s="190"/>
    </row>
    <row r="29" spans="1:18" ht="13.5" customHeight="1" x14ac:dyDescent="0.2">
      <c r="A29" s="59" t="s">
        <v>5</v>
      </c>
      <c r="B29" s="59">
        <v>0</v>
      </c>
      <c r="C29" s="59">
        <v>0</v>
      </c>
      <c r="D29" s="60">
        <f t="shared" si="4"/>
        <v>0</v>
      </c>
      <c r="E29" s="66">
        <f t="shared" si="5"/>
        <v>0</v>
      </c>
      <c r="F29" s="191"/>
      <c r="G29" s="59">
        <v>4</v>
      </c>
      <c r="H29" s="59">
        <v>2</v>
      </c>
      <c r="I29" s="60">
        <f t="shared" si="6"/>
        <v>6</v>
      </c>
      <c r="J29" s="66">
        <f t="shared" si="7"/>
        <v>2.3410066328521262E-3</v>
      </c>
      <c r="K29" s="191"/>
    </row>
    <row r="30" spans="1:18" ht="13.5" customHeight="1" x14ac:dyDescent="0.3">
      <c r="A30" s="62" t="s">
        <v>8</v>
      </c>
      <c r="B30" s="63">
        <f>SUM(B24:B29)</f>
        <v>26</v>
      </c>
      <c r="C30" s="63">
        <f>SUM(C24:C29)</f>
        <v>14</v>
      </c>
      <c r="D30" s="64">
        <f>D24+D25+B23+D26+D27+D28+D29</f>
        <v>79</v>
      </c>
      <c r="E30" s="192">
        <f t="shared" si="5"/>
        <v>1</v>
      </c>
      <c r="F30" s="192"/>
      <c r="G30" s="63">
        <f>SUM(G24:G29)</f>
        <v>1022</v>
      </c>
      <c r="H30" s="63">
        <f>SUM(H24:H29)</f>
        <v>701</v>
      </c>
      <c r="I30" s="64">
        <f>I24+I25+G23+I26+I27+I28+I29</f>
        <v>2563</v>
      </c>
      <c r="J30" s="192">
        <f t="shared" si="7"/>
        <v>1</v>
      </c>
      <c r="K30" s="192"/>
      <c r="L30" s="43"/>
    </row>
    <row r="31" spans="1:18" s="5" customFormat="1" ht="13.5" customHeight="1" x14ac:dyDescent="0.3">
      <c r="A31" s="1"/>
      <c r="B31" s="2"/>
      <c r="C31" s="2"/>
      <c r="D31" s="3"/>
      <c r="E31" s="4"/>
      <c r="F31" s="4"/>
      <c r="G31" s="2"/>
      <c r="H31" s="2"/>
      <c r="I31" s="3"/>
      <c r="J31" s="4"/>
      <c r="K31" s="4"/>
      <c r="L31" s="6"/>
    </row>
    <row r="32" spans="1:18" s="5" customFormat="1" ht="13.5" customHeight="1" x14ac:dyDescent="0.3">
      <c r="A32" s="1"/>
      <c r="B32" s="2"/>
      <c r="C32" s="2"/>
      <c r="D32" s="3"/>
      <c r="E32" s="4"/>
      <c r="F32" s="4"/>
      <c r="G32" s="2"/>
      <c r="H32" s="2"/>
      <c r="I32" s="3"/>
      <c r="J32" s="4"/>
      <c r="K32" s="4"/>
      <c r="L32" s="6"/>
    </row>
    <row r="33" spans="1:12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</row>
    <row r="34" spans="1:12" s="5" customFormat="1" ht="13.5" customHeight="1" x14ac:dyDescent="0.3">
      <c r="A34" s="126" t="s">
        <v>25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6"/>
    </row>
    <row r="35" spans="1:12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</row>
    <row r="36" spans="1:12" s="5" customFormat="1" ht="13.5" customHeight="1" x14ac:dyDescent="0.3">
      <c r="A36" s="1"/>
      <c r="B36" s="127" t="s">
        <v>10</v>
      </c>
      <c r="C36" s="127"/>
      <c r="D36" s="127"/>
      <c r="E36" s="127"/>
      <c r="F36" s="127"/>
      <c r="G36" s="127" t="s">
        <v>11</v>
      </c>
      <c r="H36" s="127"/>
      <c r="I36" s="127"/>
      <c r="J36" s="127"/>
      <c r="K36" s="127"/>
      <c r="L36" s="6"/>
    </row>
    <row r="37" spans="1:12" s="5" customFormat="1" ht="48.75" x14ac:dyDescent="0.3">
      <c r="A37" s="1"/>
      <c r="B37" s="44" t="s">
        <v>6</v>
      </c>
      <c r="C37" s="44" t="s">
        <v>7</v>
      </c>
      <c r="D37" s="44" t="s">
        <v>8</v>
      </c>
      <c r="E37" s="173" t="s">
        <v>9</v>
      </c>
      <c r="F37" s="173"/>
      <c r="G37" s="44" t="s">
        <v>6</v>
      </c>
      <c r="H37" s="44" t="s">
        <v>7</v>
      </c>
      <c r="I37" s="44" t="s">
        <v>8</v>
      </c>
      <c r="J37" s="173" t="s">
        <v>9</v>
      </c>
      <c r="K37" s="173"/>
      <c r="L37" s="6"/>
    </row>
    <row r="38" spans="1:12" ht="13.5" customHeight="1" x14ac:dyDescent="0.2">
      <c r="A38" s="45" t="s">
        <v>1</v>
      </c>
      <c r="B38" s="164">
        <v>39</v>
      </c>
      <c r="C38" s="165"/>
      <c r="D38" s="166"/>
      <c r="E38" s="182">
        <f>B38/125</f>
        <v>0.312</v>
      </c>
      <c r="F38" s="183"/>
      <c r="G38" s="164">
        <v>73</v>
      </c>
      <c r="H38" s="165"/>
      <c r="I38" s="166"/>
      <c r="J38" s="182">
        <f>G38/1228</f>
        <v>5.9446254071661236E-2</v>
      </c>
      <c r="K38" s="183"/>
    </row>
    <row r="39" spans="1:12" ht="13.5" customHeight="1" x14ac:dyDescent="0.2">
      <c r="A39" s="45" t="s">
        <v>0</v>
      </c>
      <c r="B39" s="45">
        <v>38</v>
      </c>
      <c r="C39" s="45">
        <v>29</v>
      </c>
      <c r="D39" s="46">
        <f t="shared" ref="D39:D44" si="8">SUM(B39:C39)</f>
        <v>67</v>
      </c>
      <c r="E39" s="182">
        <f t="shared" ref="E39:E45" si="9">D39/125</f>
        <v>0.53600000000000003</v>
      </c>
      <c r="F39" s="183"/>
      <c r="G39" s="47">
        <v>426</v>
      </c>
      <c r="H39" s="47">
        <v>491</v>
      </c>
      <c r="I39" s="48">
        <f t="shared" ref="I39:I44" si="10">SUM(G39:H39)</f>
        <v>917</v>
      </c>
      <c r="J39" s="182">
        <f t="shared" ref="J39:J45" si="11">I39/1228</f>
        <v>0.74674267100977199</v>
      </c>
      <c r="K39" s="183"/>
    </row>
    <row r="40" spans="1:12" ht="13.5" customHeight="1" x14ac:dyDescent="0.2">
      <c r="A40" s="45" t="s">
        <v>12</v>
      </c>
      <c r="B40" s="47">
        <v>1</v>
      </c>
      <c r="C40" s="47">
        <v>1</v>
      </c>
      <c r="D40" s="46">
        <f t="shared" si="8"/>
        <v>2</v>
      </c>
      <c r="E40" s="182">
        <f t="shared" si="9"/>
        <v>1.6E-2</v>
      </c>
      <c r="F40" s="183"/>
      <c r="G40" s="47">
        <v>67</v>
      </c>
      <c r="H40" s="47">
        <v>53</v>
      </c>
      <c r="I40" s="46">
        <f t="shared" si="10"/>
        <v>120</v>
      </c>
      <c r="J40" s="182">
        <f t="shared" si="11"/>
        <v>9.7719869706840393E-2</v>
      </c>
      <c r="K40" s="183"/>
    </row>
    <row r="41" spans="1:12" ht="13.5" customHeight="1" x14ac:dyDescent="0.2">
      <c r="A41" s="45" t="s">
        <v>2</v>
      </c>
      <c r="B41" s="45">
        <v>7</v>
      </c>
      <c r="C41" s="45">
        <v>0</v>
      </c>
      <c r="D41" s="46">
        <f t="shared" si="8"/>
        <v>7</v>
      </c>
      <c r="E41" s="67">
        <f t="shared" si="9"/>
        <v>5.6000000000000001E-2</v>
      </c>
      <c r="F41" s="184">
        <f>SUM(E41:E44)</f>
        <v>0.13600000000000001</v>
      </c>
      <c r="G41" s="45">
        <v>49</v>
      </c>
      <c r="H41" s="45">
        <v>0</v>
      </c>
      <c r="I41" s="46">
        <f t="shared" si="10"/>
        <v>49</v>
      </c>
      <c r="J41" s="67">
        <f t="shared" si="11"/>
        <v>3.9902280130293157E-2</v>
      </c>
      <c r="K41" s="184">
        <f>SUM(J41:J44)</f>
        <v>9.6091205211726385E-2</v>
      </c>
    </row>
    <row r="42" spans="1:12" ht="13.5" customHeight="1" x14ac:dyDescent="0.2">
      <c r="A42" s="45" t="s">
        <v>3</v>
      </c>
      <c r="B42" s="45">
        <v>2</v>
      </c>
      <c r="C42" s="45">
        <v>0</v>
      </c>
      <c r="D42" s="46">
        <f t="shared" si="8"/>
        <v>2</v>
      </c>
      <c r="E42" s="67">
        <f t="shared" si="9"/>
        <v>1.6E-2</v>
      </c>
      <c r="F42" s="185"/>
      <c r="G42" s="45">
        <v>15</v>
      </c>
      <c r="H42" s="45">
        <v>6</v>
      </c>
      <c r="I42" s="46">
        <f t="shared" si="10"/>
        <v>21</v>
      </c>
      <c r="J42" s="67">
        <f t="shared" si="11"/>
        <v>1.7100977198697069E-2</v>
      </c>
      <c r="K42" s="185"/>
    </row>
    <row r="43" spans="1:12" ht="13.5" customHeight="1" x14ac:dyDescent="0.2">
      <c r="A43" s="45" t="s">
        <v>4</v>
      </c>
      <c r="B43" s="45">
        <v>7</v>
      </c>
      <c r="C43" s="45">
        <v>1</v>
      </c>
      <c r="D43" s="46">
        <f t="shared" si="8"/>
        <v>8</v>
      </c>
      <c r="E43" s="67">
        <f t="shared" si="9"/>
        <v>6.4000000000000001E-2</v>
      </c>
      <c r="F43" s="185"/>
      <c r="G43" s="45">
        <v>29</v>
      </c>
      <c r="H43" s="45">
        <v>11</v>
      </c>
      <c r="I43" s="46">
        <f t="shared" si="10"/>
        <v>40</v>
      </c>
      <c r="J43" s="67">
        <f t="shared" si="11"/>
        <v>3.2573289902280131E-2</v>
      </c>
      <c r="K43" s="185"/>
    </row>
    <row r="44" spans="1:12" ht="13.5" customHeight="1" x14ac:dyDescent="0.2">
      <c r="A44" s="45" t="s">
        <v>5</v>
      </c>
      <c r="B44" s="45">
        <v>0</v>
      </c>
      <c r="C44" s="45">
        <v>0</v>
      </c>
      <c r="D44" s="46">
        <f t="shared" si="8"/>
        <v>0</v>
      </c>
      <c r="E44" s="67">
        <f t="shared" si="9"/>
        <v>0</v>
      </c>
      <c r="F44" s="186"/>
      <c r="G44" s="45">
        <v>5</v>
      </c>
      <c r="H44" s="45">
        <v>3</v>
      </c>
      <c r="I44" s="46">
        <f t="shared" si="10"/>
        <v>8</v>
      </c>
      <c r="J44" s="67">
        <f t="shared" si="11"/>
        <v>6.5146579804560263E-3</v>
      </c>
      <c r="K44" s="186"/>
    </row>
    <row r="45" spans="1:12" ht="13.5" customHeight="1" x14ac:dyDescent="0.2">
      <c r="A45" s="50" t="s">
        <v>8</v>
      </c>
      <c r="B45" s="51">
        <f>SUM(B39:B44)</f>
        <v>55</v>
      </c>
      <c r="C45" s="51">
        <f>SUM(C39:C44)</f>
        <v>31</v>
      </c>
      <c r="D45" s="52">
        <f>D39+D40+B38+D41+D42+D43+D44</f>
        <v>125</v>
      </c>
      <c r="E45" s="157">
        <f t="shared" si="9"/>
        <v>1</v>
      </c>
      <c r="F45" s="180"/>
      <c r="G45" s="51">
        <f>SUM(G39:G44)</f>
        <v>591</v>
      </c>
      <c r="H45" s="51">
        <f>SUM(H39:H44)</f>
        <v>564</v>
      </c>
      <c r="I45" s="52">
        <f>I39+I40+G38+I41+I42+I43+I44</f>
        <v>1228</v>
      </c>
      <c r="J45" s="157">
        <f t="shared" si="11"/>
        <v>1</v>
      </c>
      <c r="K45" s="158"/>
    </row>
    <row r="49" spans="11:17" ht="20.25" x14ac:dyDescent="0.3">
      <c r="K49" s="146"/>
      <c r="L49" s="146"/>
    </row>
    <row r="60" spans="11:17" x14ac:dyDescent="0.2">
      <c r="O60" s="68"/>
      <c r="P60" s="68"/>
      <c r="Q60" s="68"/>
    </row>
  </sheetData>
  <mergeCells count="52">
    <mergeCell ref="B8:D8"/>
    <mergeCell ref="E8:F8"/>
    <mergeCell ref="G8:I8"/>
    <mergeCell ref="J8:K8"/>
    <mergeCell ref="A4:K4"/>
    <mergeCell ref="B6:F6"/>
    <mergeCell ref="G6:K6"/>
    <mergeCell ref="E7:F7"/>
    <mergeCell ref="J7:K7"/>
    <mergeCell ref="E22:F22"/>
    <mergeCell ref="J22:K22"/>
    <mergeCell ref="E9:F9"/>
    <mergeCell ref="J9:K9"/>
    <mergeCell ref="E10:F10"/>
    <mergeCell ref="J10:K10"/>
    <mergeCell ref="F11:F14"/>
    <mergeCell ref="K11:K14"/>
    <mergeCell ref="E15:F15"/>
    <mergeCell ref="J15:K15"/>
    <mergeCell ref="A19:K19"/>
    <mergeCell ref="B21:F21"/>
    <mergeCell ref="G21:K21"/>
    <mergeCell ref="B23:D23"/>
    <mergeCell ref="E23:F23"/>
    <mergeCell ref="G23:I23"/>
    <mergeCell ref="J23:K23"/>
    <mergeCell ref="E24:F24"/>
    <mergeCell ref="J24:K24"/>
    <mergeCell ref="B38:D38"/>
    <mergeCell ref="E38:F38"/>
    <mergeCell ref="G38:I38"/>
    <mergeCell ref="J38:K38"/>
    <mergeCell ref="E25:F25"/>
    <mergeCell ref="J25:K25"/>
    <mergeCell ref="F26:F29"/>
    <mergeCell ref="K26:K29"/>
    <mergeCell ref="E30:F30"/>
    <mergeCell ref="J30:K30"/>
    <mergeCell ref="A34:K34"/>
    <mergeCell ref="B36:F36"/>
    <mergeCell ref="G36:K36"/>
    <mergeCell ref="E37:F37"/>
    <mergeCell ref="J37:K37"/>
    <mergeCell ref="E45:F45"/>
    <mergeCell ref="J45:K45"/>
    <mergeCell ref="K49:L49"/>
    <mergeCell ref="E39:F39"/>
    <mergeCell ref="J39:K39"/>
    <mergeCell ref="E40:F40"/>
    <mergeCell ref="J40:K40"/>
    <mergeCell ref="F41:F44"/>
    <mergeCell ref="K41:K44"/>
  </mergeCells>
  <pageMargins left="0.59055118110236227" right="0" top="0" bottom="0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K50" sqref="K50:L50"/>
    </sheetView>
  </sheetViews>
  <sheetFormatPr defaultRowHeight="12.75" x14ac:dyDescent="0.2"/>
  <cols>
    <col min="1" max="1" width="23.33203125" customWidth="1"/>
    <col min="2" max="11" width="7.83203125" customWidth="1"/>
    <col min="12" max="12" width="2.5" customWidth="1"/>
    <col min="257" max="257" width="23.33203125" customWidth="1"/>
    <col min="258" max="267" width="7.83203125" customWidth="1"/>
    <col min="268" max="268" width="2.5" customWidth="1"/>
    <col min="513" max="513" width="23.33203125" customWidth="1"/>
    <col min="514" max="523" width="7.83203125" customWidth="1"/>
    <col min="524" max="524" width="2.5" customWidth="1"/>
    <col min="769" max="769" width="23.33203125" customWidth="1"/>
    <col min="770" max="779" width="7.83203125" customWidth="1"/>
    <col min="780" max="780" width="2.5" customWidth="1"/>
    <col min="1025" max="1025" width="23.33203125" customWidth="1"/>
    <col min="1026" max="1035" width="7.83203125" customWidth="1"/>
    <col min="1036" max="1036" width="2.5" customWidth="1"/>
    <col min="1281" max="1281" width="23.33203125" customWidth="1"/>
    <col min="1282" max="1291" width="7.83203125" customWidth="1"/>
    <col min="1292" max="1292" width="2.5" customWidth="1"/>
    <col min="1537" max="1537" width="23.33203125" customWidth="1"/>
    <col min="1538" max="1547" width="7.83203125" customWidth="1"/>
    <col min="1548" max="1548" width="2.5" customWidth="1"/>
    <col min="1793" max="1793" width="23.33203125" customWidth="1"/>
    <col min="1794" max="1803" width="7.83203125" customWidth="1"/>
    <col min="1804" max="1804" width="2.5" customWidth="1"/>
    <col min="2049" max="2049" width="23.33203125" customWidth="1"/>
    <col min="2050" max="2059" width="7.83203125" customWidth="1"/>
    <col min="2060" max="2060" width="2.5" customWidth="1"/>
    <col min="2305" max="2305" width="23.33203125" customWidth="1"/>
    <col min="2306" max="2315" width="7.83203125" customWidth="1"/>
    <col min="2316" max="2316" width="2.5" customWidth="1"/>
    <col min="2561" max="2561" width="23.33203125" customWidth="1"/>
    <col min="2562" max="2571" width="7.83203125" customWidth="1"/>
    <col min="2572" max="2572" width="2.5" customWidth="1"/>
    <col min="2817" max="2817" width="23.33203125" customWidth="1"/>
    <col min="2818" max="2827" width="7.83203125" customWidth="1"/>
    <col min="2828" max="2828" width="2.5" customWidth="1"/>
    <col min="3073" max="3073" width="23.33203125" customWidth="1"/>
    <col min="3074" max="3083" width="7.83203125" customWidth="1"/>
    <col min="3084" max="3084" width="2.5" customWidth="1"/>
    <col min="3329" max="3329" width="23.33203125" customWidth="1"/>
    <col min="3330" max="3339" width="7.83203125" customWidth="1"/>
    <col min="3340" max="3340" width="2.5" customWidth="1"/>
    <col min="3585" max="3585" width="23.33203125" customWidth="1"/>
    <col min="3586" max="3595" width="7.83203125" customWidth="1"/>
    <col min="3596" max="3596" width="2.5" customWidth="1"/>
    <col min="3841" max="3841" width="23.33203125" customWidth="1"/>
    <col min="3842" max="3851" width="7.83203125" customWidth="1"/>
    <col min="3852" max="3852" width="2.5" customWidth="1"/>
    <col min="4097" max="4097" width="23.33203125" customWidth="1"/>
    <col min="4098" max="4107" width="7.83203125" customWidth="1"/>
    <col min="4108" max="4108" width="2.5" customWidth="1"/>
    <col min="4353" max="4353" width="23.33203125" customWidth="1"/>
    <col min="4354" max="4363" width="7.83203125" customWidth="1"/>
    <col min="4364" max="4364" width="2.5" customWidth="1"/>
    <col min="4609" max="4609" width="23.33203125" customWidth="1"/>
    <col min="4610" max="4619" width="7.83203125" customWidth="1"/>
    <col min="4620" max="4620" width="2.5" customWidth="1"/>
    <col min="4865" max="4865" width="23.33203125" customWidth="1"/>
    <col min="4866" max="4875" width="7.83203125" customWidth="1"/>
    <col min="4876" max="4876" width="2.5" customWidth="1"/>
    <col min="5121" max="5121" width="23.33203125" customWidth="1"/>
    <col min="5122" max="5131" width="7.83203125" customWidth="1"/>
    <col min="5132" max="5132" width="2.5" customWidth="1"/>
    <col min="5377" max="5377" width="23.33203125" customWidth="1"/>
    <col min="5378" max="5387" width="7.83203125" customWidth="1"/>
    <col min="5388" max="5388" width="2.5" customWidth="1"/>
    <col min="5633" max="5633" width="23.33203125" customWidth="1"/>
    <col min="5634" max="5643" width="7.83203125" customWidth="1"/>
    <col min="5644" max="5644" width="2.5" customWidth="1"/>
    <col min="5889" max="5889" width="23.33203125" customWidth="1"/>
    <col min="5890" max="5899" width="7.83203125" customWidth="1"/>
    <col min="5900" max="5900" width="2.5" customWidth="1"/>
    <col min="6145" max="6145" width="23.33203125" customWidth="1"/>
    <col min="6146" max="6155" width="7.83203125" customWidth="1"/>
    <col min="6156" max="6156" width="2.5" customWidth="1"/>
    <col min="6401" max="6401" width="23.33203125" customWidth="1"/>
    <col min="6402" max="6411" width="7.83203125" customWidth="1"/>
    <col min="6412" max="6412" width="2.5" customWidth="1"/>
    <col min="6657" max="6657" width="23.33203125" customWidth="1"/>
    <col min="6658" max="6667" width="7.83203125" customWidth="1"/>
    <col min="6668" max="6668" width="2.5" customWidth="1"/>
    <col min="6913" max="6913" width="23.33203125" customWidth="1"/>
    <col min="6914" max="6923" width="7.83203125" customWidth="1"/>
    <col min="6924" max="6924" width="2.5" customWidth="1"/>
    <col min="7169" max="7169" width="23.33203125" customWidth="1"/>
    <col min="7170" max="7179" width="7.83203125" customWidth="1"/>
    <col min="7180" max="7180" width="2.5" customWidth="1"/>
    <col min="7425" max="7425" width="23.33203125" customWidth="1"/>
    <col min="7426" max="7435" width="7.83203125" customWidth="1"/>
    <col min="7436" max="7436" width="2.5" customWidth="1"/>
    <col min="7681" max="7681" width="23.33203125" customWidth="1"/>
    <col min="7682" max="7691" width="7.83203125" customWidth="1"/>
    <col min="7692" max="7692" width="2.5" customWidth="1"/>
    <col min="7937" max="7937" width="23.33203125" customWidth="1"/>
    <col min="7938" max="7947" width="7.83203125" customWidth="1"/>
    <col min="7948" max="7948" width="2.5" customWidth="1"/>
    <col min="8193" max="8193" width="23.33203125" customWidth="1"/>
    <col min="8194" max="8203" width="7.83203125" customWidth="1"/>
    <col min="8204" max="8204" width="2.5" customWidth="1"/>
    <col min="8449" max="8449" width="23.33203125" customWidth="1"/>
    <col min="8450" max="8459" width="7.83203125" customWidth="1"/>
    <col min="8460" max="8460" width="2.5" customWidth="1"/>
    <col min="8705" max="8705" width="23.33203125" customWidth="1"/>
    <col min="8706" max="8715" width="7.83203125" customWidth="1"/>
    <col min="8716" max="8716" width="2.5" customWidth="1"/>
    <col min="8961" max="8961" width="23.33203125" customWidth="1"/>
    <col min="8962" max="8971" width="7.83203125" customWidth="1"/>
    <col min="8972" max="8972" width="2.5" customWidth="1"/>
    <col min="9217" max="9217" width="23.33203125" customWidth="1"/>
    <col min="9218" max="9227" width="7.83203125" customWidth="1"/>
    <col min="9228" max="9228" width="2.5" customWidth="1"/>
    <col min="9473" max="9473" width="23.33203125" customWidth="1"/>
    <col min="9474" max="9483" width="7.83203125" customWidth="1"/>
    <col min="9484" max="9484" width="2.5" customWidth="1"/>
    <col min="9729" max="9729" width="23.33203125" customWidth="1"/>
    <col min="9730" max="9739" width="7.83203125" customWidth="1"/>
    <col min="9740" max="9740" width="2.5" customWidth="1"/>
    <col min="9985" max="9985" width="23.33203125" customWidth="1"/>
    <col min="9986" max="9995" width="7.83203125" customWidth="1"/>
    <col min="9996" max="9996" width="2.5" customWidth="1"/>
    <col min="10241" max="10241" width="23.33203125" customWidth="1"/>
    <col min="10242" max="10251" width="7.83203125" customWidth="1"/>
    <col min="10252" max="10252" width="2.5" customWidth="1"/>
    <col min="10497" max="10497" width="23.33203125" customWidth="1"/>
    <col min="10498" max="10507" width="7.83203125" customWidth="1"/>
    <col min="10508" max="10508" width="2.5" customWidth="1"/>
    <col min="10753" max="10753" width="23.33203125" customWidth="1"/>
    <col min="10754" max="10763" width="7.83203125" customWidth="1"/>
    <col min="10764" max="10764" width="2.5" customWidth="1"/>
    <col min="11009" max="11009" width="23.33203125" customWidth="1"/>
    <col min="11010" max="11019" width="7.83203125" customWidth="1"/>
    <col min="11020" max="11020" width="2.5" customWidth="1"/>
    <col min="11265" max="11265" width="23.33203125" customWidth="1"/>
    <col min="11266" max="11275" width="7.83203125" customWidth="1"/>
    <col min="11276" max="11276" width="2.5" customWidth="1"/>
    <col min="11521" max="11521" width="23.33203125" customWidth="1"/>
    <col min="11522" max="11531" width="7.83203125" customWidth="1"/>
    <col min="11532" max="11532" width="2.5" customWidth="1"/>
    <col min="11777" max="11777" width="23.33203125" customWidth="1"/>
    <col min="11778" max="11787" width="7.83203125" customWidth="1"/>
    <col min="11788" max="11788" width="2.5" customWidth="1"/>
    <col min="12033" max="12033" width="23.33203125" customWidth="1"/>
    <col min="12034" max="12043" width="7.83203125" customWidth="1"/>
    <col min="12044" max="12044" width="2.5" customWidth="1"/>
    <col min="12289" max="12289" width="23.33203125" customWidth="1"/>
    <col min="12290" max="12299" width="7.83203125" customWidth="1"/>
    <col min="12300" max="12300" width="2.5" customWidth="1"/>
    <col min="12545" max="12545" width="23.33203125" customWidth="1"/>
    <col min="12546" max="12555" width="7.83203125" customWidth="1"/>
    <col min="12556" max="12556" width="2.5" customWidth="1"/>
    <col min="12801" max="12801" width="23.33203125" customWidth="1"/>
    <col min="12802" max="12811" width="7.83203125" customWidth="1"/>
    <col min="12812" max="12812" width="2.5" customWidth="1"/>
    <col min="13057" max="13057" width="23.33203125" customWidth="1"/>
    <col min="13058" max="13067" width="7.83203125" customWidth="1"/>
    <col min="13068" max="13068" width="2.5" customWidth="1"/>
    <col min="13313" max="13313" width="23.33203125" customWidth="1"/>
    <col min="13314" max="13323" width="7.83203125" customWidth="1"/>
    <col min="13324" max="13324" width="2.5" customWidth="1"/>
    <col min="13569" max="13569" width="23.33203125" customWidth="1"/>
    <col min="13570" max="13579" width="7.83203125" customWidth="1"/>
    <col min="13580" max="13580" width="2.5" customWidth="1"/>
    <col min="13825" max="13825" width="23.33203125" customWidth="1"/>
    <col min="13826" max="13835" width="7.83203125" customWidth="1"/>
    <col min="13836" max="13836" width="2.5" customWidth="1"/>
    <col min="14081" max="14081" width="23.33203125" customWidth="1"/>
    <col min="14082" max="14091" width="7.83203125" customWidth="1"/>
    <col min="14092" max="14092" width="2.5" customWidth="1"/>
    <col min="14337" max="14337" width="23.33203125" customWidth="1"/>
    <col min="14338" max="14347" width="7.83203125" customWidth="1"/>
    <col min="14348" max="14348" width="2.5" customWidth="1"/>
    <col min="14593" max="14593" width="23.33203125" customWidth="1"/>
    <col min="14594" max="14603" width="7.83203125" customWidth="1"/>
    <col min="14604" max="14604" width="2.5" customWidth="1"/>
    <col min="14849" max="14849" width="23.33203125" customWidth="1"/>
    <col min="14850" max="14859" width="7.83203125" customWidth="1"/>
    <col min="14860" max="14860" width="2.5" customWidth="1"/>
    <col min="15105" max="15105" width="23.33203125" customWidth="1"/>
    <col min="15106" max="15115" width="7.83203125" customWidth="1"/>
    <col min="15116" max="15116" width="2.5" customWidth="1"/>
    <col min="15361" max="15361" width="23.33203125" customWidth="1"/>
    <col min="15362" max="15371" width="7.83203125" customWidth="1"/>
    <col min="15372" max="15372" width="2.5" customWidth="1"/>
    <col min="15617" max="15617" width="23.33203125" customWidth="1"/>
    <col min="15618" max="15627" width="7.83203125" customWidth="1"/>
    <col min="15628" max="15628" width="2.5" customWidth="1"/>
    <col min="15873" max="15873" width="23.33203125" customWidth="1"/>
    <col min="15874" max="15883" width="7.83203125" customWidth="1"/>
    <col min="15884" max="15884" width="2.5" customWidth="1"/>
    <col min="16129" max="16129" width="23.33203125" customWidth="1"/>
    <col min="16130" max="16139" width="7.83203125" customWidth="1"/>
    <col min="16140" max="16140" width="2.5" customWidth="1"/>
  </cols>
  <sheetData>
    <row r="1" spans="1:11" ht="13.5" customHeight="1" x14ac:dyDescent="0.2"/>
    <row r="2" spans="1:11" ht="13.5" customHeight="1" x14ac:dyDescent="0.2"/>
    <row r="3" spans="1:11" ht="13.5" customHeight="1" x14ac:dyDescent="0.2"/>
    <row r="4" spans="1:11" ht="13.5" customHeight="1" x14ac:dyDescent="0.2"/>
    <row r="5" spans="1:11" ht="13.5" customHeight="1" x14ac:dyDescent="0.2">
      <c r="A5" s="141" t="s">
        <v>26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13.5" customHeight="1" x14ac:dyDescent="0.2"/>
    <row r="7" spans="1:11" ht="13.5" customHeight="1" x14ac:dyDescent="0.2">
      <c r="A7" s="42"/>
      <c r="B7" s="127" t="s">
        <v>10</v>
      </c>
      <c r="C7" s="127"/>
      <c r="D7" s="127"/>
      <c r="E7" s="127"/>
      <c r="F7" s="127"/>
      <c r="G7" s="127" t="s">
        <v>11</v>
      </c>
      <c r="H7" s="127"/>
      <c r="I7" s="127"/>
      <c r="J7" s="127"/>
      <c r="K7" s="127"/>
    </row>
    <row r="8" spans="1:11" ht="47.25" customHeight="1" x14ac:dyDescent="0.2">
      <c r="A8" s="42"/>
      <c r="B8" s="44" t="s">
        <v>6</v>
      </c>
      <c r="C8" s="44" t="s">
        <v>7</v>
      </c>
      <c r="D8" s="44" t="s">
        <v>8</v>
      </c>
      <c r="E8" s="173" t="s">
        <v>9</v>
      </c>
      <c r="F8" s="173"/>
      <c r="G8" s="44" t="s">
        <v>6</v>
      </c>
      <c r="H8" s="44" t="s">
        <v>7</v>
      </c>
      <c r="I8" s="44" t="s">
        <v>8</v>
      </c>
      <c r="J8" s="173" t="s">
        <v>9</v>
      </c>
      <c r="K8" s="173"/>
    </row>
    <row r="9" spans="1:11" ht="13.5" customHeight="1" x14ac:dyDescent="0.2">
      <c r="A9" s="45" t="s">
        <v>1</v>
      </c>
      <c r="B9" s="164">
        <v>82</v>
      </c>
      <c r="C9" s="165"/>
      <c r="D9" s="166"/>
      <c r="E9" s="175">
        <f>B9/254</f>
        <v>0.32283464566929132</v>
      </c>
      <c r="F9" s="176"/>
      <c r="G9" s="164">
        <v>873</v>
      </c>
      <c r="H9" s="165"/>
      <c r="I9" s="166"/>
      <c r="J9" s="175">
        <f>G9/3928</f>
        <v>0.22225050916496944</v>
      </c>
      <c r="K9" s="176"/>
    </row>
    <row r="10" spans="1:11" ht="13.5" customHeight="1" x14ac:dyDescent="0.2">
      <c r="A10" s="45" t="s">
        <v>0</v>
      </c>
      <c r="B10" s="45">
        <v>67</v>
      </c>
      <c r="C10" s="45">
        <v>49</v>
      </c>
      <c r="D10" s="46">
        <f t="shared" ref="D10:D15" si="0">SUM(B10:C10)</f>
        <v>116</v>
      </c>
      <c r="E10" s="175">
        <f t="shared" ref="E10:E16" si="1">D10/254</f>
        <v>0.45669291338582679</v>
      </c>
      <c r="F10" s="176"/>
      <c r="G10" s="47">
        <v>1048</v>
      </c>
      <c r="H10" s="47">
        <v>1026</v>
      </c>
      <c r="I10" s="48">
        <f t="shared" ref="I10:I15" si="2">SUM(G10:H10)</f>
        <v>2074</v>
      </c>
      <c r="J10" s="175">
        <f t="shared" ref="J10:J16" si="3">I10/3928</f>
        <v>0.52800407331975563</v>
      </c>
      <c r="K10" s="176"/>
    </row>
    <row r="11" spans="1:11" ht="13.5" customHeight="1" x14ac:dyDescent="0.2">
      <c r="A11" s="45" t="s">
        <v>12</v>
      </c>
      <c r="B11" s="47">
        <v>11</v>
      </c>
      <c r="C11" s="47">
        <v>5</v>
      </c>
      <c r="D11" s="46">
        <f t="shared" si="0"/>
        <v>16</v>
      </c>
      <c r="E11" s="175">
        <f t="shared" si="1"/>
        <v>6.2992125984251968E-2</v>
      </c>
      <c r="F11" s="176"/>
      <c r="G11" s="47">
        <v>93</v>
      </c>
      <c r="H11" s="47">
        <v>252</v>
      </c>
      <c r="I11" s="46">
        <f t="shared" si="2"/>
        <v>345</v>
      </c>
      <c r="J11" s="175">
        <f t="shared" si="3"/>
        <v>8.7830957230142573E-2</v>
      </c>
      <c r="K11" s="176"/>
    </row>
    <row r="12" spans="1:11" ht="13.5" customHeight="1" x14ac:dyDescent="0.2">
      <c r="A12" s="45" t="s">
        <v>2</v>
      </c>
      <c r="B12" s="45">
        <v>26</v>
      </c>
      <c r="C12" s="45">
        <v>0</v>
      </c>
      <c r="D12" s="46">
        <f t="shared" si="0"/>
        <v>26</v>
      </c>
      <c r="E12" s="49">
        <f t="shared" si="1"/>
        <v>0.10236220472440945</v>
      </c>
      <c r="F12" s="177">
        <f>SUM(E12:E15)</f>
        <v>0.15748031496062995</v>
      </c>
      <c r="G12" s="45">
        <v>258</v>
      </c>
      <c r="H12" s="45">
        <v>3</v>
      </c>
      <c r="I12" s="46">
        <f t="shared" si="2"/>
        <v>261</v>
      </c>
      <c r="J12" s="49">
        <f t="shared" si="3"/>
        <v>6.6446028513238289E-2</v>
      </c>
      <c r="K12" s="177">
        <f>SUM(J12:J15)</f>
        <v>0.16242362525458248</v>
      </c>
    </row>
    <row r="13" spans="1:11" ht="13.5" customHeight="1" x14ac:dyDescent="0.2">
      <c r="A13" s="45" t="s">
        <v>3</v>
      </c>
      <c r="B13" s="45">
        <v>1</v>
      </c>
      <c r="C13" s="45">
        <v>0</v>
      </c>
      <c r="D13" s="46">
        <f t="shared" si="0"/>
        <v>1</v>
      </c>
      <c r="E13" s="49">
        <f t="shared" si="1"/>
        <v>3.937007874015748E-3</v>
      </c>
      <c r="F13" s="178"/>
      <c r="G13" s="45">
        <v>99</v>
      </c>
      <c r="H13" s="45">
        <v>19</v>
      </c>
      <c r="I13" s="46">
        <f t="shared" si="2"/>
        <v>118</v>
      </c>
      <c r="J13" s="49">
        <f t="shared" si="3"/>
        <v>3.004073319755601E-2</v>
      </c>
      <c r="K13" s="178"/>
    </row>
    <row r="14" spans="1:11" ht="13.5" customHeight="1" x14ac:dyDescent="0.2">
      <c r="A14" s="45" t="s">
        <v>4</v>
      </c>
      <c r="B14" s="45">
        <v>7</v>
      </c>
      <c r="C14" s="45">
        <v>3</v>
      </c>
      <c r="D14" s="46">
        <f t="shared" si="0"/>
        <v>10</v>
      </c>
      <c r="E14" s="49">
        <f t="shared" si="1"/>
        <v>3.937007874015748E-2</v>
      </c>
      <c r="F14" s="178"/>
      <c r="G14" s="45">
        <v>199</v>
      </c>
      <c r="H14" s="45">
        <v>37</v>
      </c>
      <c r="I14" s="46">
        <f t="shared" si="2"/>
        <v>236</v>
      </c>
      <c r="J14" s="49">
        <f t="shared" si="3"/>
        <v>6.008146639511202E-2</v>
      </c>
      <c r="K14" s="178"/>
    </row>
    <row r="15" spans="1:11" ht="13.5" customHeight="1" x14ac:dyDescent="0.2">
      <c r="A15" s="45" t="s">
        <v>5</v>
      </c>
      <c r="B15" s="45">
        <v>3</v>
      </c>
      <c r="C15" s="45">
        <v>0</v>
      </c>
      <c r="D15" s="46">
        <f t="shared" si="0"/>
        <v>3</v>
      </c>
      <c r="E15" s="49">
        <f t="shared" si="1"/>
        <v>1.1811023622047244E-2</v>
      </c>
      <c r="F15" s="179"/>
      <c r="G15" s="45">
        <v>15</v>
      </c>
      <c r="H15" s="45">
        <v>8</v>
      </c>
      <c r="I15" s="46">
        <f t="shared" si="2"/>
        <v>23</v>
      </c>
      <c r="J15" s="49">
        <f t="shared" si="3"/>
        <v>5.8553971486761712E-3</v>
      </c>
      <c r="K15" s="179"/>
    </row>
    <row r="16" spans="1:11" ht="13.5" customHeight="1" x14ac:dyDescent="0.2">
      <c r="A16" s="50" t="s">
        <v>8</v>
      </c>
      <c r="B16" s="51">
        <f>SUM(B10:B15)</f>
        <v>115</v>
      </c>
      <c r="C16" s="51">
        <f>SUM(C10:C15)</f>
        <v>57</v>
      </c>
      <c r="D16" s="52">
        <f>D10+D11+B9+D12+D13+D14+D15</f>
        <v>254</v>
      </c>
      <c r="E16" s="157">
        <f t="shared" si="1"/>
        <v>1</v>
      </c>
      <c r="F16" s="180"/>
      <c r="G16" s="51">
        <f>SUM(G10:G15)</f>
        <v>1712</v>
      </c>
      <c r="H16" s="51">
        <f>SUM(H10:H15)</f>
        <v>1345</v>
      </c>
      <c r="I16" s="52">
        <f>I10+I11+G9+I12+I13+I14+I15</f>
        <v>3930</v>
      </c>
      <c r="J16" s="157">
        <f t="shared" si="3"/>
        <v>1.0005091649694502</v>
      </c>
      <c r="K16" s="158"/>
    </row>
    <row r="17" spans="1:12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</row>
    <row r="18" spans="1:12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</row>
    <row r="19" spans="1:12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12" s="5" customFormat="1" ht="13.5" customHeight="1" x14ac:dyDescent="0.2">
      <c r="A20" s="181" t="s">
        <v>27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</row>
    <row r="21" spans="1:12" s="5" customFormat="1" ht="13.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s="5" customFormat="1" ht="13.5" customHeight="1" x14ac:dyDescent="0.2">
      <c r="A22" s="7"/>
      <c r="B22" s="127" t="s">
        <v>10</v>
      </c>
      <c r="C22" s="127"/>
      <c r="D22" s="127"/>
      <c r="E22" s="127"/>
      <c r="F22" s="127"/>
      <c r="G22" s="127" t="s">
        <v>11</v>
      </c>
      <c r="H22" s="127"/>
      <c r="I22" s="127"/>
      <c r="J22" s="127"/>
      <c r="K22" s="127"/>
    </row>
    <row r="23" spans="1:12" s="5" customFormat="1" ht="48" customHeight="1" x14ac:dyDescent="0.2">
      <c r="A23" s="7"/>
      <c r="B23" s="53" t="s">
        <v>6</v>
      </c>
      <c r="C23" s="53" t="s">
        <v>7</v>
      </c>
      <c r="D23" s="53" t="s">
        <v>8</v>
      </c>
      <c r="E23" s="174" t="s">
        <v>9</v>
      </c>
      <c r="F23" s="174"/>
      <c r="G23" s="53" t="s">
        <v>6</v>
      </c>
      <c r="H23" s="53" t="s">
        <v>7</v>
      </c>
      <c r="I23" s="53" t="s">
        <v>8</v>
      </c>
      <c r="J23" s="174" t="s">
        <v>9</v>
      </c>
      <c r="K23" s="174"/>
    </row>
    <row r="24" spans="1:12" ht="13.5" customHeight="1" x14ac:dyDescent="0.2">
      <c r="A24" s="45" t="s">
        <v>1</v>
      </c>
      <c r="B24" s="164">
        <v>29</v>
      </c>
      <c r="C24" s="165"/>
      <c r="D24" s="166"/>
      <c r="E24" s="182">
        <f>B24/66</f>
        <v>0.43939393939393939</v>
      </c>
      <c r="F24" s="183"/>
      <c r="G24" s="164">
        <v>763</v>
      </c>
      <c r="H24" s="165"/>
      <c r="I24" s="166"/>
      <c r="J24" s="182">
        <f>G24/2339</f>
        <v>0.3262077811030355</v>
      </c>
      <c r="K24" s="183"/>
    </row>
    <row r="25" spans="1:12" ht="13.5" customHeight="1" x14ac:dyDescent="0.2">
      <c r="A25" s="55" t="s">
        <v>0</v>
      </c>
      <c r="B25" s="55">
        <v>12</v>
      </c>
      <c r="C25" s="55">
        <v>8</v>
      </c>
      <c r="D25" s="56">
        <f t="shared" ref="D25:D30" si="4">SUM(B25:C25)</f>
        <v>20</v>
      </c>
      <c r="E25" s="187">
        <f t="shared" ref="E25:E31" si="5">D25/66</f>
        <v>0.30303030303030304</v>
      </c>
      <c r="F25" s="188"/>
      <c r="G25" s="57">
        <v>517</v>
      </c>
      <c r="H25" s="57">
        <v>403</v>
      </c>
      <c r="I25" s="58">
        <f t="shared" ref="I25:I30" si="6">SUM(G25:H25)</f>
        <v>920</v>
      </c>
      <c r="J25" s="187">
        <f>I25/2339</f>
        <v>0.39333048311244123</v>
      </c>
      <c r="K25" s="188"/>
    </row>
    <row r="26" spans="1:12" ht="13.5" customHeight="1" x14ac:dyDescent="0.2">
      <c r="A26" s="55" t="s">
        <v>12</v>
      </c>
      <c r="B26" s="57">
        <v>0</v>
      </c>
      <c r="C26" s="57">
        <v>1</v>
      </c>
      <c r="D26" s="56">
        <f t="shared" si="4"/>
        <v>1</v>
      </c>
      <c r="E26" s="187">
        <f t="shared" si="5"/>
        <v>1.5151515151515152E-2</v>
      </c>
      <c r="F26" s="188"/>
      <c r="G26" s="57">
        <v>32</v>
      </c>
      <c r="H26" s="57">
        <v>169</v>
      </c>
      <c r="I26" s="56">
        <f t="shared" si="6"/>
        <v>201</v>
      </c>
      <c r="J26" s="187">
        <f>I26/2339</f>
        <v>8.5934159897392046E-2</v>
      </c>
      <c r="K26" s="188"/>
    </row>
    <row r="27" spans="1:12" ht="13.5" customHeight="1" x14ac:dyDescent="0.2">
      <c r="A27" s="59" t="s">
        <v>2</v>
      </c>
      <c r="B27" s="59">
        <v>9</v>
      </c>
      <c r="C27" s="59">
        <v>0</v>
      </c>
      <c r="D27" s="60">
        <f t="shared" si="4"/>
        <v>9</v>
      </c>
      <c r="E27" s="66">
        <f t="shared" si="5"/>
        <v>0.13636363636363635</v>
      </c>
      <c r="F27" s="189">
        <f>SUM(E27:E30)</f>
        <v>0.24242424242424243</v>
      </c>
      <c r="G27" s="59">
        <v>195</v>
      </c>
      <c r="H27" s="59">
        <v>3</v>
      </c>
      <c r="I27" s="60">
        <f t="shared" si="6"/>
        <v>198</v>
      </c>
      <c r="J27" s="66">
        <f>I27/2399</f>
        <v>8.2534389328887042E-2</v>
      </c>
      <c r="K27" s="189">
        <f>SUM(J27:J30)</f>
        <v>0.18966235931638184</v>
      </c>
    </row>
    <row r="28" spans="1:12" ht="13.5" customHeight="1" x14ac:dyDescent="0.2">
      <c r="A28" s="59" t="s">
        <v>3</v>
      </c>
      <c r="B28" s="59">
        <v>0</v>
      </c>
      <c r="C28" s="59">
        <v>0</v>
      </c>
      <c r="D28" s="60">
        <f t="shared" si="4"/>
        <v>0</v>
      </c>
      <c r="E28" s="66">
        <f t="shared" si="5"/>
        <v>0</v>
      </c>
      <c r="F28" s="190"/>
      <c r="G28" s="59">
        <v>70</v>
      </c>
      <c r="H28" s="59">
        <v>14</v>
      </c>
      <c r="I28" s="60">
        <f t="shared" si="6"/>
        <v>84</v>
      </c>
      <c r="J28" s="66">
        <f>I28/2399</f>
        <v>3.5014589412255104E-2</v>
      </c>
      <c r="K28" s="190"/>
    </row>
    <row r="29" spans="1:12" ht="13.5" customHeight="1" x14ac:dyDescent="0.2">
      <c r="A29" s="59" t="s">
        <v>4</v>
      </c>
      <c r="B29" s="59">
        <v>5</v>
      </c>
      <c r="C29" s="59">
        <v>2</v>
      </c>
      <c r="D29" s="60">
        <f t="shared" si="4"/>
        <v>7</v>
      </c>
      <c r="E29" s="66">
        <f t="shared" si="5"/>
        <v>0.10606060606060606</v>
      </c>
      <c r="F29" s="190"/>
      <c r="G29" s="59">
        <v>144</v>
      </c>
      <c r="H29" s="59">
        <v>25</v>
      </c>
      <c r="I29" s="60">
        <f t="shared" si="6"/>
        <v>169</v>
      </c>
      <c r="J29" s="66">
        <f>I29/2399</f>
        <v>7.0446019174656108E-2</v>
      </c>
      <c r="K29" s="190"/>
    </row>
    <row r="30" spans="1:12" ht="13.5" customHeight="1" x14ac:dyDescent="0.2">
      <c r="A30" s="59" t="s">
        <v>5</v>
      </c>
      <c r="B30" s="59">
        <v>0</v>
      </c>
      <c r="C30" s="59">
        <v>0</v>
      </c>
      <c r="D30" s="60">
        <f t="shared" si="4"/>
        <v>0</v>
      </c>
      <c r="E30" s="66">
        <f t="shared" si="5"/>
        <v>0</v>
      </c>
      <c r="F30" s="191"/>
      <c r="G30" s="59">
        <v>3</v>
      </c>
      <c r="H30" s="59">
        <v>1</v>
      </c>
      <c r="I30" s="60">
        <f t="shared" si="6"/>
        <v>4</v>
      </c>
      <c r="J30" s="66">
        <f>I30/2399</f>
        <v>1.6673614005835765E-3</v>
      </c>
      <c r="K30" s="191"/>
    </row>
    <row r="31" spans="1:12" ht="13.5" customHeight="1" x14ac:dyDescent="0.3">
      <c r="A31" s="69" t="s">
        <v>8</v>
      </c>
      <c r="B31" s="51">
        <f>SUM(B25:B30)</f>
        <v>26</v>
      </c>
      <c r="C31" s="51">
        <f>SUM(C25:C30)</f>
        <v>11</v>
      </c>
      <c r="D31" s="52">
        <f>D25+D26+B24+D27+D28+D29+D30</f>
        <v>66</v>
      </c>
      <c r="E31" s="193">
        <f t="shared" si="5"/>
        <v>1</v>
      </c>
      <c r="F31" s="193"/>
      <c r="G31" s="51">
        <f>SUM(G25:G30)</f>
        <v>961</v>
      </c>
      <c r="H31" s="51">
        <f>SUM(H25:H30)</f>
        <v>615</v>
      </c>
      <c r="I31" s="52">
        <f>I25+I26+G24+I27+I28+I29+I30</f>
        <v>2339</v>
      </c>
      <c r="J31" s="193">
        <f>I31/2339</f>
        <v>1</v>
      </c>
      <c r="K31" s="193"/>
      <c r="L31" s="43"/>
    </row>
    <row r="32" spans="1:12" s="5" customFormat="1" ht="13.5" customHeight="1" x14ac:dyDescent="0.3">
      <c r="A32" s="1"/>
      <c r="B32" s="2"/>
      <c r="C32" s="2"/>
      <c r="D32" s="3"/>
      <c r="E32" s="4"/>
      <c r="F32" s="4"/>
      <c r="G32" s="2"/>
      <c r="H32" s="2"/>
      <c r="I32" s="3"/>
      <c r="J32" s="4"/>
      <c r="K32" s="4"/>
      <c r="L32" s="6"/>
    </row>
    <row r="33" spans="1:12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</row>
    <row r="34" spans="1:12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</row>
    <row r="35" spans="1:12" s="5" customFormat="1" ht="13.5" customHeight="1" x14ac:dyDescent="0.3">
      <c r="A35" s="126" t="s">
        <v>28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6"/>
    </row>
    <row r="36" spans="1:12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</row>
    <row r="37" spans="1:12" s="5" customFormat="1" ht="13.5" customHeight="1" x14ac:dyDescent="0.3">
      <c r="A37" s="1"/>
      <c r="B37" s="127" t="s">
        <v>10</v>
      </c>
      <c r="C37" s="127"/>
      <c r="D37" s="127"/>
      <c r="E37" s="127"/>
      <c r="F37" s="127"/>
      <c r="G37" s="127" t="s">
        <v>11</v>
      </c>
      <c r="H37" s="127"/>
      <c r="I37" s="127"/>
      <c r="J37" s="127"/>
      <c r="K37" s="127"/>
      <c r="L37" s="6"/>
    </row>
    <row r="38" spans="1:12" s="5" customFormat="1" ht="48.75" customHeight="1" x14ac:dyDescent="0.3">
      <c r="A38" s="1"/>
      <c r="B38" s="44" t="s">
        <v>6</v>
      </c>
      <c r="C38" s="44" t="s">
        <v>7</v>
      </c>
      <c r="D38" s="44" t="s">
        <v>8</v>
      </c>
      <c r="E38" s="173" t="s">
        <v>9</v>
      </c>
      <c r="F38" s="173"/>
      <c r="G38" s="44" t="s">
        <v>6</v>
      </c>
      <c r="H38" s="44" t="s">
        <v>7</v>
      </c>
      <c r="I38" s="44" t="s">
        <v>8</v>
      </c>
      <c r="J38" s="173" t="s">
        <v>9</v>
      </c>
      <c r="K38" s="173"/>
      <c r="L38" s="6"/>
    </row>
    <row r="39" spans="1:12" ht="13.5" customHeight="1" x14ac:dyDescent="0.2">
      <c r="A39" s="45" t="s">
        <v>1</v>
      </c>
      <c r="B39" s="164">
        <v>47</v>
      </c>
      <c r="C39" s="165"/>
      <c r="D39" s="166"/>
      <c r="E39" s="182">
        <f>B39/170</f>
        <v>0.27647058823529413</v>
      </c>
      <c r="F39" s="183"/>
      <c r="G39" s="164">
        <v>91</v>
      </c>
      <c r="H39" s="165"/>
      <c r="I39" s="166"/>
      <c r="J39" s="182">
        <f>G39/1384</f>
        <v>6.5751445086705204E-2</v>
      </c>
      <c r="K39" s="183"/>
    </row>
    <row r="40" spans="1:12" ht="13.5" customHeight="1" x14ac:dyDescent="0.2">
      <c r="A40" s="45" t="s">
        <v>0</v>
      </c>
      <c r="B40" s="45">
        <v>46</v>
      </c>
      <c r="C40" s="45">
        <v>39</v>
      </c>
      <c r="D40" s="46">
        <f t="shared" ref="D40:D45" si="7">SUM(B40:C40)</f>
        <v>85</v>
      </c>
      <c r="E40" s="182">
        <f t="shared" ref="E40:E46" si="8">D40/170</f>
        <v>0.5</v>
      </c>
      <c r="F40" s="183"/>
      <c r="G40" s="47">
        <v>471</v>
      </c>
      <c r="H40" s="47">
        <v>555</v>
      </c>
      <c r="I40" s="48">
        <f t="shared" ref="I40:I45" si="9">SUM(G40:H40)</f>
        <v>1026</v>
      </c>
      <c r="J40" s="182">
        <f t="shared" ref="J40:J46" si="10">I40/1384</f>
        <v>0.74132947976878616</v>
      </c>
      <c r="K40" s="183"/>
    </row>
    <row r="41" spans="1:12" ht="13.5" customHeight="1" x14ac:dyDescent="0.2">
      <c r="A41" s="45" t="s">
        <v>12</v>
      </c>
      <c r="B41" s="47">
        <v>11</v>
      </c>
      <c r="C41" s="47">
        <v>4</v>
      </c>
      <c r="D41" s="46">
        <f t="shared" si="7"/>
        <v>15</v>
      </c>
      <c r="E41" s="182">
        <f t="shared" si="8"/>
        <v>8.8235294117647065E-2</v>
      </c>
      <c r="F41" s="183"/>
      <c r="G41" s="47">
        <v>53</v>
      </c>
      <c r="H41" s="47">
        <v>72</v>
      </c>
      <c r="I41" s="46">
        <f t="shared" si="9"/>
        <v>125</v>
      </c>
      <c r="J41" s="182">
        <f t="shared" si="10"/>
        <v>9.0317919075144512E-2</v>
      </c>
      <c r="K41" s="183"/>
    </row>
    <row r="42" spans="1:12" ht="13.5" customHeight="1" x14ac:dyDescent="0.2">
      <c r="A42" s="45" t="s">
        <v>2</v>
      </c>
      <c r="B42" s="45">
        <v>17</v>
      </c>
      <c r="C42" s="45">
        <v>0</v>
      </c>
      <c r="D42" s="46">
        <f t="shared" si="7"/>
        <v>17</v>
      </c>
      <c r="E42" s="67">
        <f t="shared" si="8"/>
        <v>0.1</v>
      </c>
      <c r="F42" s="184">
        <f>SUM(E42:E45)</f>
        <v>0.13529411764705884</v>
      </c>
      <c r="G42" s="45">
        <v>51</v>
      </c>
      <c r="H42" s="45">
        <v>0</v>
      </c>
      <c r="I42" s="46">
        <f t="shared" si="9"/>
        <v>51</v>
      </c>
      <c r="J42" s="67">
        <f t="shared" si="10"/>
        <v>3.6849710982658962E-2</v>
      </c>
      <c r="K42" s="184">
        <f>SUM(J42:J45)</f>
        <v>0.10260115606936418</v>
      </c>
    </row>
    <row r="43" spans="1:12" ht="13.5" customHeight="1" x14ac:dyDescent="0.2">
      <c r="A43" s="45" t="s">
        <v>3</v>
      </c>
      <c r="B43" s="45">
        <v>1</v>
      </c>
      <c r="C43" s="45">
        <v>0</v>
      </c>
      <c r="D43" s="46">
        <f t="shared" si="7"/>
        <v>1</v>
      </c>
      <c r="E43" s="67">
        <f t="shared" si="8"/>
        <v>5.8823529411764705E-3</v>
      </c>
      <c r="F43" s="185"/>
      <c r="G43" s="45">
        <v>26</v>
      </c>
      <c r="H43" s="45">
        <v>4</v>
      </c>
      <c r="I43" s="46">
        <f t="shared" si="9"/>
        <v>30</v>
      </c>
      <c r="J43" s="67">
        <f t="shared" si="10"/>
        <v>2.1676300578034682E-2</v>
      </c>
      <c r="K43" s="185"/>
    </row>
    <row r="44" spans="1:12" ht="13.5" customHeight="1" x14ac:dyDescent="0.2">
      <c r="A44" s="45" t="s">
        <v>4</v>
      </c>
      <c r="B44" s="45">
        <v>2</v>
      </c>
      <c r="C44" s="45">
        <v>1</v>
      </c>
      <c r="D44" s="46">
        <f t="shared" si="7"/>
        <v>3</v>
      </c>
      <c r="E44" s="67">
        <f t="shared" si="8"/>
        <v>1.7647058823529412E-2</v>
      </c>
      <c r="F44" s="185"/>
      <c r="G44" s="45">
        <v>44</v>
      </c>
      <c r="H44" s="45">
        <v>8</v>
      </c>
      <c r="I44" s="46">
        <f t="shared" si="9"/>
        <v>52</v>
      </c>
      <c r="J44" s="67">
        <f t="shared" si="10"/>
        <v>3.7572254335260118E-2</v>
      </c>
      <c r="K44" s="185"/>
    </row>
    <row r="45" spans="1:12" ht="13.5" customHeight="1" x14ac:dyDescent="0.2">
      <c r="A45" s="45" t="s">
        <v>5</v>
      </c>
      <c r="B45" s="45">
        <v>2</v>
      </c>
      <c r="C45" s="45">
        <v>0</v>
      </c>
      <c r="D45" s="46">
        <f t="shared" si="7"/>
        <v>2</v>
      </c>
      <c r="E45" s="67">
        <f t="shared" si="8"/>
        <v>1.1764705882352941E-2</v>
      </c>
      <c r="F45" s="186"/>
      <c r="G45" s="45">
        <v>6</v>
      </c>
      <c r="H45" s="45">
        <v>3</v>
      </c>
      <c r="I45" s="46">
        <f t="shared" si="9"/>
        <v>9</v>
      </c>
      <c r="J45" s="67">
        <f t="shared" si="10"/>
        <v>6.5028901734104048E-3</v>
      </c>
      <c r="K45" s="186"/>
    </row>
    <row r="46" spans="1:12" ht="13.5" customHeight="1" x14ac:dyDescent="0.2">
      <c r="A46" s="50" t="s">
        <v>8</v>
      </c>
      <c r="B46" s="51">
        <f>SUM(B40:B45)</f>
        <v>79</v>
      </c>
      <c r="C46" s="51">
        <f>SUM(C40:C45)</f>
        <v>44</v>
      </c>
      <c r="D46" s="52">
        <f>D40+D41+B39+D42+D43+D44+D45</f>
        <v>170</v>
      </c>
      <c r="E46" s="157">
        <f t="shared" si="8"/>
        <v>1</v>
      </c>
      <c r="F46" s="180"/>
      <c r="G46" s="51">
        <f>SUM(G40:G45)</f>
        <v>651</v>
      </c>
      <c r="H46" s="51">
        <f>SUM(H40:H45)</f>
        <v>642</v>
      </c>
      <c r="I46" s="52">
        <f>I40+I41+G39+I42+I43+I44+I45</f>
        <v>1384</v>
      </c>
      <c r="J46" s="157">
        <f t="shared" si="10"/>
        <v>1</v>
      </c>
      <c r="K46" s="158"/>
    </row>
    <row r="50" spans="11:12" ht="34.5" customHeight="1" x14ac:dyDescent="0.3">
      <c r="K50" s="146"/>
      <c r="L50" s="146"/>
    </row>
    <row r="51" spans="11:12" ht="30" customHeight="1" x14ac:dyDescent="0.2"/>
  </sheetData>
  <mergeCells count="52">
    <mergeCell ref="B9:D9"/>
    <mergeCell ref="E9:F9"/>
    <mergeCell ref="G9:I9"/>
    <mergeCell ref="J9:K9"/>
    <mergeCell ref="A5:K5"/>
    <mergeCell ref="B7:F7"/>
    <mergeCell ref="G7:K7"/>
    <mergeCell ref="E8:F8"/>
    <mergeCell ref="J8:K8"/>
    <mergeCell ref="E23:F23"/>
    <mergeCell ref="J23:K23"/>
    <mergeCell ref="E10:F10"/>
    <mergeCell ref="J10:K10"/>
    <mergeCell ref="E11:F11"/>
    <mergeCell ref="J11:K11"/>
    <mergeCell ref="F12:F15"/>
    <mergeCell ref="K12:K15"/>
    <mergeCell ref="E16:F16"/>
    <mergeCell ref="J16:K16"/>
    <mergeCell ref="A20:K20"/>
    <mergeCell ref="B22:F22"/>
    <mergeCell ref="G22:K22"/>
    <mergeCell ref="B24:D24"/>
    <mergeCell ref="E24:F24"/>
    <mergeCell ref="G24:I24"/>
    <mergeCell ref="J24:K24"/>
    <mergeCell ref="E25:F25"/>
    <mergeCell ref="J25:K25"/>
    <mergeCell ref="B39:D39"/>
    <mergeCell ref="E39:F39"/>
    <mergeCell ref="G39:I39"/>
    <mergeCell ref="J39:K39"/>
    <mergeCell ref="E26:F26"/>
    <mergeCell ref="J26:K26"/>
    <mergeCell ref="F27:F30"/>
    <mergeCell ref="K27:K30"/>
    <mergeCell ref="E31:F31"/>
    <mergeCell ref="J31:K31"/>
    <mergeCell ref="A35:K35"/>
    <mergeCell ref="B37:F37"/>
    <mergeCell ref="G37:K37"/>
    <mergeCell ref="E38:F38"/>
    <mergeCell ref="J38:K38"/>
    <mergeCell ref="E46:F46"/>
    <mergeCell ref="J46:K46"/>
    <mergeCell ref="K50:L50"/>
    <mergeCell ref="E40:F40"/>
    <mergeCell ref="J40:K40"/>
    <mergeCell ref="E41:F41"/>
    <mergeCell ref="J41:K41"/>
    <mergeCell ref="F42:F45"/>
    <mergeCell ref="K42:K45"/>
  </mergeCells>
  <pageMargins left="0.59055118110236227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J27" sqref="J27:K27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  <col min="19" max="19" width="9.83203125" bestFit="1" customWidth="1"/>
  </cols>
  <sheetData>
    <row r="1" spans="1:23" ht="13.5" customHeight="1" x14ac:dyDescent="0.2"/>
    <row r="2" spans="1:23" ht="13.5" customHeight="1" x14ac:dyDescent="0.2"/>
    <row r="3" spans="1:23" ht="13.5" customHeight="1" x14ac:dyDescent="0.2"/>
    <row r="4" spans="1:23" ht="13.5" customHeight="1" x14ac:dyDescent="0.2"/>
    <row r="5" spans="1:23" ht="13.5" customHeight="1" x14ac:dyDescent="0.2">
      <c r="A5" s="141" t="s">
        <v>44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23" ht="13.5" customHeight="1" x14ac:dyDescent="0.2"/>
    <row r="7" spans="1:23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23" ht="47.25" customHeight="1" x14ac:dyDescent="0.2">
      <c r="A8" s="11"/>
      <c r="B8" s="111" t="s">
        <v>6</v>
      </c>
      <c r="C8" s="111" t="s">
        <v>7</v>
      </c>
      <c r="D8" s="111" t="s">
        <v>8</v>
      </c>
      <c r="E8" s="129" t="s">
        <v>9</v>
      </c>
      <c r="F8" s="129"/>
      <c r="G8" s="109" t="s">
        <v>6</v>
      </c>
      <c r="H8" s="109" t="s">
        <v>7</v>
      </c>
      <c r="I8" s="109" t="s">
        <v>8</v>
      </c>
      <c r="J8" s="129" t="s">
        <v>9</v>
      </c>
      <c r="K8" s="129"/>
      <c r="L8" s="109" t="s">
        <v>6</v>
      </c>
      <c r="M8" s="109" t="s">
        <v>7</v>
      </c>
      <c r="N8" s="109" t="s">
        <v>8</v>
      </c>
      <c r="O8" s="129" t="s">
        <v>9</v>
      </c>
      <c r="P8" s="129"/>
    </row>
    <row r="9" spans="1:23" ht="13.5" customHeight="1" x14ac:dyDescent="0.2">
      <c r="A9" s="37" t="s">
        <v>1</v>
      </c>
      <c r="B9" s="133">
        <v>40</v>
      </c>
      <c r="C9" s="134"/>
      <c r="D9" s="135"/>
      <c r="E9" s="124">
        <f>B9/132</f>
        <v>0.30303030303030304</v>
      </c>
      <c r="F9" s="125"/>
      <c r="G9" s="133">
        <v>794</v>
      </c>
      <c r="H9" s="134"/>
      <c r="I9" s="135"/>
      <c r="J9" s="124">
        <f>G9/4559</f>
        <v>0.17416100021934636</v>
      </c>
      <c r="K9" s="125"/>
      <c r="L9" s="133">
        <v>106</v>
      </c>
      <c r="M9" s="134"/>
      <c r="N9" s="135"/>
      <c r="O9" s="124">
        <f>L9/461</f>
        <v>0.2299349240780911</v>
      </c>
      <c r="P9" s="125"/>
      <c r="S9" s="10"/>
      <c r="T9" s="10"/>
    </row>
    <row r="10" spans="1:23" ht="13.5" customHeight="1" x14ac:dyDescent="0.2">
      <c r="A10" s="37" t="s">
        <v>0</v>
      </c>
      <c r="B10" s="37">
        <v>46</v>
      </c>
      <c r="C10" s="37">
        <v>16</v>
      </c>
      <c r="D10" s="38">
        <f>SUM(B10:C10)</f>
        <v>62</v>
      </c>
      <c r="E10" s="124">
        <f t="shared" ref="E10:E16" si="0">D10/132</f>
        <v>0.46969696969696972</v>
      </c>
      <c r="F10" s="125"/>
      <c r="G10" s="37">
        <v>1225</v>
      </c>
      <c r="H10" s="37">
        <v>928</v>
      </c>
      <c r="I10" s="38">
        <f>SUM(G10:H10)</f>
        <v>2153</v>
      </c>
      <c r="J10" s="124">
        <f>I10/4559</f>
        <v>0.47225268699276157</v>
      </c>
      <c r="K10" s="125"/>
      <c r="L10" s="37">
        <v>102</v>
      </c>
      <c r="M10" s="37">
        <v>113</v>
      </c>
      <c r="N10" s="38">
        <f>SUM(L10:M10)</f>
        <v>215</v>
      </c>
      <c r="O10" s="124">
        <f>N10/461</f>
        <v>0.46637744034707157</v>
      </c>
      <c r="P10" s="125"/>
      <c r="T10" s="97"/>
      <c r="U10" s="97"/>
      <c r="V10" s="97"/>
      <c r="W10" s="97"/>
    </row>
    <row r="11" spans="1:23" ht="13.5" customHeight="1" x14ac:dyDescent="0.2">
      <c r="A11" s="37" t="s">
        <v>12</v>
      </c>
      <c r="B11" s="37">
        <v>12</v>
      </c>
      <c r="C11" s="37">
        <v>5</v>
      </c>
      <c r="D11" s="38">
        <f t="shared" ref="D11:D15" si="1">SUM(B11:C11)</f>
        <v>17</v>
      </c>
      <c r="E11" s="124">
        <f t="shared" si="0"/>
        <v>0.12878787878787878</v>
      </c>
      <c r="F11" s="125"/>
      <c r="G11" s="37">
        <v>206</v>
      </c>
      <c r="H11" s="37">
        <v>357</v>
      </c>
      <c r="I11" s="38">
        <f t="shared" ref="I11:I15" si="2">SUM(G11:H11)</f>
        <v>563</v>
      </c>
      <c r="J11" s="124">
        <f>I11/4559</f>
        <v>0.12349199385830226</v>
      </c>
      <c r="K11" s="125"/>
      <c r="L11" s="37">
        <v>18</v>
      </c>
      <c r="M11" s="37">
        <v>16</v>
      </c>
      <c r="N11" s="38">
        <f t="shared" ref="N11:N15" si="3">SUM(L11:M11)</f>
        <v>34</v>
      </c>
      <c r="O11" s="124">
        <f>N11/461</f>
        <v>7.3752711496746198E-2</v>
      </c>
      <c r="P11" s="125"/>
      <c r="T11" s="97"/>
      <c r="U11" s="97"/>
      <c r="V11" s="97"/>
      <c r="W11" s="97"/>
    </row>
    <row r="12" spans="1:23" ht="13.5" customHeight="1" x14ac:dyDescent="0.2">
      <c r="A12" s="37" t="s">
        <v>2</v>
      </c>
      <c r="B12" s="37">
        <v>9</v>
      </c>
      <c r="C12" s="37">
        <v>0</v>
      </c>
      <c r="D12" s="38">
        <f t="shared" si="1"/>
        <v>9</v>
      </c>
      <c r="E12" s="18">
        <f t="shared" si="0"/>
        <v>6.8181818181818177E-2</v>
      </c>
      <c r="F12" s="117">
        <f>SUM(E12:E15)</f>
        <v>9.8484848484848467E-2</v>
      </c>
      <c r="G12" s="37">
        <v>607</v>
      </c>
      <c r="H12" s="37">
        <v>6</v>
      </c>
      <c r="I12" s="38">
        <f t="shared" si="2"/>
        <v>613</v>
      </c>
      <c r="J12" s="18">
        <f>I12/4559</f>
        <v>0.13445931125246766</v>
      </c>
      <c r="K12" s="117">
        <f>SUM(J12:J15)</f>
        <v>0.23009431892958984</v>
      </c>
      <c r="L12" s="37">
        <v>43</v>
      </c>
      <c r="M12" s="37">
        <v>0</v>
      </c>
      <c r="N12" s="38">
        <f t="shared" si="3"/>
        <v>43</v>
      </c>
      <c r="O12" s="18">
        <f>N12/461</f>
        <v>9.3275488069414311E-2</v>
      </c>
      <c r="P12" s="117">
        <f>SUM(O12:O15)</f>
        <v>0.2299349240780911</v>
      </c>
      <c r="T12" s="97"/>
      <c r="U12" s="97"/>
      <c r="V12" s="97"/>
      <c r="W12" s="97"/>
    </row>
    <row r="13" spans="1:23" ht="13.5" customHeight="1" x14ac:dyDescent="0.2">
      <c r="A13" s="37" t="s">
        <v>3</v>
      </c>
      <c r="B13" s="37">
        <v>1</v>
      </c>
      <c r="C13" s="37">
        <v>0</v>
      </c>
      <c r="D13" s="38">
        <f t="shared" si="1"/>
        <v>1</v>
      </c>
      <c r="E13" s="18">
        <f t="shared" si="0"/>
        <v>7.575757575757576E-3</v>
      </c>
      <c r="F13" s="118"/>
      <c r="G13" s="37">
        <v>118</v>
      </c>
      <c r="H13" s="37">
        <v>12</v>
      </c>
      <c r="I13" s="38">
        <f t="shared" si="2"/>
        <v>130</v>
      </c>
      <c r="J13" s="18">
        <f t="shared" ref="J13:J15" si="4">I13/4559</f>
        <v>2.8515025224830008E-2</v>
      </c>
      <c r="K13" s="118"/>
      <c r="L13" s="37">
        <v>13</v>
      </c>
      <c r="M13" s="37">
        <v>3</v>
      </c>
      <c r="N13" s="38">
        <f t="shared" si="3"/>
        <v>16</v>
      </c>
      <c r="O13" s="18">
        <f t="shared" ref="O13:O15" si="5">N13/461</f>
        <v>3.4707158351409979E-2</v>
      </c>
      <c r="P13" s="118"/>
      <c r="T13" s="97"/>
      <c r="U13" s="97"/>
      <c r="V13" s="97"/>
      <c r="W13" s="97"/>
    </row>
    <row r="14" spans="1:23" ht="13.5" customHeight="1" x14ac:dyDescent="0.2">
      <c r="A14" s="37" t="s">
        <v>4</v>
      </c>
      <c r="B14" s="37">
        <v>1</v>
      </c>
      <c r="C14" s="37">
        <v>0</v>
      </c>
      <c r="D14" s="38">
        <f t="shared" si="1"/>
        <v>1</v>
      </c>
      <c r="E14" s="18">
        <f t="shared" si="0"/>
        <v>7.575757575757576E-3</v>
      </c>
      <c r="F14" s="118"/>
      <c r="G14" s="37">
        <v>251</v>
      </c>
      <c r="H14" s="37">
        <v>33</v>
      </c>
      <c r="I14" s="38">
        <f t="shared" si="2"/>
        <v>284</v>
      </c>
      <c r="J14" s="18">
        <f t="shared" si="4"/>
        <v>6.2294362798859401E-2</v>
      </c>
      <c r="K14" s="118"/>
      <c r="L14" s="37">
        <v>34</v>
      </c>
      <c r="M14" s="37">
        <v>5</v>
      </c>
      <c r="N14" s="38">
        <f t="shared" si="3"/>
        <v>39</v>
      </c>
      <c r="O14" s="18">
        <f t="shared" si="5"/>
        <v>8.4598698481561818E-2</v>
      </c>
      <c r="P14" s="118"/>
      <c r="T14" s="97"/>
      <c r="U14" s="97"/>
      <c r="V14" s="97"/>
      <c r="W14" s="97"/>
    </row>
    <row r="15" spans="1:23" x14ac:dyDescent="0.2">
      <c r="A15" s="37" t="s">
        <v>5</v>
      </c>
      <c r="B15" s="37">
        <v>2</v>
      </c>
      <c r="C15" s="37">
        <v>0</v>
      </c>
      <c r="D15" s="38">
        <f t="shared" si="1"/>
        <v>2</v>
      </c>
      <c r="E15" s="18">
        <f t="shared" si="0"/>
        <v>1.5151515151515152E-2</v>
      </c>
      <c r="F15" s="119"/>
      <c r="G15" s="37">
        <v>17</v>
      </c>
      <c r="H15" s="37">
        <v>5</v>
      </c>
      <c r="I15" s="38">
        <f t="shared" si="2"/>
        <v>22</v>
      </c>
      <c r="J15" s="18">
        <f t="shared" si="4"/>
        <v>4.8256196534327703E-3</v>
      </c>
      <c r="K15" s="119"/>
      <c r="L15" s="37">
        <v>5</v>
      </c>
      <c r="M15" s="37">
        <v>3</v>
      </c>
      <c r="N15" s="38">
        <f t="shared" si="3"/>
        <v>8</v>
      </c>
      <c r="O15" s="18">
        <f t="shared" si="5"/>
        <v>1.735357917570499E-2</v>
      </c>
      <c r="P15" s="119"/>
      <c r="T15" s="97"/>
      <c r="U15" s="97"/>
      <c r="V15" s="97"/>
      <c r="W15" s="97"/>
    </row>
    <row r="16" spans="1:23" x14ac:dyDescent="0.2">
      <c r="A16" s="90" t="s">
        <v>8</v>
      </c>
      <c r="B16" s="74">
        <f>SUM(B10:B15)</f>
        <v>71</v>
      </c>
      <c r="C16" s="74">
        <f>SUM(C10:C15)</f>
        <v>21</v>
      </c>
      <c r="D16" s="75">
        <f>D10+D11+B9+D12+D13+D14+D15</f>
        <v>132</v>
      </c>
      <c r="E16" s="120">
        <f t="shared" si="0"/>
        <v>1</v>
      </c>
      <c r="F16" s="121"/>
      <c r="G16" s="74">
        <f>SUM(G10:G15)</f>
        <v>2424</v>
      </c>
      <c r="H16" s="74">
        <f>SUM(H10:H15)</f>
        <v>1341</v>
      </c>
      <c r="I16" s="75">
        <f>I10+I11+G9+I12+I13+I14+I15</f>
        <v>4559</v>
      </c>
      <c r="J16" s="120">
        <f>I16/4559</f>
        <v>1</v>
      </c>
      <c r="K16" s="122"/>
      <c r="L16" s="74">
        <f>SUM(L10:L15)</f>
        <v>215</v>
      </c>
      <c r="M16" s="74">
        <f>SUM(M10:M15)</f>
        <v>140</v>
      </c>
      <c r="N16" s="75">
        <f>N10+N11+L9+N12+N13+N14+N15</f>
        <v>461</v>
      </c>
      <c r="O16" s="120">
        <f>N16/461</f>
        <v>1</v>
      </c>
      <c r="P16" s="122"/>
      <c r="T16" s="97"/>
      <c r="U16" s="97"/>
      <c r="V16" s="97"/>
      <c r="W16" s="97"/>
    </row>
    <row r="17" spans="1:24" s="5" customFormat="1" ht="13.5" customHeight="1" x14ac:dyDescent="0.2">
      <c r="A17" s="1"/>
      <c r="B17" s="2"/>
      <c r="C17" s="2"/>
      <c r="D17" s="3"/>
      <c r="E17" s="108"/>
      <c r="F17" s="108"/>
      <c r="G17" s="2"/>
      <c r="H17" s="2"/>
      <c r="I17" s="3"/>
      <c r="J17" s="108"/>
      <c r="K17" s="108"/>
      <c r="T17" s="98"/>
      <c r="U17" s="106"/>
      <c r="V17" s="106"/>
      <c r="W17" s="106"/>
      <c r="X17" s="106"/>
    </row>
    <row r="18" spans="1:24" s="5" customFormat="1" ht="13.5" customHeight="1" x14ac:dyDescent="0.2">
      <c r="A18" s="1"/>
      <c r="B18" s="2"/>
      <c r="C18" s="2"/>
      <c r="D18" s="3"/>
      <c r="E18" s="108"/>
      <c r="F18" s="108"/>
      <c r="G18" s="2"/>
      <c r="H18" s="2"/>
      <c r="I18" s="3"/>
      <c r="J18" s="108"/>
      <c r="K18" s="108"/>
      <c r="T18" s="98"/>
      <c r="U18" s="98"/>
      <c r="V18" s="98"/>
      <c r="W18" s="98"/>
      <c r="X18" s="98"/>
    </row>
    <row r="19" spans="1:24" s="5" customFormat="1" ht="13.5" customHeight="1" x14ac:dyDescent="0.2">
      <c r="A19" s="1"/>
      <c r="B19" s="2"/>
      <c r="C19" s="2"/>
      <c r="D19" s="3"/>
      <c r="E19" s="108"/>
      <c r="F19" s="108"/>
      <c r="G19" s="2"/>
      <c r="H19" s="2"/>
      <c r="I19" s="3"/>
      <c r="J19" s="108"/>
      <c r="K19" s="108"/>
      <c r="T19" s="98"/>
      <c r="U19" s="98"/>
      <c r="V19" s="98"/>
      <c r="W19" s="98"/>
      <c r="X19" s="98"/>
    </row>
    <row r="20" spans="1:24" s="5" customFormat="1" ht="13.5" customHeight="1" x14ac:dyDescent="0.2">
      <c r="A20" s="1"/>
      <c r="B20" s="2"/>
      <c r="C20" s="2"/>
      <c r="D20" s="3"/>
      <c r="E20" s="108"/>
      <c r="F20" s="108"/>
      <c r="G20" s="2"/>
      <c r="H20" s="2"/>
      <c r="I20" s="3"/>
      <c r="J20" s="108"/>
      <c r="K20" s="108"/>
      <c r="T20" s="98"/>
      <c r="U20" s="98"/>
      <c r="V20" s="98"/>
      <c r="W20" s="98"/>
      <c r="X20" s="98"/>
    </row>
    <row r="21" spans="1:24" s="5" customFormat="1" ht="13.5" customHeight="1" x14ac:dyDescent="0.2">
      <c r="A21" s="126" t="s">
        <v>45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T21" s="98"/>
      <c r="U21" s="98"/>
      <c r="V21" s="98"/>
      <c r="W21" s="98"/>
      <c r="X21" s="98"/>
    </row>
    <row r="22" spans="1:24" s="5" customFormat="1" ht="13.5" customHeight="1" x14ac:dyDescent="0.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U22" s="98"/>
      <c r="V22" s="98"/>
      <c r="W22" s="98"/>
      <c r="X22" s="98"/>
    </row>
    <row r="23" spans="1:24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  <c r="U23" s="107"/>
      <c r="V23" s="107"/>
      <c r="W23" s="107"/>
      <c r="X23" s="107"/>
    </row>
    <row r="24" spans="1:24" s="23" customFormat="1" ht="45.75" x14ac:dyDescent="0.2">
      <c r="A24" s="22"/>
      <c r="B24" s="110" t="s">
        <v>6</v>
      </c>
      <c r="C24" s="110" t="s">
        <v>7</v>
      </c>
      <c r="D24" s="110" t="s">
        <v>8</v>
      </c>
      <c r="E24" s="140" t="s">
        <v>9</v>
      </c>
      <c r="F24" s="140"/>
      <c r="G24" s="110" t="s">
        <v>6</v>
      </c>
      <c r="H24" s="110" t="s">
        <v>7</v>
      </c>
      <c r="I24" s="110" t="s">
        <v>8</v>
      </c>
      <c r="J24" s="144" t="s">
        <v>9</v>
      </c>
      <c r="K24" s="144"/>
      <c r="L24" s="111" t="s">
        <v>6</v>
      </c>
      <c r="M24" s="111" t="s">
        <v>7</v>
      </c>
      <c r="N24" s="111" t="s">
        <v>8</v>
      </c>
      <c r="O24" s="129" t="s">
        <v>9</v>
      </c>
      <c r="P24" s="129"/>
      <c r="U24" s="107"/>
      <c r="V24" s="107"/>
      <c r="W24" s="107"/>
      <c r="X24" s="107"/>
    </row>
    <row r="25" spans="1:24" s="25" customFormat="1" ht="13.5" customHeight="1" x14ac:dyDescent="0.2">
      <c r="A25" s="13" t="s">
        <v>1</v>
      </c>
      <c r="B25" s="130">
        <v>18</v>
      </c>
      <c r="C25" s="131"/>
      <c r="D25" s="132"/>
      <c r="E25" s="124">
        <f>B25/40</f>
        <v>0.45</v>
      </c>
      <c r="F25" s="125"/>
      <c r="G25" s="130">
        <v>732</v>
      </c>
      <c r="H25" s="131"/>
      <c r="I25" s="132"/>
      <c r="J25" s="124">
        <f>G25/3031</f>
        <v>0.24150445397558562</v>
      </c>
      <c r="K25" s="125"/>
      <c r="L25" s="130">
        <v>86</v>
      </c>
      <c r="M25" s="131"/>
      <c r="N25" s="132"/>
      <c r="O25" s="124">
        <f>L25/188</f>
        <v>0.45744680851063829</v>
      </c>
      <c r="P25" s="125"/>
      <c r="S25" s="39"/>
      <c r="T25" s="96"/>
      <c r="U25" s="96"/>
      <c r="V25" s="96"/>
      <c r="W25" s="96"/>
      <c r="X25" s="96"/>
    </row>
    <row r="26" spans="1:24" s="25" customFormat="1" ht="13.5" customHeight="1" x14ac:dyDescent="0.2">
      <c r="A26" s="26" t="s">
        <v>0</v>
      </c>
      <c r="B26" s="26">
        <v>9</v>
      </c>
      <c r="C26" s="26">
        <v>4</v>
      </c>
      <c r="D26" s="14">
        <f>SUM(B26:C26)</f>
        <v>13</v>
      </c>
      <c r="E26" s="142">
        <f>D26/40</f>
        <v>0.32500000000000001</v>
      </c>
      <c r="F26" s="143"/>
      <c r="G26" s="28">
        <v>653</v>
      </c>
      <c r="H26" s="28">
        <v>430</v>
      </c>
      <c r="I26" s="38">
        <f>SUM(G26:H26)</f>
        <v>1083</v>
      </c>
      <c r="J26" s="124">
        <f>I26/3031</f>
        <v>0.35730781920158361</v>
      </c>
      <c r="K26" s="125"/>
      <c r="L26" s="15">
        <v>13</v>
      </c>
      <c r="M26" s="15">
        <v>21</v>
      </c>
      <c r="N26" s="38">
        <f>SUM(L26:M26)</f>
        <v>34</v>
      </c>
      <c r="O26" s="124">
        <f>N26/188</f>
        <v>0.18085106382978725</v>
      </c>
      <c r="P26" s="125"/>
      <c r="T26" s="96"/>
      <c r="U26" s="96"/>
      <c r="V26" s="96"/>
      <c r="W26" s="96"/>
      <c r="X26" s="96"/>
    </row>
    <row r="27" spans="1:24" s="25" customFormat="1" ht="13.5" customHeight="1" x14ac:dyDescent="0.2">
      <c r="A27" s="26" t="s">
        <v>12</v>
      </c>
      <c r="B27" s="28">
        <v>2</v>
      </c>
      <c r="C27" s="28">
        <v>0</v>
      </c>
      <c r="D27" s="14">
        <f t="shared" ref="D27:D31" si="6">SUM(B27:C27)</f>
        <v>2</v>
      </c>
      <c r="E27" s="142">
        <f>D27/40</f>
        <v>0.05</v>
      </c>
      <c r="F27" s="143"/>
      <c r="G27" s="28">
        <v>114</v>
      </c>
      <c r="H27" s="28">
        <v>283</v>
      </c>
      <c r="I27" s="38">
        <f t="shared" ref="I27:I31" si="7">SUM(G27:H27)</f>
        <v>397</v>
      </c>
      <c r="J27" s="124">
        <f>I27/3031</f>
        <v>0.13097987462883537</v>
      </c>
      <c r="K27" s="125"/>
      <c r="L27" s="15">
        <v>5</v>
      </c>
      <c r="M27" s="15">
        <v>8</v>
      </c>
      <c r="N27" s="38">
        <f t="shared" ref="N27:N31" si="8">SUM(L27:M27)</f>
        <v>13</v>
      </c>
      <c r="O27" s="124">
        <f>N27/188</f>
        <v>6.9148936170212769E-2</v>
      </c>
      <c r="P27" s="125"/>
      <c r="T27" s="96"/>
      <c r="U27" s="96"/>
      <c r="V27" s="96"/>
      <c r="W27" s="96"/>
      <c r="X27" s="96"/>
    </row>
    <row r="28" spans="1:24" s="25" customFormat="1" ht="13.5" customHeight="1" x14ac:dyDescent="0.2">
      <c r="A28" s="30" t="s">
        <v>2</v>
      </c>
      <c r="B28" s="30">
        <v>4</v>
      </c>
      <c r="C28" s="30">
        <v>0</v>
      </c>
      <c r="D28" s="14">
        <f t="shared" si="6"/>
        <v>4</v>
      </c>
      <c r="E28" s="36">
        <f>D28/40</f>
        <v>0.1</v>
      </c>
      <c r="F28" s="136">
        <f>SUM(E28:E31)</f>
        <v>0.17499999999999999</v>
      </c>
      <c r="G28" s="30">
        <v>519</v>
      </c>
      <c r="H28" s="30">
        <v>4</v>
      </c>
      <c r="I28" s="38">
        <f t="shared" si="7"/>
        <v>523</v>
      </c>
      <c r="J28" s="36">
        <f>I28/3031</f>
        <v>0.17255031342791158</v>
      </c>
      <c r="K28" s="136">
        <f>SUM(J28:J31)</f>
        <v>0.2702078521939954</v>
      </c>
      <c r="L28" s="13">
        <v>25</v>
      </c>
      <c r="M28" s="13">
        <v>0</v>
      </c>
      <c r="N28" s="38">
        <f t="shared" si="8"/>
        <v>25</v>
      </c>
      <c r="O28" s="18">
        <f>N28/188</f>
        <v>0.13297872340425532</v>
      </c>
      <c r="P28" s="117">
        <f>SUM(O28:O31)</f>
        <v>0.29255319148936171</v>
      </c>
      <c r="T28" s="96"/>
      <c r="U28" s="96"/>
      <c r="V28" s="96"/>
      <c r="W28" s="96"/>
      <c r="X28" s="96"/>
    </row>
    <row r="29" spans="1:24" s="25" customFormat="1" ht="13.5" customHeight="1" x14ac:dyDescent="0.2">
      <c r="A29" s="30" t="s">
        <v>3</v>
      </c>
      <c r="B29" s="30">
        <v>0</v>
      </c>
      <c r="C29" s="30">
        <v>0</v>
      </c>
      <c r="D29" s="14">
        <f t="shared" si="6"/>
        <v>0</v>
      </c>
      <c r="E29" s="36">
        <f t="shared" ref="E29:E31" si="9">D29/40</f>
        <v>0</v>
      </c>
      <c r="F29" s="137"/>
      <c r="G29" s="30">
        <v>75</v>
      </c>
      <c r="H29" s="30">
        <v>9</v>
      </c>
      <c r="I29" s="38">
        <f t="shared" si="7"/>
        <v>84</v>
      </c>
      <c r="J29" s="36">
        <f t="shared" ref="J29:J31" si="10">I29/3031</f>
        <v>2.771362586605081E-2</v>
      </c>
      <c r="K29" s="137"/>
      <c r="L29" s="13">
        <v>7</v>
      </c>
      <c r="M29" s="13">
        <v>1</v>
      </c>
      <c r="N29" s="38">
        <f t="shared" si="8"/>
        <v>8</v>
      </c>
      <c r="O29" s="18">
        <f t="shared" ref="O29:O31" si="11">N29/188</f>
        <v>4.2553191489361701E-2</v>
      </c>
      <c r="P29" s="118"/>
      <c r="S29" s="96"/>
      <c r="T29" s="96"/>
      <c r="U29" s="96"/>
      <c r="V29" s="96"/>
      <c r="W29" s="96"/>
      <c r="X29" s="96"/>
    </row>
    <row r="30" spans="1:24" s="25" customFormat="1" ht="13.5" customHeight="1" x14ac:dyDescent="0.2">
      <c r="A30" s="30" t="s">
        <v>4</v>
      </c>
      <c r="B30" s="30">
        <v>1</v>
      </c>
      <c r="C30" s="30">
        <v>0</v>
      </c>
      <c r="D30" s="14">
        <f t="shared" si="6"/>
        <v>1</v>
      </c>
      <c r="E30" s="36">
        <f t="shared" si="9"/>
        <v>2.5000000000000001E-2</v>
      </c>
      <c r="F30" s="137"/>
      <c r="G30" s="30">
        <v>181</v>
      </c>
      <c r="H30" s="30">
        <v>28</v>
      </c>
      <c r="I30" s="38">
        <f t="shared" si="7"/>
        <v>209</v>
      </c>
      <c r="J30" s="36">
        <f t="shared" si="10"/>
        <v>6.8954140547674028E-2</v>
      </c>
      <c r="K30" s="137"/>
      <c r="L30" s="13">
        <v>18</v>
      </c>
      <c r="M30" s="13">
        <v>3</v>
      </c>
      <c r="N30" s="38">
        <f t="shared" si="8"/>
        <v>21</v>
      </c>
      <c r="O30" s="18">
        <f t="shared" si="11"/>
        <v>0.11170212765957446</v>
      </c>
      <c r="P30" s="118"/>
      <c r="T30" s="96"/>
      <c r="U30" s="96"/>
      <c r="V30" s="96"/>
      <c r="W30" s="96"/>
      <c r="X30" s="96"/>
    </row>
    <row r="31" spans="1:24" s="25" customFormat="1" ht="13.5" customHeight="1" x14ac:dyDescent="0.2">
      <c r="A31" s="30" t="s">
        <v>5</v>
      </c>
      <c r="B31" s="30">
        <v>2</v>
      </c>
      <c r="C31" s="30">
        <v>0</v>
      </c>
      <c r="D31" s="14">
        <f t="shared" si="6"/>
        <v>2</v>
      </c>
      <c r="E31" s="36">
        <f t="shared" si="9"/>
        <v>0.05</v>
      </c>
      <c r="F31" s="138"/>
      <c r="G31" s="30">
        <v>2</v>
      </c>
      <c r="H31" s="30">
        <v>1</v>
      </c>
      <c r="I31" s="38">
        <f t="shared" si="7"/>
        <v>3</v>
      </c>
      <c r="J31" s="36">
        <f t="shared" si="10"/>
        <v>9.8977235235895742E-4</v>
      </c>
      <c r="K31" s="138"/>
      <c r="L31" s="13">
        <v>0</v>
      </c>
      <c r="M31" s="13">
        <v>1</v>
      </c>
      <c r="N31" s="38">
        <f t="shared" si="8"/>
        <v>1</v>
      </c>
      <c r="O31" s="18">
        <f t="shared" si="11"/>
        <v>5.3191489361702126E-3</v>
      </c>
      <c r="P31" s="119"/>
      <c r="S31" s="96"/>
      <c r="T31" s="96"/>
      <c r="U31" s="104"/>
      <c r="V31" s="104"/>
      <c r="W31" s="104"/>
      <c r="X31" s="104"/>
    </row>
    <row r="32" spans="1:24" s="25" customFormat="1" ht="13.5" customHeight="1" x14ac:dyDescent="0.2">
      <c r="A32" s="32" t="s">
        <v>8</v>
      </c>
      <c r="B32" s="33">
        <f>SUM(B26:B31)</f>
        <v>18</v>
      </c>
      <c r="C32" s="33">
        <f>SUM(C26:C31)</f>
        <v>4</v>
      </c>
      <c r="D32" s="34">
        <f>D26+D27+B25+D28+D29+D30+D31</f>
        <v>40</v>
      </c>
      <c r="E32" s="139">
        <f>D32/40</f>
        <v>1</v>
      </c>
      <c r="F32" s="139"/>
      <c r="G32" s="33">
        <f>SUM(G26:G31)</f>
        <v>1544</v>
      </c>
      <c r="H32" s="33">
        <f>SUM(H26:H31)</f>
        <v>755</v>
      </c>
      <c r="I32" s="34">
        <f>I26+I27+G25+I28+I29+I30+I31</f>
        <v>3031</v>
      </c>
      <c r="J32" s="139">
        <f>I32/3031</f>
        <v>1</v>
      </c>
      <c r="K32" s="139"/>
      <c r="L32" s="20">
        <f>SUM(L26:L31)</f>
        <v>68</v>
      </c>
      <c r="M32" s="20">
        <f>SUM(M26:M31)</f>
        <v>34</v>
      </c>
      <c r="N32" s="21">
        <f>N26+N27+L25+N28+N29+N30+N31</f>
        <v>188</v>
      </c>
      <c r="O32" s="120">
        <f>N32/188</f>
        <v>1</v>
      </c>
      <c r="P32" s="122"/>
      <c r="T32" s="96"/>
      <c r="U32" s="96"/>
      <c r="V32" s="96"/>
      <c r="W32" s="96"/>
    </row>
    <row r="33" spans="1:24" s="5" customFormat="1" ht="13.5" customHeight="1" x14ac:dyDescent="0.3">
      <c r="A33" s="1"/>
      <c r="B33" s="2"/>
      <c r="C33" s="2"/>
      <c r="D33" s="3"/>
      <c r="E33" s="108"/>
      <c r="F33" s="108"/>
      <c r="G33" s="2"/>
      <c r="H33" s="2"/>
      <c r="I33" s="3"/>
      <c r="J33" s="108"/>
      <c r="K33" s="108"/>
      <c r="L33" s="6"/>
      <c r="N33" s="8"/>
      <c r="O33" s="9"/>
      <c r="P33" s="9"/>
      <c r="T33" s="98"/>
      <c r="U33" s="98"/>
      <c r="V33" s="98"/>
      <c r="W33" s="98"/>
    </row>
    <row r="34" spans="1:24" s="5" customFormat="1" ht="13.5" customHeight="1" x14ac:dyDescent="0.3">
      <c r="A34" s="1"/>
      <c r="B34" s="2"/>
      <c r="C34" s="2"/>
      <c r="D34" s="3"/>
      <c r="E34" s="115"/>
      <c r="F34" s="115"/>
      <c r="G34" s="2"/>
      <c r="H34" s="2"/>
      <c r="I34" s="3"/>
      <c r="J34" s="115"/>
      <c r="K34" s="115"/>
      <c r="L34" s="6"/>
      <c r="N34" s="8"/>
      <c r="O34" s="115"/>
      <c r="P34" s="115"/>
      <c r="T34" s="98"/>
      <c r="U34" s="98"/>
      <c r="V34" s="98"/>
      <c r="W34" s="98"/>
    </row>
    <row r="35" spans="1:24" s="5" customFormat="1" ht="13.5" customHeight="1" x14ac:dyDescent="0.3">
      <c r="A35" s="1"/>
      <c r="B35" s="2"/>
      <c r="C35" s="2"/>
      <c r="D35" s="3"/>
      <c r="E35" s="108"/>
      <c r="F35" s="108"/>
      <c r="G35" s="2"/>
      <c r="H35" s="2"/>
      <c r="I35" s="3"/>
      <c r="J35" s="108"/>
      <c r="K35" s="108"/>
      <c r="L35" s="6"/>
      <c r="N35" s="8"/>
      <c r="O35" s="9"/>
      <c r="P35" s="9"/>
      <c r="S35" s="88"/>
      <c r="T35" s="98"/>
      <c r="U35" s="98"/>
      <c r="V35" s="98"/>
      <c r="W35" s="98"/>
    </row>
    <row r="36" spans="1:24" s="5" customFormat="1" ht="13.5" customHeight="1" x14ac:dyDescent="0.3">
      <c r="A36" s="1"/>
      <c r="B36" s="2"/>
      <c r="C36" s="2"/>
      <c r="D36" s="3"/>
      <c r="E36" s="108"/>
      <c r="F36" s="108"/>
      <c r="G36" s="2"/>
      <c r="H36" s="2"/>
      <c r="I36" s="3"/>
      <c r="J36" s="108"/>
      <c r="K36" s="108"/>
      <c r="L36" s="6"/>
      <c r="N36" s="8"/>
      <c r="O36" s="9"/>
      <c r="P36" s="9"/>
      <c r="T36" s="98"/>
      <c r="U36" s="98"/>
      <c r="V36" s="98"/>
      <c r="W36" s="98"/>
    </row>
    <row r="37" spans="1:24" s="5" customFormat="1" ht="13.5" customHeight="1" x14ac:dyDescent="0.2">
      <c r="A37" s="126" t="s">
        <v>46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S37" s="98"/>
      <c r="T37" s="98"/>
      <c r="U37" s="98"/>
      <c r="V37" s="98"/>
      <c r="W37" s="98"/>
    </row>
    <row r="38" spans="1:24" s="5" customFormat="1" ht="13.5" customHeight="1" x14ac:dyDescent="0.3">
      <c r="A38" s="1"/>
      <c r="B38" s="2"/>
      <c r="C38" s="2"/>
      <c r="D38" s="3"/>
      <c r="E38" s="108"/>
      <c r="F38" s="108"/>
      <c r="G38" s="2"/>
      <c r="H38" s="2"/>
      <c r="I38" s="3"/>
      <c r="J38" s="108"/>
      <c r="K38" s="108"/>
      <c r="L38" s="6"/>
      <c r="N38" s="8"/>
      <c r="O38" s="9"/>
      <c r="P38" s="9"/>
    </row>
    <row r="39" spans="1:24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24" s="23" customFormat="1" ht="45.75" x14ac:dyDescent="0.2">
      <c r="A40" s="35"/>
      <c r="B40" s="111" t="s">
        <v>6</v>
      </c>
      <c r="C40" s="111" t="s">
        <v>7</v>
      </c>
      <c r="D40" s="111" t="s">
        <v>8</v>
      </c>
      <c r="E40" s="129" t="s">
        <v>9</v>
      </c>
      <c r="F40" s="129"/>
      <c r="G40" s="111" t="s">
        <v>6</v>
      </c>
      <c r="H40" s="111" t="s">
        <v>7</v>
      </c>
      <c r="I40" s="111" t="s">
        <v>8</v>
      </c>
      <c r="J40" s="129" t="s">
        <v>9</v>
      </c>
      <c r="K40" s="129"/>
      <c r="L40" s="111" t="s">
        <v>6</v>
      </c>
      <c r="M40" s="111" t="s">
        <v>7</v>
      </c>
      <c r="N40" s="111" t="s">
        <v>8</v>
      </c>
      <c r="O40" s="129" t="s">
        <v>9</v>
      </c>
      <c r="P40" s="129"/>
    </row>
    <row r="41" spans="1:24" s="25" customFormat="1" ht="13.5" customHeight="1" x14ac:dyDescent="0.2">
      <c r="A41" s="13" t="s">
        <v>1</v>
      </c>
      <c r="B41" s="130">
        <v>20</v>
      </c>
      <c r="C41" s="131"/>
      <c r="D41" s="132"/>
      <c r="E41" s="124">
        <f>B41/80</f>
        <v>0.25</v>
      </c>
      <c r="F41" s="125"/>
      <c r="G41" s="133">
        <v>48</v>
      </c>
      <c r="H41" s="134"/>
      <c r="I41" s="135"/>
      <c r="J41" s="124">
        <f>G41/1236</f>
        <v>3.8834951456310676E-2</v>
      </c>
      <c r="K41" s="125"/>
      <c r="L41" s="133">
        <v>18</v>
      </c>
      <c r="M41" s="134"/>
      <c r="N41" s="135"/>
      <c r="O41" s="124">
        <f>L41/220</f>
        <v>8.1818181818181818E-2</v>
      </c>
      <c r="P41" s="125"/>
      <c r="S41" s="39"/>
      <c r="T41" s="105"/>
      <c r="U41" s="105"/>
      <c r="V41" s="105"/>
      <c r="W41" s="105"/>
    </row>
    <row r="42" spans="1:24" s="25" customFormat="1" ht="13.5" customHeight="1" x14ac:dyDescent="0.2">
      <c r="A42" s="13" t="s">
        <v>0</v>
      </c>
      <c r="B42" s="13">
        <v>33</v>
      </c>
      <c r="C42" s="13">
        <v>10</v>
      </c>
      <c r="D42" s="14">
        <f>SUM(B42:C42)</f>
        <v>43</v>
      </c>
      <c r="E42" s="124">
        <f>D42/80</f>
        <v>0.53749999999999998</v>
      </c>
      <c r="F42" s="125"/>
      <c r="G42" s="37">
        <v>488</v>
      </c>
      <c r="H42" s="37">
        <v>431</v>
      </c>
      <c r="I42" s="14">
        <f>SUM(G42:H42)</f>
        <v>919</v>
      </c>
      <c r="J42" s="124">
        <f>I42/1236</f>
        <v>0.74352750809061485</v>
      </c>
      <c r="K42" s="125"/>
      <c r="L42" s="37">
        <v>77</v>
      </c>
      <c r="M42" s="37">
        <v>79</v>
      </c>
      <c r="N42" s="14">
        <f>SUM(L42:M42)</f>
        <v>156</v>
      </c>
      <c r="O42" s="124">
        <f>N42/220</f>
        <v>0.70909090909090911</v>
      </c>
      <c r="P42" s="125"/>
      <c r="T42" s="96"/>
      <c r="U42" s="96"/>
      <c r="V42" s="96"/>
      <c r="W42" s="96"/>
    </row>
    <row r="43" spans="1:24" s="25" customFormat="1" ht="13.5" customHeight="1" x14ac:dyDescent="0.2">
      <c r="A43" s="13" t="s">
        <v>12</v>
      </c>
      <c r="B43" s="15">
        <v>6</v>
      </c>
      <c r="C43" s="15">
        <v>5</v>
      </c>
      <c r="D43" s="14">
        <f t="shared" ref="D43:D47" si="12">SUM(B43:C43)</f>
        <v>11</v>
      </c>
      <c r="E43" s="124">
        <f>D43/80</f>
        <v>0.13750000000000001</v>
      </c>
      <c r="F43" s="125"/>
      <c r="G43" s="37">
        <v>65</v>
      </c>
      <c r="H43" s="37">
        <v>57</v>
      </c>
      <c r="I43" s="14">
        <f t="shared" ref="I43:I47" si="13">SUM(G43:H43)</f>
        <v>122</v>
      </c>
      <c r="J43" s="124">
        <f>I43/1236</f>
        <v>9.8705501618122971E-2</v>
      </c>
      <c r="K43" s="125"/>
      <c r="L43" s="37">
        <v>9</v>
      </c>
      <c r="M43" s="37">
        <v>5</v>
      </c>
      <c r="N43" s="14">
        <f t="shared" ref="N43:N47" si="14">SUM(L43:M43)</f>
        <v>14</v>
      </c>
      <c r="O43" s="124">
        <f>N43/220</f>
        <v>6.363636363636363E-2</v>
      </c>
      <c r="P43" s="125"/>
      <c r="T43" s="96"/>
      <c r="U43" s="96"/>
      <c r="V43" s="96"/>
      <c r="W43" s="96"/>
    </row>
    <row r="44" spans="1:24" s="25" customFormat="1" ht="13.5" customHeight="1" x14ac:dyDescent="0.2">
      <c r="A44" s="13" t="s">
        <v>2</v>
      </c>
      <c r="B44" s="13">
        <v>5</v>
      </c>
      <c r="C44" s="13">
        <v>0</v>
      </c>
      <c r="D44" s="14">
        <f t="shared" si="12"/>
        <v>5</v>
      </c>
      <c r="E44" s="18">
        <f>D44/80</f>
        <v>6.25E-2</v>
      </c>
      <c r="F44" s="117">
        <f>SUM(E44:E47)</f>
        <v>7.4999999999999997E-2</v>
      </c>
      <c r="G44" s="37">
        <v>64</v>
      </c>
      <c r="H44" s="37">
        <v>1</v>
      </c>
      <c r="I44" s="14">
        <f t="shared" si="13"/>
        <v>65</v>
      </c>
      <c r="J44" s="18">
        <f>I44/1236</f>
        <v>5.2588996763754045E-2</v>
      </c>
      <c r="K44" s="117">
        <f>SUM(J44:J47)</f>
        <v>0.11893203883495146</v>
      </c>
      <c r="L44" s="37">
        <v>14</v>
      </c>
      <c r="M44" s="37">
        <v>0</v>
      </c>
      <c r="N44" s="14">
        <f t="shared" si="14"/>
        <v>14</v>
      </c>
      <c r="O44" s="18">
        <f>N44/220</f>
        <v>6.363636363636363E-2</v>
      </c>
      <c r="P44" s="117">
        <f>SUM(O44:O47)</f>
        <v>0.14545454545454545</v>
      </c>
      <c r="T44" s="96"/>
      <c r="U44" s="96"/>
      <c r="V44" s="96"/>
      <c r="W44" s="96"/>
    </row>
    <row r="45" spans="1:24" s="25" customFormat="1" ht="13.5" customHeight="1" x14ac:dyDescent="0.2">
      <c r="A45" s="13" t="s">
        <v>3</v>
      </c>
      <c r="B45" s="13">
        <v>1</v>
      </c>
      <c r="C45" s="13">
        <v>0</v>
      </c>
      <c r="D45" s="14">
        <f t="shared" si="12"/>
        <v>1</v>
      </c>
      <c r="E45" s="18">
        <f t="shared" ref="E45:E47" si="15">D45/80</f>
        <v>1.2500000000000001E-2</v>
      </c>
      <c r="F45" s="118"/>
      <c r="G45" s="37">
        <v>23</v>
      </c>
      <c r="H45" s="37">
        <v>2</v>
      </c>
      <c r="I45" s="14">
        <f t="shared" si="13"/>
        <v>25</v>
      </c>
      <c r="J45" s="18">
        <f t="shared" ref="J45:J47" si="16">I45/1236</f>
        <v>2.0226537216828478E-2</v>
      </c>
      <c r="K45" s="118"/>
      <c r="L45" s="37">
        <v>3</v>
      </c>
      <c r="M45" s="37">
        <v>2</v>
      </c>
      <c r="N45" s="14">
        <f t="shared" si="14"/>
        <v>5</v>
      </c>
      <c r="O45" s="18">
        <f t="shared" ref="O45:O47" si="17">N45/220</f>
        <v>2.2727272727272728E-2</v>
      </c>
      <c r="P45" s="118"/>
      <c r="T45" s="96"/>
      <c r="U45" s="96"/>
      <c r="V45" s="96"/>
      <c r="W45" s="96"/>
      <c r="X45" s="96"/>
    </row>
    <row r="46" spans="1:24" s="25" customFormat="1" ht="13.5" customHeight="1" x14ac:dyDescent="0.2">
      <c r="A46" s="13" t="s">
        <v>4</v>
      </c>
      <c r="B46" s="13">
        <v>0</v>
      </c>
      <c r="C46" s="13">
        <v>0</v>
      </c>
      <c r="D46" s="14">
        <f t="shared" si="12"/>
        <v>0</v>
      </c>
      <c r="E46" s="18">
        <f t="shared" si="15"/>
        <v>0</v>
      </c>
      <c r="F46" s="118"/>
      <c r="G46" s="37">
        <v>46</v>
      </c>
      <c r="H46" s="37">
        <v>5</v>
      </c>
      <c r="I46" s="14">
        <f t="shared" si="13"/>
        <v>51</v>
      </c>
      <c r="J46" s="18">
        <f t="shared" si="16"/>
        <v>4.12621359223301E-2</v>
      </c>
      <c r="K46" s="118"/>
      <c r="L46" s="37">
        <v>9</v>
      </c>
      <c r="M46" s="37">
        <v>2</v>
      </c>
      <c r="N46" s="14">
        <f t="shared" si="14"/>
        <v>11</v>
      </c>
      <c r="O46" s="18">
        <f t="shared" si="17"/>
        <v>0.05</v>
      </c>
      <c r="P46" s="118"/>
      <c r="T46" s="96"/>
      <c r="U46" s="96"/>
      <c r="V46" s="96"/>
      <c r="W46" s="96"/>
      <c r="X46" s="96"/>
    </row>
    <row r="47" spans="1:24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4</v>
      </c>
      <c r="H47" s="37">
        <v>2</v>
      </c>
      <c r="I47" s="14">
        <f t="shared" si="13"/>
        <v>6</v>
      </c>
      <c r="J47" s="18">
        <f t="shared" si="16"/>
        <v>4.8543689320388345E-3</v>
      </c>
      <c r="K47" s="119"/>
      <c r="L47" s="37">
        <v>1</v>
      </c>
      <c r="M47" s="37">
        <v>1</v>
      </c>
      <c r="N47" s="14">
        <f t="shared" si="14"/>
        <v>2</v>
      </c>
      <c r="O47" s="18">
        <f t="shared" si="17"/>
        <v>9.0909090909090905E-3</v>
      </c>
      <c r="P47" s="119"/>
      <c r="T47" s="96"/>
      <c r="U47" s="96"/>
      <c r="V47" s="96"/>
      <c r="W47" s="96"/>
    </row>
    <row r="48" spans="1:24" s="25" customFormat="1" ht="13.5" customHeight="1" x14ac:dyDescent="0.2">
      <c r="A48" s="19" t="s">
        <v>8</v>
      </c>
      <c r="B48" s="20">
        <f>SUM(B42:B47)</f>
        <v>45</v>
      </c>
      <c r="C48" s="20">
        <f>SUM(C42:C47)</f>
        <v>15</v>
      </c>
      <c r="D48" s="21">
        <f>D42+D43+B41+D44+D45+D46+D47</f>
        <v>80</v>
      </c>
      <c r="E48" s="120">
        <f>D48/80</f>
        <v>1</v>
      </c>
      <c r="F48" s="121"/>
      <c r="G48" s="20">
        <f>SUM(G42:G47)</f>
        <v>690</v>
      </c>
      <c r="H48" s="20">
        <f>SUM(H42:H47)</f>
        <v>498</v>
      </c>
      <c r="I48" s="21">
        <f>I42+I43+G41+I44+I45+I46+I47</f>
        <v>1236</v>
      </c>
      <c r="J48" s="120">
        <f>I48/1236</f>
        <v>1</v>
      </c>
      <c r="K48" s="122"/>
      <c r="L48" s="20">
        <f>SUM(L42:L47)</f>
        <v>113</v>
      </c>
      <c r="M48" s="20">
        <f>SUM(M42:M47)</f>
        <v>89</v>
      </c>
      <c r="N48" s="21">
        <f>N42+N43+L41+N44+N45+N46+N47</f>
        <v>220</v>
      </c>
      <c r="O48" s="120">
        <f>N48/220</f>
        <v>1</v>
      </c>
      <c r="P48" s="122"/>
      <c r="T48" s="96"/>
      <c r="U48" s="96"/>
      <c r="V48" s="96"/>
      <c r="W48" s="96"/>
    </row>
    <row r="49" spans="5:23" x14ac:dyDescent="0.2">
      <c r="T49" s="97"/>
      <c r="U49" s="97"/>
      <c r="V49" s="97"/>
      <c r="W49" s="97"/>
    </row>
    <row r="50" spans="5:23" x14ac:dyDescent="0.2">
      <c r="T50" s="97"/>
      <c r="U50" s="97"/>
      <c r="V50" s="97"/>
      <c r="W50" s="97"/>
    </row>
    <row r="51" spans="5:23" x14ac:dyDescent="0.2">
      <c r="E51" s="123"/>
      <c r="F51" s="123"/>
      <c r="J51" s="123"/>
      <c r="K51" s="123"/>
      <c r="O51" s="123"/>
      <c r="P51" s="123"/>
      <c r="T51" s="97"/>
      <c r="U51" s="97"/>
      <c r="V51" s="97"/>
      <c r="W51" s="97"/>
    </row>
    <row r="52" spans="5:23" ht="34.5" customHeight="1" x14ac:dyDescent="0.3">
      <c r="N52" s="116">
        <v>11</v>
      </c>
      <c r="O52" s="116"/>
      <c r="P52" s="116"/>
      <c r="T52" s="97"/>
      <c r="U52" s="97"/>
      <c r="V52" s="97"/>
      <c r="W52" s="97"/>
    </row>
    <row r="53" spans="5:23" x14ac:dyDescent="0.2">
      <c r="T53" s="97"/>
      <c r="U53" s="97"/>
      <c r="V53" s="97"/>
      <c r="W53" s="97"/>
    </row>
    <row r="54" spans="5:23" x14ac:dyDescent="0.2">
      <c r="T54" s="97"/>
      <c r="U54" s="97"/>
      <c r="V54" s="97"/>
      <c r="W54" s="97"/>
    </row>
  </sheetData>
  <mergeCells count="82"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  <mergeCell ref="E10:F10"/>
    <mergeCell ref="J10:K10"/>
    <mergeCell ref="O10:P10"/>
    <mergeCell ref="E11:F11"/>
    <mergeCell ref="J11:K11"/>
    <mergeCell ref="O11:P11"/>
    <mergeCell ref="F12:F15"/>
    <mergeCell ref="K12:K15"/>
    <mergeCell ref="P12:P15"/>
    <mergeCell ref="E16:F16"/>
    <mergeCell ref="J16:K16"/>
    <mergeCell ref="O16:P16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E26:F26"/>
    <mergeCell ref="J26:K26"/>
    <mergeCell ref="O26:P26"/>
    <mergeCell ref="E27:F27"/>
    <mergeCell ref="J27:K27"/>
    <mergeCell ref="O27:P27"/>
    <mergeCell ref="F28:F31"/>
    <mergeCell ref="K28:K31"/>
    <mergeCell ref="P28:P31"/>
    <mergeCell ref="E32:F32"/>
    <mergeCell ref="J32:K32"/>
    <mergeCell ref="O32:P32"/>
    <mergeCell ref="E34:F34"/>
    <mergeCell ref="J34:K34"/>
    <mergeCell ref="O34:P34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O41:P41"/>
    <mergeCell ref="E42:F42"/>
    <mergeCell ref="J42:K42"/>
    <mergeCell ref="O42:P42"/>
    <mergeCell ref="E43:F43"/>
    <mergeCell ref="J43:K43"/>
    <mergeCell ref="O43:P43"/>
    <mergeCell ref="E51:F51"/>
    <mergeCell ref="J51:K51"/>
    <mergeCell ref="O51:P51"/>
    <mergeCell ref="N52:P52"/>
    <mergeCell ref="F44:F47"/>
    <mergeCell ref="K44:K47"/>
    <mergeCell ref="P44:P47"/>
    <mergeCell ref="E48:F48"/>
    <mergeCell ref="J48:K48"/>
    <mergeCell ref="O48:P48"/>
  </mergeCells>
  <pageMargins left="0.39370078740157483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Y12" sqref="Y12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  <col min="19" max="19" width="9.83203125" bestFit="1" customWidth="1"/>
  </cols>
  <sheetData>
    <row r="1" spans="1:20" ht="13.5" customHeight="1" x14ac:dyDescent="0.2"/>
    <row r="2" spans="1:20" ht="13.5" customHeight="1" x14ac:dyDescent="0.2"/>
    <row r="3" spans="1:20" ht="13.5" customHeight="1" x14ac:dyDescent="0.2"/>
    <row r="4" spans="1:20" ht="13.5" customHeight="1" x14ac:dyDescent="0.2"/>
    <row r="5" spans="1:20" ht="13.5" customHeight="1" x14ac:dyDescent="0.2">
      <c r="A5" s="141" t="s">
        <v>41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20" ht="13.5" customHeight="1" x14ac:dyDescent="0.2"/>
    <row r="7" spans="1:20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20" ht="47.25" customHeight="1" x14ac:dyDescent="0.2">
      <c r="A8" s="11"/>
      <c r="B8" s="102" t="s">
        <v>6</v>
      </c>
      <c r="C8" s="102" t="s">
        <v>7</v>
      </c>
      <c r="D8" s="102" t="s">
        <v>8</v>
      </c>
      <c r="E8" s="129" t="s">
        <v>9</v>
      </c>
      <c r="F8" s="129"/>
      <c r="G8" s="100" t="s">
        <v>6</v>
      </c>
      <c r="H8" s="100" t="s">
        <v>7</v>
      </c>
      <c r="I8" s="100" t="s">
        <v>8</v>
      </c>
      <c r="J8" s="129" t="s">
        <v>9</v>
      </c>
      <c r="K8" s="129"/>
      <c r="L8" s="100" t="s">
        <v>6</v>
      </c>
      <c r="M8" s="100" t="s">
        <v>7</v>
      </c>
      <c r="N8" s="100" t="s">
        <v>8</v>
      </c>
      <c r="O8" s="129" t="s">
        <v>9</v>
      </c>
      <c r="P8" s="129"/>
    </row>
    <row r="9" spans="1:20" ht="13.5" customHeight="1" x14ac:dyDescent="0.2">
      <c r="A9" s="37" t="s">
        <v>1</v>
      </c>
      <c r="B9" s="133">
        <v>50</v>
      </c>
      <c r="C9" s="134"/>
      <c r="D9" s="135"/>
      <c r="E9" s="124">
        <f>B9/148</f>
        <v>0.33783783783783783</v>
      </c>
      <c r="F9" s="125"/>
      <c r="G9" s="133">
        <v>869</v>
      </c>
      <c r="H9" s="134"/>
      <c r="I9" s="135"/>
      <c r="J9" s="124">
        <f>G9/4798</f>
        <v>0.18111713213839101</v>
      </c>
      <c r="K9" s="125"/>
      <c r="L9" s="133">
        <v>121</v>
      </c>
      <c r="M9" s="134"/>
      <c r="N9" s="135"/>
      <c r="O9" s="124">
        <f>L9/542</f>
        <v>0.22324723247232472</v>
      </c>
      <c r="P9" s="125"/>
      <c r="S9" s="10"/>
      <c r="T9" s="10"/>
    </row>
    <row r="10" spans="1:20" ht="13.5" customHeight="1" x14ac:dyDescent="0.2">
      <c r="A10" s="37" t="s">
        <v>0</v>
      </c>
      <c r="B10" s="37">
        <v>45</v>
      </c>
      <c r="C10" s="37">
        <v>25</v>
      </c>
      <c r="D10" s="38">
        <f>SUM(B10:C10)</f>
        <v>70</v>
      </c>
      <c r="E10" s="124">
        <f>D10/148</f>
        <v>0.47297297297297297</v>
      </c>
      <c r="F10" s="125"/>
      <c r="G10" s="37">
        <v>1430</v>
      </c>
      <c r="H10" s="37">
        <v>980</v>
      </c>
      <c r="I10" s="38">
        <f>SUM(G10:H10)</f>
        <v>2410</v>
      </c>
      <c r="J10" s="124">
        <f>I10/4798</f>
        <v>0.50229262192580237</v>
      </c>
      <c r="K10" s="125"/>
      <c r="L10" s="37">
        <v>133</v>
      </c>
      <c r="M10" s="37">
        <v>109</v>
      </c>
      <c r="N10" s="38">
        <f>SUM(L10:M10)</f>
        <v>242</v>
      </c>
      <c r="O10" s="124">
        <f>N10/542</f>
        <v>0.44649446494464945</v>
      </c>
      <c r="P10" s="125"/>
    </row>
    <row r="11" spans="1:20" ht="13.5" customHeight="1" x14ac:dyDescent="0.2">
      <c r="A11" s="37" t="s">
        <v>12</v>
      </c>
      <c r="B11" s="37">
        <v>9</v>
      </c>
      <c r="C11" s="37">
        <v>1</v>
      </c>
      <c r="D11" s="38">
        <f t="shared" ref="D11:D15" si="0">SUM(B11:C11)</f>
        <v>10</v>
      </c>
      <c r="E11" s="124">
        <f>D11/148</f>
        <v>6.7567567567567571E-2</v>
      </c>
      <c r="F11" s="125"/>
      <c r="G11" s="37">
        <v>156</v>
      </c>
      <c r="H11" s="37">
        <v>305</v>
      </c>
      <c r="I11" s="38">
        <f t="shared" ref="I11:I15" si="1">SUM(G11:H11)</f>
        <v>461</v>
      </c>
      <c r="J11" s="124">
        <f>I11/4798</f>
        <v>9.6081700708628592E-2</v>
      </c>
      <c r="K11" s="125"/>
      <c r="L11" s="37">
        <v>23</v>
      </c>
      <c r="M11" s="37">
        <v>16</v>
      </c>
      <c r="N11" s="38">
        <f t="shared" ref="N11:N15" si="2">SUM(L11:M11)</f>
        <v>39</v>
      </c>
      <c r="O11" s="124">
        <f>N11/542</f>
        <v>7.1955719557195569E-2</v>
      </c>
      <c r="P11" s="125"/>
    </row>
    <row r="12" spans="1:20" ht="13.5" customHeight="1" x14ac:dyDescent="0.2">
      <c r="A12" s="37" t="s">
        <v>2</v>
      </c>
      <c r="B12" s="37">
        <v>9</v>
      </c>
      <c r="C12" s="37">
        <v>0</v>
      </c>
      <c r="D12" s="38">
        <f t="shared" si="0"/>
        <v>9</v>
      </c>
      <c r="E12" s="18">
        <f>D12/148</f>
        <v>6.0810810810810814E-2</v>
      </c>
      <c r="F12" s="117">
        <f>SUM(E12:E15)</f>
        <v>0.12162162162162163</v>
      </c>
      <c r="G12" s="37">
        <v>616</v>
      </c>
      <c r="H12" s="37">
        <v>10</v>
      </c>
      <c r="I12" s="38">
        <f t="shared" si="1"/>
        <v>626</v>
      </c>
      <c r="J12" s="18">
        <f>I12/4798</f>
        <v>0.13047102959566487</v>
      </c>
      <c r="K12" s="117">
        <f>SUM(J12:J15)</f>
        <v>0.22050854522717803</v>
      </c>
      <c r="L12" s="37">
        <v>68</v>
      </c>
      <c r="M12" s="37">
        <v>0</v>
      </c>
      <c r="N12" s="38">
        <f t="shared" si="2"/>
        <v>68</v>
      </c>
      <c r="O12" s="18">
        <f>N12/542</f>
        <v>0.12546125461254612</v>
      </c>
      <c r="P12" s="117">
        <f>SUM(O12:O15)</f>
        <v>0.25830258302583026</v>
      </c>
    </row>
    <row r="13" spans="1:20" ht="13.5" customHeight="1" x14ac:dyDescent="0.2">
      <c r="A13" s="37" t="s">
        <v>3</v>
      </c>
      <c r="B13" s="37">
        <v>4</v>
      </c>
      <c r="C13" s="37">
        <v>0</v>
      </c>
      <c r="D13" s="38">
        <f t="shared" si="0"/>
        <v>4</v>
      </c>
      <c r="E13" s="18">
        <f t="shared" ref="E13:E15" si="3">D13/148</f>
        <v>2.7027027027027029E-2</v>
      </c>
      <c r="F13" s="118"/>
      <c r="G13" s="37">
        <v>109</v>
      </c>
      <c r="H13" s="37">
        <v>13</v>
      </c>
      <c r="I13" s="38">
        <f t="shared" si="1"/>
        <v>122</v>
      </c>
      <c r="J13" s="18">
        <f t="shared" ref="J13:J15" si="4">I13/4798</f>
        <v>2.5427261358899542E-2</v>
      </c>
      <c r="K13" s="118"/>
      <c r="L13" s="37">
        <v>20</v>
      </c>
      <c r="M13" s="37">
        <v>2</v>
      </c>
      <c r="N13" s="38">
        <f t="shared" si="2"/>
        <v>22</v>
      </c>
      <c r="O13" s="18">
        <f t="shared" ref="O13:O15" si="5">N13/542</f>
        <v>4.0590405904059039E-2</v>
      </c>
      <c r="P13" s="118"/>
    </row>
    <row r="14" spans="1:20" ht="13.5" customHeight="1" x14ac:dyDescent="0.2">
      <c r="A14" s="37" t="s">
        <v>4</v>
      </c>
      <c r="B14" s="37">
        <v>3</v>
      </c>
      <c r="C14" s="37">
        <v>0</v>
      </c>
      <c r="D14" s="38">
        <f t="shared" si="0"/>
        <v>3</v>
      </c>
      <c r="E14" s="18">
        <f t="shared" si="3"/>
        <v>2.0270270270270271E-2</v>
      </c>
      <c r="F14" s="118"/>
      <c r="G14" s="37">
        <v>255</v>
      </c>
      <c r="H14" s="37">
        <v>34</v>
      </c>
      <c r="I14" s="38">
        <f t="shared" si="1"/>
        <v>289</v>
      </c>
      <c r="J14" s="18">
        <f t="shared" si="4"/>
        <v>6.0233430596081702E-2</v>
      </c>
      <c r="K14" s="118"/>
      <c r="L14" s="37">
        <v>38</v>
      </c>
      <c r="M14" s="37">
        <v>4</v>
      </c>
      <c r="N14" s="38">
        <f t="shared" si="2"/>
        <v>42</v>
      </c>
      <c r="O14" s="18">
        <f t="shared" si="5"/>
        <v>7.7490774907749083E-2</v>
      </c>
      <c r="P14" s="118"/>
    </row>
    <row r="15" spans="1:20" x14ac:dyDescent="0.2">
      <c r="A15" s="37" t="s">
        <v>5</v>
      </c>
      <c r="B15" s="37">
        <v>2</v>
      </c>
      <c r="C15" s="37">
        <v>0</v>
      </c>
      <c r="D15" s="38">
        <f t="shared" si="0"/>
        <v>2</v>
      </c>
      <c r="E15" s="18">
        <f t="shared" si="3"/>
        <v>1.3513513513513514E-2</v>
      </c>
      <c r="F15" s="119"/>
      <c r="G15" s="37">
        <v>17</v>
      </c>
      <c r="H15" s="37">
        <v>4</v>
      </c>
      <c r="I15" s="38">
        <f t="shared" si="1"/>
        <v>21</v>
      </c>
      <c r="J15" s="18">
        <f t="shared" si="4"/>
        <v>4.376823676531888E-3</v>
      </c>
      <c r="K15" s="119"/>
      <c r="L15" s="37">
        <v>6</v>
      </c>
      <c r="M15" s="37">
        <v>2</v>
      </c>
      <c r="N15" s="38">
        <f t="shared" si="2"/>
        <v>8</v>
      </c>
      <c r="O15" s="18">
        <f t="shared" si="5"/>
        <v>1.4760147601476014E-2</v>
      </c>
      <c r="P15" s="119"/>
    </row>
    <row r="16" spans="1:20" x14ac:dyDescent="0.2">
      <c r="A16" s="90" t="s">
        <v>8</v>
      </c>
      <c r="B16" s="74">
        <f>SUM(B10:B15)</f>
        <v>72</v>
      </c>
      <c r="C16" s="74">
        <f>SUM(C10:C15)</f>
        <v>26</v>
      </c>
      <c r="D16" s="75">
        <f>D10+D11+B9+D12+D13+D14+D15</f>
        <v>148</v>
      </c>
      <c r="E16" s="120">
        <f>D16/148</f>
        <v>1</v>
      </c>
      <c r="F16" s="121"/>
      <c r="G16" s="74">
        <f>SUM(G10:G15)</f>
        <v>2583</v>
      </c>
      <c r="H16" s="74">
        <f>SUM(H10:H15)</f>
        <v>1346</v>
      </c>
      <c r="I16" s="75">
        <f>I10+I11+G9+I12+I13+I14+I15</f>
        <v>4798</v>
      </c>
      <c r="J16" s="120">
        <f>I16/4798</f>
        <v>1</v>
      </c>
      <c r="K16" s="122"/>
      <c r="L16" s="74">
        <f>SUM(L10:L15)</f>
        <v>288</v>
      </c>
      <c r="M16" s="74">
        <f>SUM(M10:M15)</f>
        <v>133</v>
      </c>
      <c r="N16" s="75">
        <f>N10+N11+L9+N12+N13+N14+N15</f>
        <v>542</v>
      </c>
      <c r="O16" s="120">
        <f>N16/542</f>
        <v>1</v>
      </c>
      <c r="P16" s="122"/>
    </row>
    <row r="17" spans="1:23" s="5" customFormat="1" ht="13.5" customHeight="1" x14ac:dyDescent="0.2">
      <c r="A17" s="1"/>
      <c r="B17" s="2"/>
      <c r="C17" s="2"/>
      <c r="D17" s="3"/>
      <c r="E17" s="99"/>
      <c r="F17" s="99"/>
      <c r="G17" s="2"/>
      <c r="H17" s="2"/>
      <c r="I17" s="3"/>
      <c r="J17" s="99"/>
      <c r="K17" s="99"/>
    </row>
    <row r="18" spans="1:23" s="5" customFormat="1" ht="13.5" customHeight="1" x14ac:dyDescent="0.2">
      <c r="A18" s="1"/>
      <c r="B18" s="2"/>
      <c r="C18" s="2"/>
      <c r="D18" s="3"/>
      <c r="E18" s="99"/>
      <c r="F18" s="99"/>
      <c r="G18" s="2"/>
      <c r="H18" s="2"/>
      <c r="I18" s="3"/>
      <c r="J18" s="99"/>
      <c r="K18" s="99"/>
    </row>
    <row r="19" spans="1:23" s="5" customFormat="1" ht="13.5" customHeight="1" x14ac:dyDescent="0.2">
      <c r="A19" s="1"/>
      <c r="B19" s="2"/>
      <c r="C19" s="2"/>
      <c r="D19" s="3"/>
      <c r="E19" s="99"/>
      <c r="F19" s="99"/>
      <c r="G19" s="2"/>
      <c r="H19" s="2"/>
      <c r="I19" s="3"/>
      <c r="J19" s="99"/>
      <c r="K19" s="99"/>
    </row>
    <row r="20" spans="1:23" s="5" customFormat="1" ht="13.5" customHeight="1" x14ac:dyDescent="0.2">
      <c r="A20" s="1"/>
      <c r="B20" s="2"/>
      <c r="C20" s="2"/>
      <c r="D20" s="3"/>
      <c r="E20" s="99"/>
      <c r="F20" s="99"/>
      <c r="G20" s="2"/>
      <c r="H20" s="2"/>
      <c r="I20" s="3"/>
      <c r="J20" s="99"/>
      <c r="K20" s="99"/>
    </row>
    <row r="21" spans="1:23" s="5" customFormat="1" ht="13.5" customHeight="1" x14ac:dyDescent="0.2">
      <c r="A21" s="126" t="s">
        <v>42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23" s="5" customFormat="1" ht="13.5" customHeight="1" x14ac:dyDescent="0.2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1:23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</row>
    <row r="24" spans="1:23" s="23" customFormat="1" ht="45.75" x14ac:dyDescent="0.2">
      <c r="A24" s="22"/>
      <c r="B24" s="101" t="s">
        <v>6</v>
      </c>
      <c r="C24" s="101" t="s">
        <v>7</v>
      </c>
      <c r="D24" s="101" t="s">
        <v>8</v>
      </c>
      <c r="E24" s="140" t="s">
        <v>9</v>
      </c>
      <c r="F24" s="140"/>
      <c r="G24" s="101" t="s">
        <v>6</v>
      </c>
      <c r="H24" s="101" t="s">
        <v>7</v>
      </c>
      <c r="I24" s="101" t="s">
        <v>8</v>
      </c>
      <c r="J24" s="144" t="s">
        <v>9</v>
      </c>
      <c r="K24" s="144"/>
      <c r="L24" s="102" t="s">
        <v>6</v>
      </c>
      <c r="M24" s="102" t="s">
        <v>7</v>
      </c>
      <c r="N24" s="102" t="s">
        <v>8</v>
      </c>
      <c r="O24" s="129" t="s">
        <v>9</v>
      </c>
      <c r="P24" s="129"/>
    </row>
    <row r="25" spans="1:23" s="25" customFormat="1" ht="13.5" customHeight="1" x14ac:dyDescent="0.2">
      <c r="A25" s="13" t="s">
        <v>1</v>
      </c>
      <c r="B25" s="130">
        <v>20</v>
      </c>
      <c r="C25" s="131"/>
      <c r="D25" s="132"/>
      <c r="E25" s="124">
        <f>B25/41</f>
        <v>0.48780487804878048</v>
      </c>
      <c r="F25" s="125"/>
      <c r="G25" s="130">
        <v>791</v>
      </c>
      <c r="H25" s="131"/>
      <c r="I25" s="132"/>
      <c r="J25" s="124">
        <f>G25/3141</f>
        <v>0.2518306271887934</v>
      </c>
      <c r="K25" s="125"/>
      <c r="L25" s="130">
        <v>96</v>
      </c>
      <c r="M25" s="131"/>
      <c r="N25" s="132"/>
      <c r="O25" s="124">
        <f>L25/241</f>
        <v>0.39834024896265557</v>
      </c>
      <c r="P25" s="125"/>
      <c r="S25" s="39"/>
      <c r="T25" s="96"/>
      <c r="U25" s="96"/>
      <c r="V25" s="96"/>
      <c r="W25" s="96"/>
    </row>
    <row r="26" spans="1:23" s="25" customFormat="1" ht="13.5" customHeight="1" x14ac:dyDescent="0.2">
      <c r="A26" s="26" t="s">
        <v>0</v>
      </c>
      <c r="B26" s="26">
        <v>9</v>
      </c>
      <c r="C26" s="26">
        <v>5</v>
      </c>
      <c r="D26" s="14">
        <f>SUM(B26:C26)</f>
        <v>14</v>
      </c>
      <c r="E26" s="142">
        <f>D26/41</f>
        <v>0.34146341463414637</v>
      </c>
      <c r="F26" s="143"/>
      <c r="G26" s="28">
        <v>768</v>
      </c>
      <c r="H26" s="28">
        <v>463</v>
      </c>
      <c r="I26" s="38">
        <f>SUM(G26:H26)</f>
        <v>1231</v>
      </c>
      <c r="J26" s="124">
        <f>I26/3141</f>
        <v>0.39191340337472141</v>
      </c>
      <c r="K26" s="125"/>
      <c r="L26" s="15">
        <v>36</v>
      </c>
      <c r="M26" s="15">
        <v>29</v>
      </c>
      <c r="N26" s="38">
        <f>SUM(L26:M26)</f>
        <v>65</v>
      </c>
      <c r="O26" s="124">
        <f>N26/241</f>
        <v>0.26970954356846472</v>
      </c>
      <c r="P26" s="125"/>
      <c r="T26" s="96"/>
      <c r="U26" s="96"/>
      <c r="V26" s="96"/>
      <c r="W26" s="96"/>
    </row>
    <row r="27" spans="1:23" s="25" customFormat="1" ht="13.5" customHeight="1" x14ac:dyDescent="0.2">
      <c r="A27" s="26" t="s">
        <v>12</v>
      </c>
      <c r="B27" s="28">
        <v>1</v>
      </c>
      <c r="C27" s="28">
        <v>0</v>
      </c>
      <c r="D27" s="14">
        <f t="shared" ref="D27:D31" si="6">SUM(B27:C27)</f>
        <v>1</v>
      </c>
      <c r="E27" s="142">
        <f>D27/41</f>
        <v>2.4390243902439025E-2</v>
      </c>
      <c r="F27" s="143"/>
      <c r="G27" s="28">
        <v>53</v>
      </c>
      <c r="H27" s="28">
        <v>243</v>
      </c>
      <c r="I27" s="38">
        <f t="shared" ref="I27:I31" si="7">SUM(G27:H27)</f>
        <v>296</v>
      </c>
      <c r="J27" s="124">
        <f>I27/3141</f>
        <v>9.4237503979624326E-2</v>
      </c>
      <c r="K27" s="125"/>
      <c r="L27" s="15">
        <v>1</v>
      </c>
      <c r="M27" s="15">
        <v>4</v>
      </c>
      <c r="N27" s="38">
        <f t="shared" ref="N27:N31" si="8">SUM(L27:M27)</f>
        <v>5</v>
      </c>
      <c r="O27" s="124">
        <f>N27/241</f>
        <v>2.0746887966804978E-2</v>
      </c>
      <c r="P27" s="125"/>
      <c r="T27" s="96"/>
      <c r="U27" s="96"/>
      <c r="V27" s="96"/>
      <c r="W27" s="96"/>
    </row>
    <row r="28" spans="1:23" s="25" customFormat="1" ht="13.5" customHeight="1" x14ac:dyDescent="0.2">
      <c r="A28" s="30" t="s">
        <v>2</v>
      </c>
      <c r="B28" s="30">
        <v>2</v>
      </c>
      <c r="C28" s="30">
        <v>0</v>
      </c>
      <c r="D28" s="14">
        <f t="shared" si="6"/>
        <v>2</v>
      </c>
      <c r="E28" s="36">
        <f>D28/41</f>
        <v>4.878048780487805E-2</v>
      </c>
      <c r="F28" s="136">
        <f>SUM(E28:E31)</f>
        <v>0.14634146341463414</v>
      </c>
      <c r="G28" s="30">
        <v>525</v>
      </c>
      <c r="H28" s="30">
        <v>8</v>
      </c>
      <c r="I28" s="38">
        <f t="shared" si="7"/>
        <v>533</v>
      </c>
      <c r="J28" s="36">
        <f>I28/3141</f>
        <v>0.1696911811524992</v>
      </c>
      <c r="K28" s="136">
        <f>SUM(J28:J31)</f>
        <v>0.26201846545686086</v>
      </c>
      <c r="L28" s="13">
        <v>45</v>
      </c>
      <c r="M28" s="13">
        <v>0</v>
      </c>
      <c r="N28" s="38">
        <f t="shared" si="8"/>
        <v>45</v>
      </c>
      <c r="O28" s="18">
        <f>N28/241</f>
        <v>0.18672199170124482</v>
      </c>
      <c r="P28" s="117">
        <f>SUM(O28:O31)</f>
        <v>0.31120331950207469</v>
      </c>
      <c r="T28" s="96"/>
      <c r="U28" s="96"/>
      <c r="V28" s="96"/>
      <c r="W28" s="96"/>
    </row>
    <row r="29" spans="1:23" s="25" customFormat="1" ht="13.5" customHeight="1" x14ac:dyDescent="0.2">
      <c r="A29" s="30" t="s">
        <v>3</v>
      </c>
      <c r="B29" s="30">
        <v>3</v>
      </c>
      <c r="C29" s="30">
        <v>0</v>
      </c>
      <c r="D29" s="14">
        <f t="shared" si="6"/>
        <v>3</v>
      </c>
      <c r="E29" s="36">
        <f t="shared" ref="E29:E31" si="9">D29/41</f>
        <v>7.3170731707317069E-2</v>
      </c>
      <c r="F29" s="137"/>
      <c r="G29" s="30">
        <v>77</v>
      </c>
      <c r="H29" s="30">
        <v>8</v>
      </c>
      <c r="I29" s="38">
        <f t="shared" si="7"/>
        <v>85</v>
      </c>
      <c r="J29" s="36">
        <f t="shared" ref="J29:J31" si="10">I29/3141</f>
        <v>2.7061445399554282E-2</v>
      </c>
      <c r="K29" s="137"/>
      <c r="L29" s="13">
        <v>8</v>
      </c>
      <c r="M29" s="13">
        <v>1</v>
      </c>
      <c r="N29" s="38">
        <f t="shared" si="8"/>
        <v>9</v>
      </c>
      <c r="O29" s="18">
        <f t="shared" ref="O29:O31" si="11">N29/241</f>
        <v>3.7344398340248962E-2</v>
      </c>
      <c r="P29" s="118"/>
      <c r="S29" s="96"/>
      <c r="T29" s="96"/>
      <c r="U29" s="96"/>
      <c r="V29" s="96"/>
      <c r="W29" s="96"/>
    </row>
    <row r="30" spans="1:23" s="25" customFormat="1" ht="13.5" customHeight="1" x14ac:dyDescent="0.2">
      <c r="A30" s="30" t="s">
        <v>4</v>
      </c>
      <c r="B30" s="30">
        <v>1</v>
      </c>
      <c r="C30" s="30">
        <v>0</v>
      </c>
      <c r="D30" s="14">
        <f t="shared" si="6"/>
        <v>1</v>
      </c>
      <c r="E30" s="36">
        <f t="shared" si="9"/>
        <v>2.4390243902439025E-2</v>
      </c>
      <c r="F30" s="137"/>
      <c r="G30" s="30">
        <v>181</v>
      </c>
      <c r="H30" s="30">
        <v>17</v>
      </c>
      <c r="I30" s="38">
        <f t="shared" si="7"/>
        <v>198</v>
      </c>
      <c r="J30" s="36">
        <f t="shared" si="10"/>
        <v>6.3037249283667621E-2</v>
      </c>
      <c r="K30" s="137"/>
      <c r="L30" s="13">
        <v>19</v>
      </c>
      <c r="M30" s="13">
        <v>1</v>
      </c>
      <c r="N30" s="38">
        <f t="shared" si="8"/>
        <v>20</v>
      </c>
      <c r="O30" s="18">
        <f t="shared" si="11"/>
        <v>8.2987551867219914E-2</v>
      </c>
      <c r="P30" s="118"/>
      <c r="T30" s="96"/>
      <c r="U30" s="96"/>
      <c r="V30" s="96"/>
      <c r="W30" s="96"/>
    </row>
    <row r="31" spans="1:23" s="25" customFormat="1" ht="13.5" customHeight="1" x14ac:dyDescent="0.2">
      <c r="A31" s="30" t="s">
        <v>5</v>
      </c>
      <c r="B31" s="30">
        <v>0</v>
      </c>
      <c r="C31" s="30">
        <v>0</v>
      </c>
      <c r="D31" s="14">
        <f t="shared" si="6"/>
        <v>0</v>
      </c>
      <c r="E31" s="36">
        <f t="shared" si="9"/>
        <v>0</v>
      </c>
      <c r="F31" s="138"/>
      <c r="G31" s="30">
        <v>6</v>
      </c>
      <c r="H31" s="30">
        <v>1</v>
      </c>
      <c r="I31" s="38">
        <f t="shared" si="7"/>
        <v>7</v>
      </c>
      <c r="J31" s="36">
        <f t="shared" si="10"/>
        <v>2.2285896211397642E-3</v>
      </c>
      <c r="K31" s="138"/>
      <c r="L31" s="13">
        <v>1</v>
      </c>
      <c r="M31" s="13">
        <v>0</v>
      </c>
      <c r="N31" s="38">
        <f t="shared" si="8"/>
        <v>1</v>
      </c>
      <c r="O31" s="18">
        <f t="shared" si="11"/>
        <v>4.1493775933609959E-3</v>
      </c>
      <c r="P31" s="119"/>
      <c r="S31" s="96"/>
      <c r="T31" s="96"/>
      <c r="U31" s="96"/>
      <c r="V31" s="96"/>
      <c r="W31" s="96"/>
    </row>
    <row r="32" spans="1:23" s="25" customFormat="1" ht="13.5" customHeight="1" x14ac:dyDescent="0.2">
      <c r="A32" s="32" t="s">
        <v>8</v>
      </c>
      <c r="B32" s="33">
        <f>SUM(B26:B31)</f>
        <v>16</v>
      </c>
      <c r="C32" s="33">
        <f>SUM(C26:C31)</f>
        <v>5</v>
      </c>
      <c r="D32" s="34">
        <f>D26+D27+B25+D28+D29+D30+D31</f>
        <v>41</v>
      </c>
      <c r="E32" s="139">
        <f>D32/41</f>
        <v>1</v>
      </c>
      <c r="F32" s="139"/>
      <c r="G32" s="33">
        <f>SUM(G26:G31)</f>
        <v>1610</v>
      </c>
      <c r="H32" s="33">
        <f>SUM(H26:H31)</f>
        <v>740</v>
      </c>
      <c r="I32" s="34">
        <f>I26+I27+G25+I28+I29+I30+I31</f>
        <v>3141</v>
      </c>
      <c r="J32" s="139">
        <f>I32/3141</f>
        <v>1</v>
      </c>
      <c r="K32" s="139"/>
      <c r="L32" s="20">
        <f>SUM(L26:L31)</f>
        <v>110</v>
      </c>
      <c r="M32" s="20">
        <f>SUM(M26:M31)</f>
        <v>35</v>
      </c>
      <c r="N32" s="21">
        <f>N26+N27+L25+N28+N29+N30+N31</f>
        <v>241</v>
      </c>
      <c r="O32" s="120">
        <f>N32/241</f>
        <v>1</v>
      </c>
      <c r="P32" s="122"/>
      <c r="T32" s="96"/>
      <c r="U32" s="96"/>
      <c r="V32" s="96"/>
      <c r="W32" s="96"/>
    </row>
    <row r="33" spans="1:24" s="5" customFormat="1" ht="13.5" customHeight="1" x14ac:dyDescent="0.3">
      <c r="A33" s="1"/>
      <c r="B33" s="2"/>
      <c r="C33" s="2"/>
      <c r="D33" s="3"/>
      <c r="E33" s="99"/>
      <c r="F33" s="99"/>
      <c r="G33" s="2"/>
      <c r="H33" s="2"/>
      <c r="I33" s="3"/>
      <c r="J33" s="99"/>
      <c r="K33" s="99"/>
      <c r="L33" s="6"/>
      <c r="N33" s="8"/>
      <c r="O33" s="9"/>
      <c r="P33" s="9"/>
      <c r="T33" s="98"/>
      <c r="U33" s="98"/>
      <c r="V33" s="98"/>
      <c r="W33" s="98"/>
    </row>
    <row r="34" spans="1:24" s="5" customFormat="1" ht="13.5" customHeight="1" x14ac:dyDescent="0.3">
      <c r="A34" s="1"/>
      <c r="B34" s="2"/>
      <c r="C34" s="2"/>
      <c r="D34" s="3"/>
      <c r="E34" s="115"/>
      <c r="F34" s="115"/>
      <c r="G34" s="2"/>
      <c r="H34" s="2"/>
      <c r="I34" s="3"/>
      <c r="J34" s="115"/>
      <c r="K34" s="115"/>
      <c r="L34" s="6"/>
      <c r="N34" s="8"/>
      <c r="O34" s="115"/>
      <c r="P34" s="115"/>
      <c r="T34" s="98"/>
      <c r="U34" s="98"/>
      <c r="V34" s="98"/>
      <c r="W34" s="98"/>
    </row>
    <row r="35" spans="1:24" s="5" customFormat="1" ht="13.5" customHeight="1" x14ac:dyDescent="0.3">
      <c r="A35" s="1"/>
      <c r="B35" s="2"/>
      <c r="C35" s="2"/>
      <c r="D35" s="3"/>
      <c r="E35" s="99"/>
      <c r="F35" s="99"/>
      <c r="G35" s="2"/>
      <c r="H35" s="2"/>
      <c r="I35" s="3"/>
      <c r="J35" s="99"/>
      <c r="K35" s="99"/>
      <c r="L35" s="6"/>
      <c r="N35" s="8"/>
      <c r="O35" s="9"/>
      <c r="P35" s="9"/>
      <c r="S35" s="88"/>
      <c r="T35" s="98"/>
      <c r="U35" s="98"/>
      <c r="V35" s="98"/>
      <c r="W35" s="98"/>
    </row>
    <row r="36" spans="1:24" s="5" customFormat="1" ht="13.5" customHeight="1" x14ac:dyDescent="0.3">
      <c r="A36" s="1"/>
      <c r="B36" s="2"/>
      <c r="C36" s="2"/>
      <c r="D36" s="3"/>
      <c r="E36" s="99"/>
      <c r="F36" s="99"/>
      <c r="G36" s="2"/>
      <c r="H36" s="2"/>
      <c r="I36" s="3"/>
      <c r="J36" s="99"/>
      <c r="K36" s="99"/>
      <c r="L36" s="6"/>
      <c r="N36" s="8"/>
      <c r="O36" s="9"/>
      <c r="P36" s="9"/>
      <c r="T36" s="98"/>
      <c r="U36" s="98"/>
      <c r="V36" s="98"/>
      <c r="W36" s="98"/>
    </row>
    <row r="37" spans="1:24" s="5" customFormat="1" ht="13.5" customHeight="1" x14ac:dyDescent="0.2">
      <c r="A37" s="126" t="s">
        <v>43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S37" s="98"/>
      <c r="T37" s="98"/>
      <c r="U37" s="98"/>
      <c r="V37" s="98"/>
      <c r="W37" s="98"/>
    </row>
    <row r="38" spans="1:24" s="5" customFormat="1" ht="13.5" customHeight="1" x14ac:dyDescent="0.3">
      <c r="A38" s="1"/>
      <c r="B38" s="2"/>
      <c r="C38" s="2"/>
      <c r="D38" s="3"/>
      <c r="E38" s="99"/>
      <c r="F38" s="99"/>
      <c r="G38" s="2"/>
      <c r="H38" s="2"/>
      <c r="I38" s="3"/>
      <c r="J38" s="99"/>
      <c r="K38" s="99"/>
      <c r="L38" s="6"/>
      <c r="N38" s="8"/>
      <c r="O38" s="9"/>
      <c r="P38" s="9"/>
    </row>
    <row r="39" spans="1:24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24" s="23" customFormat="1" ht="45.75" x14ac:dyDescent="0.2">
      <c r="A40" s="35"/>
      <c r="B40" s="102" t="s">
        <v>6</v>
      </c>
      <c r="C40" s="102" t="s">
        <v>7</v>
      </c>
      <c r="D40" s="102" t="s">
        <v>8</v>
      </c>
      <c r="E40" s="129" t="s">
        <v>9</v>
      </c>
      <c r="F40" s="129"/>
      <c r="G40" s="102" t="s">
        <v>6</v>
      </c>
      <c r="H40" s="102" t="s">
        <v>7</v>
      </c>
      <c r="I40" s="102" t="s">
        <v>8</v>
      </c>
      <c r="J40" s="129" t="s">
        <v>9</v>
      </c>
      <c r="K40" s="129"/>
      <c r="L40" s="102" t="s">
        <v>6</v>
      </c>
      <c r="M40" s="102" t="s">
        <v>7</v>
      </c>
      <c r="N40" s="102" t="s">
        <v>8</v>
      </c>
      <c r="O40" s="129" t="s">
        <v>9</v>
      </c>
      <c r="P40" s="129"/>
    </row>
    <row r="41" spans="1:24" s="25" customFormat="1" ht="13.5" customHeight="1" x14ac:dyDescent="0.2">
      <c r="A41" s="13" t="s">
        <v>1</v>
      </c>
      <c r="B41" s="130">
        <v>25</v>
      </c>
      <c r="C41" s="131"/>
      <c r="D41" s="132"/>
      <c r="E41" s="124">
        <f>B41/96</f>
        <v>0.26041666666666669</v>
      </c>
      <c r="F41" s="125"/>
      <c r="G41" s="133">
        <v>57</v>
      </c>
      <c r="H41" s="134"/>
      <c r="I41" s="135"/>
      <c r="J41" s="124">
        <f>G41/1426</f>
        <v>3.9971949509116408E-2</v>
      </c>
      <c r="K41" s="125"/>
      <c r="L41" s="133">
        <v>18</v>
      </c>
      <c r="M41" s="134"/>
      <c r="N41" s="135"/>
      <c r="O41" s="124">
        <f>L41/253</f>
        <v>7.1146245059288543E-2</v>
      </c>
      <c r="P41" s="125"/>
      <c r="S41" s="39"/>
      <c r="U41" s="89"/>
      <c r="V41" s="89"/>
      <c r="W41" s="89"/>
      <c r="X41" s="89"/>
    </row>
    <row r="42" spans="1:24" s="25" customFormat="1" ht="13.5" customHeight="1" x14ac:dyDescent="0.2">
      <c r="A42" s="13" t="s">
        <v>0</v>
      </c>
      <c r="B42" s="13">
        <v>35</v>
      </c>
      <c r="C42" s="13">
        <v>19</v>
      </c>
      <c r="D42" s="14">
        <f>SUM(B42:C42)</f>
        <v>54</v>
      </c>
      <c r="E42" s="124">
        <f>D42/96</f>
        <v>0.5625</v>
      </c>
      <c r="F42" s="125"/>
      <c r="G42" s="37">
        <v>594</v>
      </c>
      <c r="H42" s="37">
        <v>471</v>
      </c>
      <c r="I42" s="14">
        <f>SUM(G42:H42)</f>
        <v>1065</v>
      </c>
      <c r="J42" s="124">
        <f>I42/1426</f>
        <v>0.74684431977559607</v>
      </c>
      <c r="K42" s="125"/>
      <c r="L42" s="37">
        <v>89</v>
      </c>
      <c r="M42" s="37">
        <v>73</v>
      </c>
      <c r="N42" s="14">
        <f>SUM(L42:M42)</f>
        <v>162</v>
      </c>
      <c r="O42" s="124">
        <f>N42/253</f>
        <v>0.64031620553359681</v>
      </c>
      <c r="P42" s="125"/>
      <c r="U42" s="96"/>
      <c r="V42" s="96"/>
      <c r="W42" s="96"/>
      <c r="X42" s="96"/>
    </row>
    <row r="43" spans="1:24" s="25" customFormat="1" ht="13.5" customHeight="1" x14ac:dyDescent="0.2">
      <c r="A43" s="13" t="s">
        <v>12</v>
      </c>
      <c r="B43" s="15">
        <v>6</v>
      </c>
      <c r="C43" s="15">
        <v>1</v>
      </c>
      <c r="D43" s="14">
        <f t="shared" ref="D43:D47" si="12">SUM(B43:C43)</f>
        <v>7</v>
      </c>
      <c r="E43" s="124">
        <f>D43/96</f>
        <v>7.2916666666666671E-2</v>
      </c>
      <c r="F43" s="125"/>
      <c r="G43" s="37">
        <v>92</v>
      </c>
      <c r="H43" s="37">
        <v>55</v>
      </c>
      <c r="I43" s="14">
        <f t="shared" ref="I43:I47" si="13">SUM(G43:H43)</f>
        <v>147</v>
      </c>
      <c r="J43" s="124">
        <f>I43/1426</f>
        <v>0.10308555399719495</v>
      </c>
      <c r="K43" s="125"/>
      <c r="L43" s="37">
        <v>18</v>
      </c>
      <c r="M43" s="37">
        <v>10</v>
      </c>
      <c r="N43" s="14">
        <f t="shared" ref="N43:N47" si="14">SUM(L43:M43)</f>
        <v>28</v>
      </c>
      <c r="O43" s="124">
        <f>N43/253</f>
        <v>0.11067193675889328</v>
      </c>
      <c r="P43" s="125"/>
      <c r="U43" s="96"/>
      <c r="V43" s="96"/>
      <c r="W43" s="96"/>
      <c r="X43" s="96"/>
    </row>
    <row r="44" spans="1:24" s="25" customFormat="1" ht="13.5" customHeight="1" x14ac:dyDescent="0.2">
      <c r="A44" s="13" t="s">
        <v>2</v>
      </c>
      <c r="B44" s="13">
        <v>7</v>
      </c>
      <c r="C44" s="13">
        <v>0</v>
      </c>
      <c r="D44" s="14">
        <f t="shared" si="12"/>
        <v>7</v>
      </c>
      <c r="E44" s="18">
        <f>D44/96</f>
        <v>7.2916666666666671E-2</v>
      </c>
      <c r="F44" s="117">
        <f>SUM(E44:E47)</f>
        <v>0.10416666666666667</v>
      </c>
      <c r="G44" s="37">
        <v>64</v>
      </c>
      <c r="H44" s="37">
        <v>0</v>
      </c>
      <c r="I44" s="14">
        <f t="shared" si="13"/>
        <v>64</v>
      </c>
      <c r="J44" s="18">
        <f>I44/1426</f>
        <v>4.4880785413744739E-2</v>
      </c>
      <c r="K44" s="117">
        <f>SUM(J44:J47)</f>
        <v>0.11009817671809256</v>
      </c>
      <c r="L44" s="37">
        <v>20</v>
      </c>
      <c r="M44" s="37">
        <v>0</v>
      </c>
      <c r="N44" s="14">
        <f t="shared" si="14"/>
        <v>20</v>
      </c>
      <c r="O44" s="18">
        <f>N44/253</f>
        <v>7.9051383399209488E-2</v>
      </c>
      <c r="P44" s="117">
        <f>SUM(O44:O47)</f>
        <v>0.17786561264822134</v>
      </c>
      <c r="U44" s="96"/>
      <c r="V44" s="96"/>
      <c r="W44" s="96"/>
      <c r="X44" s="96"/>
    </row>
    <row r="45" spans="1:24" s="25" customFormat="1" ht="13.5" customHeight="1" x14ac:dyDescent="0.2">
      <c r="A45" s="13" t="s">
        <v>3</v>
      </c>
      <c r="B45" s="13">
        <v>1</v>
      </c>
      <c r="C45" s="13">
        <v>0</v>
      </c>
      <c r="D45" s="14">
        <f t="shared" si="12"/>
        <v>1</v>
      </c>
      <c r="E45" s="18">
        <f t="shared" ref="E45:E47" si="15">D45/96</f>
        <v>1.0416666666666666E-2</v>
      </c>
      <c r="F45" s="118"/>
      <c r="G45" s="37">
        <v>21</v>
      </c>
      <c r="H45" s="37">
        <v>3</v>
      </c>
      <c r="I45" s="14">
        <f t="shared" si="13"/>
        <v>24</v>
      </c>
      <c r="J45" s="18">
        <f t="shared" ref="J45:J47" si="16">I45/1426</f>
        <v>1.6830294530154277E-2</v>
      </c>
      <c r="K45" s="118"/>
      <c r="L45" s="37">
        <v>7</v>
      </c>
      <c r="M45" s="37">
        <v>1</v>
      </c>
      <c r="N45" s="14">
        <f t="shared" si="14"/>
        <v>8</v>
      </c>
      <c r="O45" s="18">
        <f t="shared" ref="O45:O47" si="17">N45/253</f>
        <v>3.1620553359683792E-2</v>
      </c>
      <c r="P45" s="118"/>
      <c r="U45" s="96"/>
      <c r="V45" s="96"/>
      <c r="W45" s="96"/>
      <c r="X45" s="96"/>
    </row>
    <row r="46" spans="1:24" s="25" customFormat="1" ht="13.5" customHeight="1" x14ac:dyDescent="0.2">
      <c r="A46" s="13" t="s">
        <v>4</v>
      </c>
      <c r="B46" s="13">
        <v>2</v>
      </c>
      <c r="C46" s="13">
        <v>0</v>
      </c>
      <c r="D46" s="14">
        <f t="shared" si="12"/>
        <v>2</v>
      </c>
      <c r="E46" s="18">
        <f t="shared" si="15"/>
        <v>2.0833333333333332E-2</v>
      </c>
      <c r="F46" s="118"/>
      <c r="G46" s="37">
        <v>51</v>
      </c>
      <c r="H46" s="37">
        <v>16</v>
      </c>
      <c r="I46" s="14">
        <f t="shared" si="13"/>
        <v>67</v>
      </c>
      <c r="J46" s="18">
        <f t="shared" si="16"/>
        <v>4.6984572230014024E-2</v>
      </c>
      <c r="K46" s="118"/>
      <c r="L46" s="37">
        <v>13</v>
      </c>
      <c r="M46" s="37">
        <v>3</v>
      </c>
      <c r="N46" s="14">
        <f t="shared" si="14"/>
        <v>16</v>
      </c>
      <c r="O46" s="18">
        <f t="shared" si="17"/>
        <v>6.3241106719367585E-2</v>
      </c>
      <c r="P46" s="118"/>
      <c r="U46" s="96"/>
      <c r="V46" s="96"/>
      <c r="W46" s="96"/>
      <c r="X46" s="96"/>
    </row>
    <row r="47" spans="1:24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2</v>
      </c>
      <c r="H47" s="37">
        <v>0</v>
      </c>
      <c r="I47" s="14">
        <f t="shared" si="13"/>
        <v>2</v>
      </c>
      <c r="J47" s="18">
        <f t="shared" si="16"/>
        <v>1.4025245441795231E-3</v>
      </c>
      <c r="K47" s="119"/>
      <c r="L47" s="37">
        <v>1</v>
      </c>
      <c r="M47" s="37">
        <v>0</v>
      </c>
      <c r="N47" s="14">
        <f t="shared" si="14"/>
        <v>1</v>
      </c>
      <c r="O47" s="18">
        <f t="shared" si="17"/>
        <v>3.952569169960474E-3</v>
      </c>
      <c r="P47" s="119"/>
      <c r="U47" s="96"/>
      <c r="V47" s="96"/>
      <c r="W47" s="96"/>
      <c r="X47" s="96"/>
    </row>
    <row r="48" spans="1:24" s="25" customFormat="1" ht="13.5" customHeight="1" x14ac:dyDescent="0.2">
      <c r="A48" s="19" t="s">
        <v>8</v>
      </c>
      <c r="B48" s="20">
        <f>SUM(B42:B47)</f>
        <v>51</v>
      </c>
      <c r="C48" s="20">
        <f>SUM(C42:C47)</f>
        <v>20</v>
      </c>
      <c r="D48" s="21">
        <f>D42+D43+B41+D44+D45+D46+D47</f>
        <v>96</v>
      </c>
      <c r="E48" s="120">
        <f>D48/96</f>
        <v>1</v>
      </c>
      <c r="F48" s="121"/>
      <c r="G48" s="20">
        <f>SUM(G42:G47)</f>
        <v>824</v>
      </c>
      <c r="H48" s="20">
        <f>SUM(H42:H47)</f>
        <v>545</v>
      </c>
      <c r="I48" s="21">
        <f>I42+I43+G41+I44+I45+I46+I47</f>
        <v>1426</v>
      </c>
      <c r="J48" s="120">
        <f>I48/1426</f>
        <v>1</v>
      </c>
      <c r="K48" s="122"/>
      <c r="L48" s="20">
        <f>SUM(L42:L47)</f>
        <v>148</v>
      </c>
      <c r="M48" s="20">
        <f>SUM(M42:M47)</f>
        <v>87</v>
      </c>
      <c r="N48" s="21">
        <f>N42+N43+L41+N44+N45+N46+N47</f>
        <v>253</v>
      </c>
      <c r="O48" s="120">
        <f>N48/253</f>
        <v>1</v>
      </c>
      <c r="P48" s="122"/>
      <c r="U48" s="96"/>
      <c r="V48" s="96"/>
      <c r="W48" s="96"/>
      <c r="X48" s="96"/>
    </row>
    <row r="49" spans="5:24" x14ac:dyDescent="0.2">
      <c r="U49" s="97"/>
      <c r="V49" s="97"/>
      <c r="W49" s="97"/>
      <c r="X49" s="97"/>
    </row>
    <row r="50" spans="5:24" x14ac:dyDescent="0.2">
      <c r="U50" s="97"/>
      <c r="V50" s="97"/>
      <c r="W50" s="97"/>
      <c r="X50" s="97"/>
    </row>
    <row r="51" spans="5:24" x14ac:dyDescent="0.2">
      <c r="E51" s="123"/>
      <c r="F51" s="123"/>
      <c r="J51" s="123"/>
      <c r="K51" s="123"/>
      <c r="O51" s="123"/>
      <c r="P51" s="123"/>
      <c r="U51" s="97"/>
      <c r="V51" s="97"/>
      <c r="W51" s="97"/>
      <c r="X51" s="97"/>
    </row>
    <row r="52" spans="5:24" ht="34.5" customHeight="1" x14ac:dyDescent="0.3">
      <c r="N52" s="116">
        <v>11</v>
      </c>
      <c r="O52" s="116"/>
      <c r="P52" s="116"/>
    </row>
  </sheetData>
  <mergeCells count="82"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  <mergeCell ref="E10:F10"/>
    <mergeCell ref="J10:K10"/>
    <mergeCell ref="O10:P10"/>
    <mergeCell ref="E11:F11"/>
    <mergeCell ref="J11:K11"/>
    <mergeCell ref="O11:P11"/>
    <mergeCell ref="F12:F15"/>
    <mergeCell ref="K12:K15"/>
    <mergeCell ref="P12:P15"/>
    <mergeCell ref="E16:F16"/>
    <mergeCell ref="J16:K16"/>
    <mergeCell ref="O16:P16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E26:F26"/>
    <mergeCell ref="J26:K26"/>
    <mergeCell ref="O26:P26"/>
    <mergeCell ref="E27:F27"/>
    <mergeCell ref="J27:K27"/>
    <mergeCell ref="O27:P27"/>
    <mergeCell ref="F28:F31"/>
    <mergeCell ref="K28:K31"/>
    <mergeCell ref="P28:P31"/>
    <mergeCell ref="E32:F32"/>
    <mergeCell ref="J32:K32"/>
    <mergeCell ref="O32:P32"/>
    <mergeCell ref="E34:F34"/>
    <mergeCell ref="J34:K34"/>
    <mergeCell ref="O34:P34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O41:P41"/>
    <mergeCell ref="E42:F42"/>
    <mergeCell ref="J42:K42"/>
    <mergeCell ref="O42:P42"/>
    <mergeCell ref="E43:F43"/>
    <mergeCell ref="J43:K43"/>
    <mergeCell ref="O43:P43"/>
    <mergeCell ref="E51:F51"/>
    <mergeCell ref="J51:K51"/>
    <mergeCell ref="O51:P51"/>
    <mergeCell ref="N52:P52"/>
    <mergeCell ref="F44:F47"/>
    <mergeCell ref="K44:K47"/>
    <mergeCell ref="P44:P47"/>
    <mergeCell ref="E48:F48"/>
    <mergeCell ref="J48:K48"/>
    <mergeCell ref="O48:P48"/>
  </mergeCells>
  <pageMargins left="0.59055118110236227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N52" sqref="N52:P52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  <col min="19" max="19" width="9.83203125" bestFit="1" customWidth="1"/>
  </cols>
  <sheetData>
    <row r="1" spans="1:20" ht="13.5" customHeight="1" x14ac:dyDescent="0.2"/>
    <row r="2" spans="1:20" ht="13.5" customHeight="1" x14ac:dyDescent="0.2"/>
    <row r="3" spans="1:20" ht="13.5" customHeight="1" x14ac:dyDescent="0.2"/>
    <row r="4" spans="1:20" ht="13.5" customHeight="1" x14ac:dyDescent="0.2"/>
    <row r="5" spans="1:20" ht="13.5" customHeight="1" x14ac:dyDescent="0.2">
      <c r="A5" s="141" t="s">
        <v>38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20" ht="13.5" customHeight="1" x14ac:dyDescent="0.2"/>
    <row r="7" spans="1:20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20" ht="47.25" customHeight="1" x14ac:dyDescent="0.2">
      <c r="A8" s="11"/>
      <c r="B8" s="94" t="s">
        <v>6</v>
      </c>
      <c r="C8" s="94" t="s">
        <v>7</v>
      </c>
      <c r="D8" s="94" t="s">
        <v>8</v>
      </c>
      <c r="E8" s="129" t="s">
        <v>9</v>
      </c>
      <c r="F8" s="129"/>
      <c r="G8" s="91" t="s">
        <v>6</v>
      </c>
      <c r="H8" s="91" t="s">
        <v>7</v>
      </c>
      <c r="I8" s="91" t="s">
        <v>8</v>
      </c>
      <c r="J8" s="129" t="s">
        <v>9</v>
      </c>
      <c r="K8" s="129"/>
      <c r="L8" s="91" t="s">
        <v>6</v>
      </c>
      <c r="M8" s="91" t="s">
        <v>7</v>
      </c>
      <c r="N8" s="91" t="s">
        <v>8</v>
      </c>
      <c r="O8" s="129" t="s">
        <v>9</v>
      </c>
      <c r="P8" s="129"/>
    </row>
    <row r="9" spans="1:20" ht="13.5" customHeight="1" x14ac:dyDescent="0.2">
      <c r="A9" s="37" t="s">
        <v>1</v>
      </c>
      <c r="B9" s="133">
        <v>51</v>
      </c>
      <c r="C9" s="134"/>
      <c r="D9" s="135"/>
      <c r="E9" s="124">
        <f>B9/136</f>
        <v>0.375</v>
      </c>
      <c r="F9" s="125"/>
      <c r="G9" s="133">
        <v>899</v>
      </c>
      <c r="H9" s="134"/>
      <c r="I9" s="135"/>
      <c r="J9" s="124">
        <f>G9/4824</f>
        <v>0.18635986733001658</v>
      </c>
      <c r="K9" s="125"/>
      <c r="L9" s="133">
        <v>115</v>
      </c>
      <c r="M9" s="134"/>
      <c r="N9" s="135"/>
      <c r="O9" s="124">
        <f>L9/496</f>
        <v>0.23185483870967741</v>
      </c>
      <c r="P9" s="125"/>
      <c r="S9" s="10"/>
      <c r="T9" s="10"/>
    </row>
    <row r="10" spans="1:20" ht="13.5" customHeight="1" x14ac:dyDescent="0.2">
      <c r="A10" s="37" t="s">
        <v>0</v>
      </c>
      <c r="B10" s="37">
        <v>36</v>
      </c>
      <c r="C10" s="37">
        <v>23</v>
      </c>
      <c r="D10" s="38">
        <f>SUM(B10:C10)</f>
        <v>59</v>
      </c>
      <c r="E10" s="124">
        <f>D10/136</f>
        <v>0.43382352941176472</v>
      </c>
      <c r="F10" s="125"/>
      <c r="G10" s="37">
        <v>1399</v>
      </c>
      <c r="H10" s="37">
        <v>1115</v>
      </c>
      <c r="I10" s="38">
        <f>SUM(G10:H10)</f>
        <v>2514</v>
      </c>
      <c r="J10" s="124">
        <f>I10/4824</f>
        <v>0.52114427860696522</v>
      </c>
      <c r="K10" s="125"/>
      <c r="L10" s="37">
        <v>122</v>
      </c>
      <c r="M10" s="37">
        <v>132</v>
      </c>
      <c r="N10" s="38">
        <f>SUM(L10:M10)</f>
        <v>254</v>
      </c>
      <c r="O10" s="124">
        <f>N10/496</f>
        <v>0.51209677419354838</v>
      </c>
      <c r="P10" s="125"/>
    </row>
    <row r="11" spans="1:20" ht="13.5" customHeight="1" x14ac:dyDescent="0.2">
      <c r="A11" s="37" t="s">
        <v>12</v>
      </c>
      <c r="B11" s="37">
        <v>8</v>
      </c>
      <c r="C11" s="37">
        <v>0</v>
      </c>
      <c r="D11" s="38">
        <f t="shared" ref="D11:D15" si="0">SUM(B11:C11)</f>
        <v>8</v>
      </c>
      <c r="E11" s="124">
        <f>D11/136</f>
        <v>5.8823529411764705E-2</v>
      </c>
      <c r="F11" s="125"/>
      <c r="G11" s="37">
        <v>161</v>
      </c>
      <c r="H11" s="37">
        <v>320</v>
      </c>
      <c r="I11" s="38">
        <f t="shared" ref="I11:I15" si="1">SUM(G11:H11)</f>
        <v>481</v>
      </c>
      <c r="J11" s="124">
        <f>I11/4824</f>
        <v>9.9709784411276953E-2</v>
      </c>
      <c r="K11" s="125"/>
      <c r="L11" s="37">
        <v>18</v>
      </c>
      <c r="M11" s="37">
        <v>15</v>
      </c>
      <c r="N11" s="38">
        <f t="shared" ref="N11:N15" si="2">SUM(L11:M11)</f>
        <v>33</v>
      </c>
      <c r="O11" s="124">
        <f>N11/496</f>
        <v>6.6532258064516125E-2</v>
      </c>
      <c r="P11" s="125"/>
    </row>
    <row r="12" spans="1:20" ht="13.5" customHeight="1" x14ac:dyDescent="0.2">
      <c r="A12" s="37" t="s">
        <v>2</v>
      </c>
      <c r="B12" s="37">
        <v>11</v>
      </c>
      <c r="C12" s="37">
        <v>0</v>
      </c>
      <c r="D12" s="38">
        <f t="shared" si="0"/>
        <v>11</v>
      </c>
      <c r="E12" s="18">
        <f>D12/136</f>
        <v>8.0882352941176475E-2</v>
      </c>
      <c r="F12" s="117">
        <f>SUM(E12:E15)</f>
        <v>0.13235294117647059</v>
      </c>
      <c r="G12" s="37">
        <v>549</v>
      </c>
      <c r="H12" s="37">
        <v>5</v>
      </c>
      <c r="I12" s="38">
        <f t="shared" si="1"/>
        <v>554</v>
      </c>
      <c r="J12" s="18">
        <f>I12/4824</f>
        <v>0.11484245439469321</v>
      </c>
      <c r="K12" s="117">
        <f>SUM(J12:J15)</f>
        <v>0.1927860696517413</v>
      </c>
      <c r="L12" s="37">
        <v>32</v>
      </c>
      <c r="M12" s="37">
        <v>0</v>
      </c>
      <c r="N12" s="38">
        <f t="shared" si="2"/>
        <v>32</v>
      </c>
      <c r="O12" s="18">
        <f>N12/496</f>
        <v>6.4516129032258063E-2</v>
      </c>
      <c r="P12" s="117">
        <f>SUM(O12:O15)</f>
        <v>0.18951612903225809</v>
      </c>
    </row>
    <row r="13" spans="1:20" ht="13.5" customHeight="1" x14ac:dyDescent="0.2">
      <c r="A13" s="37" t="s">
        <v>3</v>
      </c>
      <c r="B13" s="37">
        <v>5</v>
      </c>
      <c r="C13" s="37">
        <v>1</v>
      </c>
      <c r="D13" s="38">
        <f t="shared" si="0"/>
        <v>6</v>
      </c>
      <c r="E13" s="18">
        <f t="shared" ref="E13:E15" si="3">D13/136</f>
        <v>4.4117647058823532E-2</v>
      </c>
      <c r="F13" s="118"/>
      <c r="G13" s="37">
        <v>121</v>
      </c>
      <c r="H13" s="37">
        <v>20</v>
      </c>
      <c r="I13" s="38">
        <f t="shared" si="1"/>
        <v>141</v>
      </c>
      <c r="J13" s="18">
        <f t="shared" ref="J13:J15" si="4">I13/4824</f>
        <v>2.9228855721393034E-2</v>
      </c>
      <c r="K13" s="118"/>
      <c r="L13" s="37">
        <v>20</v>
      </c>
      <c r="M13" s="37">
        <v>7</v>
      </c>
      <c r="N13" s="38">
        <f t="shared" si="2"/>
        <v>27</v>
      </c>
      <c r="O13" s="18">
        <f t="shared" ref="O13:O15" si="5">N13/496</f>
        <v>5.4435483870967742E-2</v>
      </c>
      <c r="P13" s="118"/>
    </row>
    <row r="14" spans="1:20" ht="13.5" customHeight="1" x14ac:dyDescent="0.2">
      <c r="A14" s="37" t="s">
        <v>4</v>
      </c>
      <c r="B14" s="37">
        <v>1</v>
      </c>
      <c r="C14" s="37">
        <v>0</v>
      </c>
      <c r="D14" s="38">
        <f t="shared" si="0"/>
        <v>1</v>
      </c>
      <c r="E14" s="18">
        <f t="shared" si="3"/>
        <v>7.3529411764705881E-3</v>
      </c>
      <c r="F14" s="118"/>
      <c r="G14" s="37">
        <v>191</v>
      </c>
      <c r="H14" s="37">
        <v>22</v>
      </c>
      <c r="I14" s="38">
        <f t="shared" si="1"/>
        <v>213</v>
      </c>
      <c r="J14" s="18">
        <f t="shared" si="4"/>
        <v>4.4154228855721393E-2</v>
      </c>
      <c r="K14" s="118"/>
      <c r="L14" s="37">
        <v>22</v>
      </c>
      <c r="M14" s="37">
        <v>1</v>
      </c>
      <c r="N14" s="38">
        <f t="shared" si="2"/>
        <v>23</v>
      </c>
      <c r="O14" s="18">
        <f t="shared" si="5"/>
        <v>4.6370967741935484E-2</v>
      </c>
      <c r="P14" s="118"/>
    </row>
    <row r="15" spans="1:20" x14ac:dyDescent="0.2">
      <c r="A15" s="37" t="s">
        <v>5</v>
      </c>
      <c r="B15" s="37">
        <v>0</v>
      </c>
      <c r="C15" s="37">
        <v>0</v>
      </c>
      <c r="D15" s="38">
        <f t="shared" si="0"/>
        <v>0</v>
      </c>
      <c r="E15" s="18">
        <f t="shared" si="3"/>
        <v>0</v>
      </c>
      <c r="F15" s="119"/>
      <c r="G15" s="37">
        <v>14</v>
      </c>
      <c r="H15" s="37">
        <v>8</v>
      </c>
      <c r="I15" s="38">
        <f t="shared" si="1"/>
        <v>22</v>
      </c>
      <c r="J15" s="18">
        <f t="shared" si="4"/>
        <v>4.5605306799336651E-3</v>
      </c>
      <c r="K15" s="119"/>
      <c r="L15" s="37">
        <v>7</v>
      </c>
      <c r="M15" s="37">
        <v>5</v>
      </c>
      <c r="N15" s="38">
        <f t="shared" si="2"/>
        <v>12</v>
      </c>
      <c r="O15" s="18">
        <f t="shared" si="5"/>
        <v>2.4193548387096774E-2</v>
      </c>
      <c r="P15" s="119"/>
    </row>
    <row r="16" spans="1:20" x14ac:dyDescent="0.2">
      <c r="A16" s="90" t="s">
        <v>8</v>
      </c>
      <c r="B16" s="74">
        <f>SUM(B10:B15)</f>
        <v>61</v>
      </c>
      <c r="C16" s="74">
        <f>SUM(C10:C15)</f>
        <v>24</v>
      </c>
      <c r="D16" s="75">
        <f>D10+D11+B9+D12+D13+D14+D15</f>
        <v>136</v>
      </c>
      <c r="E16" s="120">
        <f>D16/136</f>
        <v>1</v>
      </c>
      <c r="F16" s="121"/>
      <c r="G16" s="74">
        <f>SUM(G10:G15)</f>
        <v>2435</v>
      </c>
      <c r="H16" s="74">
        <f>SUM(H10:H15)</f>
        <v>1490</v>
      </c>
      <c r="I16" s="75">
        <f>I10+I11+G9+I12+I13+I14+I15</f>
        <v>4824</v>
      </c>
      <c r="J16" s="120">
        <f>I16/4824</f>
        <v>1</v>
      </c>
      <c r="K16" s="122"/>
      <c r="L16" s="74">
        <f>SUM(L10:L15)</f>
        <v>221</v>
      </c>
      <c r="M16" s="74">
        <f>SUM(M10:M15)</f>
        <v>160</v>
      </c>
      <c r="N16" s="75">
        <f>N10+N11+L9+N12+N13+N14+N15</f>
        <v>496</v>
      </c>
      <c r="O16" s="120">
        <f>N16/496</f>
        <v>1</v>
      </c>
      <c r="P16" s="122"/>
    </row>
    <row r="17" spans="1:19" s="5" customFormat="1" ht="13.5" customHeight="1" x14ac:dyDescent="0.2">
      <c r="A17" s="1"/>
      <c r="B17" s="2"/>
      <c r="C17" s="2"/>
      <c r="D17" s="3"/>
      <c r="E17" s="93"/>
      <c r="F17" s="93"/>
      <c r="G17" s="2"/>
      <c r="H17" s="2"/>
      <c r="I17" s="3"/>
      <c r="J17" s="93"/>
      <c r="K17" s="93"/>
    </row>
    <row r="18" spans="1:19" s="5" customFormat="1" ht="13.5" customHeight="1" x14ac:dyDescent="0.2">
      <c r="A18" s="1"/>
      <c r="B18" s="2"/>
      <c r="C18" s="2"/>
      <c r="D18" s="3"/>
      <c r="E18" s="93"/>
      <c r="F18" s="93"/>
      <c r="G18" s="2"/>
      <c r="H18" s="2"/>
      <c r="I18" s="3"/>
      <c r="J18" s="93"/>
      <c r="K18" s="93"/>
    </row>
    <row r="19" spans="1:19" s="5" customFormat="1" ht="13.5" customHeight="1" x14ac:dyDescent="0.2">
      <c r="A19" s="1"/>
      <c r="B19" s="2"/>
      <c r="C19" s="2"/>
      <c r="D19" s="3"/>
      <c r="E19" s="93"/>
      <c r="F19" s="93"/>
      <c r="G19" s="2"/>
      <c r="H19" s="2"/>
      <c r="I19" s="3"/>
      <c r="J19" s="93"/>
      <c r="K19" s="93"/>
    </row>
    <row r="20" spans="1:19" s="5" customFormat="1" ht="13.5" customHeight="1" x14ac:dyDescent="0.2">
      <c r="A20" s="1"/>
      <c r="B20" s="2"/>
      <c r="C20" s="2"/>
      <c r="D20" s="3"/>
      <c r="E20" s="93"/>
      <c r="F20" s="93"/>
      <c r="G20" s="2"/>
      <c r="H20" s="2"/>
      <c r="I20" s="3"/>
      <c r="J20" s="93"/>
      <c r="K20" s="93"/>
    </row>
    <row r="21" spans="1:19" s="5" customFormat="1" ht="13.5" customHeight="1" x14ac:dyDescent="0.2">
      <c r="A21" s="126" t="s">
        <v>39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19" s="5" customFormat="1" ht="13.5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</row>
    <row r="23" spans="1:19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</row>
    <row r="24" spans="1:19" s="23" customFormat="1" ht="45.75" x14ac:dyDescent="0.2">
      <c r="A24" s="22"/>
      <c r="B24" s="92" t="s">
        <v>6</v>
      </c>
      <c r="C24" s="92" t="s">
        <v>7</v>
      </c>
      <c r="D24" s="92" t="s">
        <v>8</v>
      </c>
      <c r="E24" s="140" t="s">
        <v>9</v>
      </c>
      <c r="F24" s="140"/>
      <c r="G24" s="92" t="s">
        <v>6</v>
      </c>
      <c r="H24" s="92" t="s">
        <v>7</v>
      </c>
      <c r="I24" s="92" t="s">
        <v>8</v>
      </c>
      <c r="J24" s="144" t="s">
        <v>9</v>
      </c>
      <c r="K24" s="144"/>
      <c r="L24" s="94" t="s">
        <v>6</v>
      </c>
      <c r="M24" s="94" t="s">
        <v>7</v>
      </c>
      <c r="N24" s="94" t="s">
        <v>8</v>
      </c>
      <c r="O24" s="129" t="s">
        <v>9</v>
      </c>
      <c r="P24" s="129"/>
    </row>
    <row r="25" spans="1:19" s="25" customFormat="1" ht="13.5" customHeight="1" x14ac:dyDescent="0.2">
      <c r="A25" s="13" t="s">
        <v>1</v>
      </c>
      <c r="B25" s="130">
        <v>27</v>
      </c>
      <c r="C25" s="131"/>
      <c r="D25" s="132"/>
      <c r="E25" s="124">
        <f>B25/42</f>
        <v>0.6428571428571429</v>
      </c>
      <c r="F25" s="125"/>
      <c r="G25" s="130">
        <v>813</v>
      </c>
      <c r="H25" s="131"/>
      <c r="I25" s="132"/>
      <c r="J25" s="124">
        <f>G25/3137</f>
        <v>0.25916480714058016</v>
      </c>
      <c r="K25" s="125"/>
      <c r="L25" s="130">
        <v>93</v>
      </c>
      <c r="M25" s="131"/>
      <c r="N25" s="132"/>
      <c r="O25" s="124">
        <f>L25/214</f>
        <v>0.43457943925233644</v>
      </c>
      <c r="P25" s="125"/>
      <c r="S25" s="39"/>
    </row>
    <row r="26" spans="1:19" s="25" customFormat="1" ht="13.5" customHeight="1" x14ac:dyDescent="0.2">
      <c r="A26" s="26" t="s">
        <v>0</v>
      </c>
      <c r="B26" s="26">
        <v>3</v>
      </c>
      <c r="C26" s="26">
        <v>4</v>
      </c>
      <c r="D26" s="14">
        <f>SUM(B26:C26)</f>
        <v>7</v>
      </c>
      <c r="E26" s="142">
        <f>D26/42</f>
        <v>0.16666666666666666</v>
      </c>
      <c r="F26" s="143"/>
      <c r="G26" s="28">
        <v>761</v>
      </c>
      <c r="H26" s="28">
        <v>524</v>
      </c>
      <c r="I26" s="38">
        <f>SUM(G26:H26)</f>
        <v>1285</v>
      </c>
      <c r="J26" s="124">
        <f t="shared" ref="J26:J32" si="6">I26/3137</f>
        <v>0.40962703219636598</v>
      </c>
      <c r="K26" s="125"/>
      <c r="L26" s="15">
        <v>23</v>
      </c>
      <c r="M26" s="15">
        <v>36</v>
      </c>
      <c r="N26" s="38">
        <f>SUM(L26:M26)</f>
        <v>59</v>
      </c>
      <c r="O26" s="124">
        <f>N26/214</f>
        <v>0.27570093457943923</v>
      </c>
      <c r="P26" s="125"/>
    </row>
    <row r="27" spans="1:19" s="25" customFormat="1" ht="13.5" customHeight="1" x14ac:dyDescent="0.2">
      <c r="A27" s="26" t="s">
        <v>12</v>
      </c>
      <c r="B27" s="28">
        <v>1</v>
      </c>
      <c r="C27" s="28">
        <v>0</v>
      </c>
      <c r="D27" s="14">
        <f t="shared" ref="D27:D31" si="7">SUM(B27:C27)</f>
        <v>1</v>
      </c>
      <c r="E27" s="142">
        <f>D27/42</f>
        <v>2.3809523809523808E-2</v>
      </c>
      <c r="F27" s="143"/>
      <c r="G27" s="28">
        <v>61</v>
      </c>
      <c r="H27" s="28">
        <v>280</v>
      </c>
      <c r="I27" s="38">
        <f t="shared" ref="I27:I31" si="8">SUM(G27:H27)</f>
        <v>341</v>
      </c>
      <c r="J27" s="124">
        <f t="shared" si="6"/>
        <v>0.10870258208479439</v>
      </c>
      <c r="K27" s="125"/>
      <c r="L27" s="15">
        <v>4</v>
      </c>
      <c r="M27" s="15">
        <v>9</v>
      </c>
      <c r="N27" s="38">
        <f t="shared" ref="N27:N31" si="9">SUM(L27:M27)</f>
        <v>13</v>
      </c>
      <c r="O27" s="124">
        <f>N27/214</f>
        <v>6.0747663551401869E-2</v>
      </c>
      <c r="P27" s="125"/>
    </row>
    <row r="28" spans="1:19" s="25" customFormat="1" ht="13.5" customHeight="1" x14ac:dyDescent="0.2">
      <c r="A28" s="30" t="s">
        <v>2</v>
      </c>
      <c r="B28" s="30">
        <v>4</v>
      </c>
      <c r="C28" s="30">
        <v>0</v>
      </c>
      <c r="D28" s="14">
        <f t="shared" si="7"/>
        <v>4</v>
      </c>
      <c r="E28" s="36">
        <f>D28/42</f>
        <v>9.5238095238095233E-2</v>
      </c>
      <c r="F28" s="136">
        <f>SUM(E28:E31)</f>
        <v>0.16666666666666666</v>
      </c>
      <c r="G28" s="30">
        <v>459</v>
      </c>
      <c r="H28" s="30">
        <v>3</v>
      </c>
      <c r="I28" s="38">
        <f t="shared" si="8"/>
        <v>462</v>
      </c>
      <c r="J28" s="36">
        <f t="shared" si="6"/>
        <v>0.14727446605036659</v>
      </c>
      <c r="K28" s="136">
        <f>SUM(J28:J31)</f>
        <v>0.22250557857825948</v>
      </c>
      <c r="L28" s="13">
        <v>19</v>
      </c>
      <c r="M28" s="13">
        <v>0</v>
      </c>
      <c r="N28" s="38">
        <f t="shared" si="9"/>
        <v>19</v>
      </c>
      <c r="O28" s="18">
        <f>N28/214</f>
        <v>8.8785046728971959E-2</v>
      </c>
      <c r="P28" s="117">
        <f>SUM(O28:O31)</f>
        <v>0.2289719626168224</v>
      </c>
    </row>
    <row r="29" spans="1:19" s="25" customFormat="1" ht="13.5" customHeight="1" x14ac:dyDescent="0.2">
      <c r="A29" s="30" t="s">
        <v>3</v>
      </c>
      <c r="B29" s="30">
        <v>1</v>
      </c>
      <c r="C29" s="30">
        <v>1</v>
      </c>
      <c r="D29" s="14">
        <f t="shared" si="7"/>
        <v>2</v>
      </c>
      <c r="E29" s="36">
        <f t="shared" ref="E29:E31" si="10">D29/42</f>
        <v>4.7619047619047616E-2</v>
      </c>
      <c r="F29" s="137"/>
      <c r="G29" s="30">
        <v>79</v>
      </c>
      <c r="H29" s="30">
        <v>12</v>
      </c>
      <c r="I29" s="38">
        <f t="shared" si="8"/>
        <v>91</v>
      </c>
      <c r="J29" s="36">
        <f t="shared" si="6"/>
        <v>2.9008606949314633E-2</v>
      </c>
      <c r="K29" s="137"/>
      <c r="L29" s="13">
        <v>9</v>
      </c>
      <c r="M29" s="13">
        <v>3</v>
      </c>
      <c r="N29" s="38">
        <f t="shared" si="9"/>
        <v>12</v>
      </c>
      <c r="O29" s="18">
        <f t="shared" ref="O29:O31" si="11">N29/214</f>
        <v>5.6074766355140186E-2</v>
      </c>
      <c r="P29" s="118"/>
    </row>
    <row r="30" spans="1:19" s="25" customFormat="1" ht="13.5" customHeight="1" x14ac:dyDescent="0.2">
      <c r="A30" s="30" t="s">
        <v>4</v>
      </c>
      <c r="B30" s="30">
        <v>1</v>
      </c>
      <c r="C30" s="30">
        <v>0</v>
      </c>
      <c r="D30" s="14">
        <f t="shared" si="7"/>
        <v>1</v>
      </c>
      <c r="E30" s="36">
        <f t="shared" si="10"/>
        <v>2.3809523809523808E-2</v>
      </c>
      <c r="F30" s="137"/>
      <c r="G30" s="30">
        <v>127</v>
      </c>
      <c r="H30" s="30">
        <v>14</v>
      </c>
      <c r="I30" s="38">
        <f t="shared" si="8"/>
        <v>141</v>
      </c>
      <c r="J30" s="36">
        <f t="shared" si="6"/>
        <v>4.4947401976410582E-2</v>
      </c>
      <c r="K30" s="137"/>
      <c r="L30" s="13">
        <v>14</v>
      </c>
      <c r="M30" s="13">
        <v>1</v>
      </c>
      <c r="N30" s="38">
        <f t="shared" si="9"/>
        <v>15</v>
      </c>
      <c r="O30" s="18">
        <f t="shared" si="11"/>
        <v>7.0093457943925228E-2</v>
      </c>
      <c r="P30" s="118"/>
    </row>
    <row r="31" spans="1:19" s="25" customFormat="1" ht="13.5" customHeight="1" x14ac:dyDescent="0.2">
      <c r="A31" s="30" t="s">
        <v>5</v>
      </c>
      <c r="B31" s="30">
        <v>0</v>
      </c>
      <c r="C31" s="30">
        <v>0</v>
      </c>
      <c r="D31" s="14">
        <f t="shared" si="7"/>
        <v>0</v>
      </c>
      <c r="E31" s="36">
        <f t="shared" si="10"/>
        <v>0</v>
      </c>
      <c r="F31" s="138"/>
      <c r="G31" s="30">
        <v>2</v>
      </c>
      <c r="H31" s="30">
        <v>2</v>
      </c>
      <c r="I31" s="38">
        <f t="shared" si="8"/>
        <v>4</v>
      </c>
      <c r="J31" s="36">
        <f t="shared" si="6"/>
        <v>1.2751036021676761E-3</v>
      </c>
      <c r="K31" s="138"/>
      <c r="L31" s="13">
        <v>2</v>
      </c>
      <c r="M31" s="13">
        <v>1</v>
      </c>
      <c r="N31" s="38">
        <f t="shared" si="9"/>
        <v>3</v>
      </c>
      <c r="O31" s="18">
        <f t="shared" si="11"/>
        <v>1.4018691588785047E-2</v>
      </c>
      <c r="P31" s="119"/>
    </row>
    <row r="32" spans="1:19" s="25" customFormat="1" ht="13.5" customHeight="1" x14ac:dyDescent="0.2">
      <c r="A32" s="32" t="s">
        <v>8</v>
      </c>
      <c r="B32" s="33">
        <f>SUM(B26:B31)</f>
        <v>10</v>
      </c>
      <c r="C32" s="33">
        <f>SUM(C26:C31)</f>
        <v>5</v>
      </c>
      <c r="D32" s="34">
        <f>D26+D27+B25+D28+D29+D30+D31</f>
        <v>42</v>
      </c>
      <c r="E32" s="139">
        <f>D32/42</f>
        <v>1</v>
      </c>
      <c r="F32" s="139"/>
      <c r="G32" s="33">
        <f>SUM(G26:G31)</f>
        <v>1489</v>
      </c>
      <c r="H32" s="33">
        <f>SUM(H26:H31)</f>
        <v>835</v>
      </c>
      <c r="I32" s="34">
        <f>I26+I27+G25+I28+I29+I30+I31</f>
        <v>3137</v>
      </c>
      <c r="J32" s="139">
        <f t="shared" si="6"/>
        <v>1</v>
      </c>
      <c r="K32" s="139"/>
      <c r="L32" s="20">
        <f>SUM(L26:L31)</f>
        <v>71</v>
      </c>
      <c r="M32" s="20">
        <f>SUM(M26:M31)</f>
        <v>50</v>
      </c>
      <c r="N32" s="21">
        <f>N26+N27+L25+N28+N29+N30+N31</f>
        <v>214</v>
      </c>
      <c r="O32" s="120">
        <f>N32/214</f>
        <v>1</v>
      </c>
      <c r="P32" s="122"/>
    </row>
    <row r="33" spans="1:19" s="5" customFormat="1" ht="13.5" customHeight="1" x14ac:dyDescent="0.3">
      <c r="A33" s="1"/>
      <c r="B33" s="2"/>
      <c r="C33" s="2"/>
      <c r="D33" s="3"/>
      <c r="E33" s="93"/>
      <c r="F33" s="93"/>
      <c r="G33" s="2"/>
      <c r="H33" s="2"/>
      <c r="I33" s="3"/>
      <c r="J33" s="93"/>
      <c r="K33" s="93"/>
      <c r="L33" s="6"/>
      <c r="N33" s="8"/>
      <c r="O33" s="9"/>
      <c r="P33" s="9"/>
    </row>
    <row r="34" spans="1:19" s="5" customFormat="1" ht="13.5" customHeight="1" x14ac:dyDescent="0.3">
      <c r="A34" s="1"/>
      <c r="B34" s="2"/>
      <c r="C34" s="2"/>
      <c r="D34" s="3"/>
      <c r="E34" s="115"/>
      <c r="F34" s="115"/>
      <c r="G34" s="2"/>
      <c r="H34" s="2"/>
      <c r="I34" s="3"/>
      <c r="J34" s="115"/>
      <c r="K34" s="115"/>
      <c r="L34" s="6"/>
      <c r="N34" s="8"/>
      <c r="O34" s="115"/>
      <c r="P34" s="115"/>
    </row>
    <row r="35" spans="1:19" s="5" customFormat="1" ht="13.5" customHeight="1" x14ac:dyDescent="0.3">
      <c r="A35" s="1"/>
      <c r="B35" s="2"/>
      <c r="C35" s="2"/>
      <c r="D35" s="3"/>
      <c r="E35" s="93"/>
      <c r="F35" s="93"/>
      <c r="G35" s="2"/>
      <c r="H35" s="2"/>
      <c r="I35" s="3"/>
      <c r="J35" s="93"/>
      <c r="K35" s="93"/>
      <c r="L35" s="6"/>
      <c r="N35" s="8"/>
      <c r="O35" s="9"/>
      <c r="P35" s="9"/>
      <c r="S35" s="88"/>
    </row>
    <row r="36" spans="1:19" s="5" customFormat="1" ht="13.5" customHeight="1" x14ac:dyDescent="0.3">
      <c r="A36" s="1"/>
      <c r="B36" s="2"/>
      <c r="C36" s="2"/>
      <c r="D36" s="3"/>
      <c r="E36" s="93"/>
      <c r="F36" s="93"/>
      <c r="G36" s="2"/>
      <c r="H36" s="2"/>
      <c r="I36" s="3"/>
      <c r="J36" s="93"/>
      <c r="K36" s="93"/>
      <c r="L36" s="6"/>
      <c r="N36" s="8"/>
      <c r="O36" s="9"/>
      <c r="P36" s="9"/>
    </row>
    <row r="37" spans="1:19" s="5" customFormat="1" ht="13.5" customHeight="1" x14ac:dyDescent="0.2">
      <c r="A37" s="126" t="s">
        <v>40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19" s="5" customFormat="1" ht="13.5" customHeight="1" x14ac:dyDescent="0.3">
      <c r="A38" s="1"/>
      <c r="B38" s="2"/>
      <c r="C38" s="2"/>
      <c r="D38" s="3"/>
      <c r="E38" s="93"/>
      <c r="F38" s="93"/>
      <c r="G38" s="2"/>
      <c r="H38" s="2"/>
      <c r="I38" s="3"/>
      <c r="J38" s="93"/>
      <c r="K38" s="93"/>
      <c r="L38" s="6"/>
      <c r="N38" s="8"/>
      <c r="O38" s="9"/>
      <c r="P38" s="9"/>
    </row>
    <row r="39" spans="1:19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19" s="23" customFormat="1" ht="45.75" x14ac:dyDescent="0.2">
      <c r="A40" s="35"/>
      <c r="B40" s="94" t="s">
        <v>6</v>
      </c>
      <c r="C40" s="94" t="s">
        <v>7</v>
      </c>
      <c r="D40" s="94" t="s">
        <v>8</v>
      </c>
      <c r="E40" s="129" t="s">
        <v>9</v>
      </c>
      <c r="F40" s="129"/>
      <c r="G40" s="94" t="s">
        <v>6</v>
      </c>
      <c r="H40" s="94" t="s">
        <v>7</v>
      </c>
      <c r="I40" s="94" t="s">
        <v>8</v>
      </c>
      <c r="J40" s="129" t="s">
        <v>9</v>
      </c>
      <c r="K40" s="129"/>
      <c r="L40" s="94" t="s">
        <v>6</v>
      </c>
      <c r="M40" s="94" t="s">
        <v>7</v>
      </c>
      <c r="N40" s="94" t="s">
        <v>8</v>
      </c>
      <c r="O40" s="129" t="s">
        <v>9</v>
      </c>
      <c r="P40" s="129"/>
    </row>
    <row r="41" spans="1:19" s="25" customFormat="1" ht="13.5" customHeight="1" x14ac:dyDescent="0.2">
      <c r="A41" s="13" t="s">
        <v>1</v>
      </c>
      <c r="B41" s="130">
        <v>23</v>
      </c>
      <c r="C41" s="131"/>
      <c r="D41" s="132"/>
      <c r="E41" s="124">
        <f>B41/85</f>
        <v>0.27058823529411763</v>
      </c>
      <c r="F41" s="125"/>
      <c r="G41" s="133">
        <v>57</v>
      </c>
      <c r="H41" s="134"/>
      <c r="I41" s="135"/>
      <c r="J41" s="124">
        <f>G41/1463</f>
        <v>3.896103896103896E-2</v>
      </c>
      <c r="K41" s="125"/>
      <c r="L41" s="133">
        <v>16</v>
      </c>
      <c r="M41" s="134"/>
      <c r="N41" s="135"/>
      <c r="O41" s="124">
        <f>L41/237</f>
        <v>6.7510548523206745E-2</v>
      </c>
      <c r="P41" s="125"/>
      <c r="S41" s="39"/>
    </row>
    <row r="42" spans="1:19" s="25" customFormat="1" ht="13.5" customHeight="1" x14ac:dyDescent="0.2">
      <c r="A42" s="13" t="s">
        <v>0</v>
      </c>
      <c r="B42" s="13">
        <v>30</v>
      </c>
      <c r="C42" s="13">
        <v>16</v>
      </c>
      <c r="D42" s="14">
        <f>SUM(B42:C42)</f>
        <v>46</v>
      </c>
      <c r="E42" s="124">
        <f>D42/85</f>
        <v>0.54117647058823526</v>
      </c>
      <c r="F42" s="125"/>
      <c r="G42" s="37">
        <v>586</v>
      </c>
      <c r="H42" s="37">
        <v>553</v>
      </c>
      <c r="I42" s="14">
        <f>SUM(G42:H42)</f>
        <v>1139</v>
      </c>
      <c r="J42" s="124">
        <f>I42/1463</f>
        <v>0.77853725222146275</v>
      </c>
      <c r="K42" s="125"/>
      <c r="L42" s="37">
        <v>88</v>
      </c>
      <c r="M42" s="37">
        <v>88</v>
      </c>
      <c r="N42" s="14">
        <f>SUM(L42:M42)</f>
        <v>176</v>
      </c>
      <c r="O42" s="124">
        <f>N42/237</f>
        <v>0.7426160337552743</v>
      </c>
      <c r="P42" s="125"/>
    </row>
    <row r="43" spans="1:19" s="25" customFormat="1" ht="13.5" customHeight="1" x14ac:dyDescent="0.2">
      <c r="A43" s="13" t="s">
        <v>12</v>
      </c>
      <c r="B43" s="15">
        <v>5</v>
      </c>
      <c r="C43" s="15">
        <v>0</v>
      </c>
      <c r="D43" s="14">
        <f t="shared" ref="D43:D47" si="12">SUM(B43:C43)</f>
        <v>5</v>
      </c>
      <c r="E43" s="124">
        <f>D43/85</f>
        <v>5.8823529411764705E-2</v>
      </c>
      <c r="F43" s="125"/>
      <c r="G43" s="37">
        <v>91</v>
      </c>
      <c r="H43" s="37">
        <v>37</v>
      </c>
      <c r="I43" s="14">
        <f t="shared" ref="I43:I47" si="13">SUM(G43:H43)</f>
        <v>128</v>
      </c>
      <c r="J43" s="124">
        <f>I43/1463</f>
        <v>8.7491455912508551E-2</v>
      </c>
      <c r="K43" s="125"/>
      <c r="L43" s="37">
        <v>14</v>
      </c>
      <c r="M43" s="37">
        <v>4</v>
      </c>
      <c r="N43" s="14">
        <f t="shared" ref="N43:N47" si="14">SUM(L43:M43)</f>
        <v>18</v>
      </c>
      <c r="O43" s="124">
        <f>N43/237</f>
        <v>7.5949367088607597E-2</v>
      </c>
      <c r="P43" s="125"/>
    </row>
    <row r="44" spans="1:19" s="25" customFormat="1" ht="13.5" customHeight="1" x14ac:dyDescent="0.2">
      <c r="A44" s="13" t="s">
        <v>2</v>
      </c>
      <c r="B44" s="13">
        <v>7</v>
      </c>
      <c r="C44" s="13">
        <v>0</v>
      </c>
      <c r="D44" s="14">
        <f t="shared" si="12"/>
        <v>7</v>
      </c>
      <c r="E44" s="18">
        <f>D44/85</f>
        <v>8.2352941176470587E-2</v>
      </c>
      <c r="F44" s="117">
        <f>SUM(E44:E47)</f>
        <v>0.12941176470588234</v>
      </c>
      <c r="G44" s="37">
        <v>51</v>
      </c>
      <c r="H44" s="37">
        <v>1</v>
      </c>
      <c r="I44" s="14">
        <f t="shared" si="13"/>
        <v>52</v>
      </c>
      <c r="J44" s="18">
        <f>I44/1463</f>
        <v>3.5543403964456599E-2</v>
      </c>
      <c r="K44" s="117">
        <f>SUM(J44:J47)</f>
        <v>9.5010252904989739E-2</v>
      </c>
      <c r="L44" s="37">
        <v>9</v>
      </c>
      <c r="M44" s="37">
        <v>0</v>
      </c>
      <c r="N44" s="14">
        <f t="shared" si="14"/>
        <v>9</v>
      </c>
      <c r="O44" s="18">
        <f>N44/237</f>
        <v>3.7974683544303799E-2</v>
      </c>
      <c r="P44" s="117">
        <f>SUM(O44:O47)</f>
        <v>0.11392405063291139</v>
      </c>
    </row>
    <row r="45" spans="1:19" s="25" customFormat="1" ht="13.5" customHeight="1" x14ac:dyDescent="0.2">
      <c r="A45" s="13" t="s">
        <v>3</v>
      </c>
      <c r="B45" s="13">
        <v>4</v>
      </c>
      <c r="C45" s="13">
        <v>0</v>
      </c>
      <c r="D45" s="14">
        <f t="shared" si="12"/>
        <v>4</v>
      </c>
      <c r="E45" s="18">
        <f t="shared" ref="E45:E47" si="15">D45/85</f>
        <v>4.7058823529411764E-2</v>
      </c>
      <c r="F45" s="118"/>
      <c r="G45" s="37">
        <v>25</v>
      </c>
      <c r="H45" s="37">
        <v>5</v>
      </c>
      <c r="I45" s="14">
        <f t="shared" si="13"/>
        <v>30</v>
      </c>
      <c r="J45" s="18">
        <f>I45/1463</f>
        <v>2.050580997949419E-2</v>
      </c>
      <c r="K45" s="118"/>
      <c r="L45" s="37">
        <v>6</v>
      </c>
      <c r="M45" s="37">
        <v>3</v>
      </c>
      <c r="N45" s="14">
        <f t="shared" si="14"/>
        <v>9</v>
      </c>
      <c r="O45" s="18">
        <f t="shared" ref="O45:O47" si="16">N45/237</f>
        <v>3.7974683544303799E-2</v>
      </c>
      <c r="P45" s="118"/>
    </row>
    <row r="46" spans="1:19" s="25" customFormat="1" ht="13.5" customHeight="1" x14ac:dyDescent="0.2">
      <c r="A46" s="13" t="s">
        <v>4</v>
      </c>
      <c r="B46" s="13">
        <v>0</v>
      </c>
      <c r="C46" s="13">
        <v>0</v>
      </c>
      <c r="D46" s="14">
        <f t="shared" si="12"/>
        <v>0</v>
      </c>
      <c r="E46" s="18">
        <f t="shared" si="15"/>
        <v>0</v>
      </c>
      <c r="F46" s="118"/>
      <c r="G46" s="37">
        <v>47</v>
      </c>
      <c r="H46" s="37">
        <v>7</v>
      </c>
      <c r="I46" s="14">
        <f t="shared" si="13"/>
        <v>54</v>
      </c>
      <c r="J46" s="18">
        <f t="shared" ref="J46:J47" si="17">I46/1463</f>
        <v>3.6910457963089539E-2</v>
      </c>
      <c r="K46" s="118"/>
      <c r="L46" s="37">
        <v>8</v>
      </c>
      <c r="M46" s="37">
        <v>0</v>
      </c>
      <c r="N46" s="14">
        <f t="shared" si="14"/>
        <v>8</v>
      </c>
      <c r="O46" s="18">
        <f t="shared" si="16"/>
        <v>3.3755274261603373E-2</v>
      </c>
      <c r="P46" s="118"/>
    </row>
    <row r="47" spans="1:19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3</v>
      </c>
      <c r="H47" s="37">
        <v>0</v>
      </c>
      <c r="I47" s="14">
        <f t="shared" si="13"/>
        <v>3</v>
      </c>
      <c r="J47" s="18">
        <f t="shared" si="17"/>
        <v>2.050580997949419E-3</v>
      </c>
      <c r="K47" s="119"/>
      <c r="L47" s="37">
        <v>1</v>
      </c>
      <c r="M47" s="37">
        <v>0</v>
      </c>
      <c r="N47" s="14">
        <f t="shared" si="14"/>
        <v>1</v>
      </c>
      <c r="O47" s="18">
        <f t="shared" si="16"/>
        <v>4.2194092827004216E-3</v>
      </c>
      <c r="P47" s="119"/>
    </row>
    <row r="48" spans="1:19" s="25" customFormat="1" ht="13.5" customHeight="1" x14ac:dyDescent="0.2">
      <c r="A48" s="19" t="s">
        <v>8</v>
      </c>
      <c r="B48" s="20">
        <f>SUM(B42:B47)</f>
        <v>46</v>
      </c>
      <c r="C48" s="20">
        <f>SUM(C42:C47)</f>
        <v>16</v>
      </c>
      <c r="D48" s="21">
        <f>D42+D43+B41+D44+D45+D46+D47</f>
        <v>85</v>
      </c>
      <c r="E48" s="120">
        <f>D48/85</f>
        <v>1</v>
      </c>
      <c r="F48" s="121"/>
      <c r="G48" s="20">
        <f>SUM(G42:G47)</f>
        <v>803</v>
      </c>
      <c r="H48" s="20">
        <f>SUM(H42:H47)</f>
        <v>603</v>
      </c>
      <c r="I48" s="21">
        <f>I42+I43+G41+I44+I45+I46+I47</f>
        <v>1463</v>
      </c>
      <c r="J48" s="120">
        <f>I48/1463</f>
        <v>1</v>
      </c>
      <c r="K48" s="122"/>
      <c r="L48" s="20">
        <f>SUM(L42:L47)</f>
        <v>126</v>
      </c>
      <c r="M48" s="20">
        <f>SUM(M42:M47)</f>
        <v>95</v>
      </c>
      <c r="N48" s="21">
        <f>N42+N43+L41+N44+N45+N46+N47</f>
        <v>237</v>
      </c>
      <c r="O48" s="120">
        <f>N48/237</f>
        <v>1</v>
      </c>
      <c r="P48" s="122"/>
    </row>
    <row r="51" spans="5:16" x14ac:dyDescent="0.2">
      <c r="E51" s="123"/>
      <c r="F51" s="123"/>
      <c r="J51" s="123"/>
      <c r="K51" s="123"/>
      <c r="O51" s="123"/>
      <c r="P51" s="123"/>
    </row>
    <row r="52" spans="5:16" ht="34.5" customHeight="1" x14ac:dyDescent="0.3">
      <c r="N52" s="116"/>
      <c r="O52" s="116"/>
      <c r="P52" s="116"/>
    </row>
  </sheetData>
  <mergeCells count="82">
    <mergeCell ref="E51:F51"/>
    <mergeCell ref="J51:K51"/>
    <mergeCell ref="O51:P51"/>
    <mergeCell ref="N52:P52"/>
    <mergeCell ref="F44:F47"/>
    <mergeCell ref="K44:K47"/>
    <mergeCell ref="P44:P47"/>
    <mergeCell ref="E48:F48"/>
    <mergeCell ref="J48:K48"/>
    <mergeCell ref="O48:P48"/>
    <mergeCell ref="E42:F42"/>
    <mergeCell ref="J42:K42"/>
    <mergeCell ref="O42:P42"/>
    <mergeCell ref="E43:F43"/>
    <mergeCell ref="J43:K43"/>
    <mergeCell ref="O43:P43"/>
    <mergeCell ref="E40:F40"/>
    <mergeCell ref="J40:K40"/>
    <mergeCell ref="O40:P40"/>
    <mergeCell ref="B41:D41"/>
    <mergeCell ref="E41:F41"/>
    <mergeCell ref="G41:I41"/>
    <mergeCell ref="J41:K41"/>
    <mergeCell ref="L41:N41"/>
    <mergeCell ref="O41:P41"/>
    <mergeCell ref="E34:F34"/>
    <mergeCell ref="J34:K34"/>
    <mergeCell ref="O34:P34"/>
    <mergeCell ref="A37:P37"/>
    <mergeCell ref="B39:F39"/>
    <mergeCell ref="G39:K39"/>
    <mergeCell ref="L39:P39"/>
    <mergeCell ref="F28:F31"/>
    <mergeCell ref="K28:K31"/>
    <mergeCell ref="P28:P31"/>
    <mergeCell ref="E32:F32"/>
    <mergeCell ref="J32:K32"/>
    <mergeCell ref="O32:P32"/>
    <mergeCell ref="E26:F26"/>
    <mergeCell ref="J26:K26"/>
    <mergeCell ref="O26:P26"/>
    <mergeCell ref="E27:F27"/>
    <mergeCell ref="J27:K27"/>
    <mergeCell ref="O27:P27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F12:F15"/>
    <mergeCell ref="K12:K15"/>
    <mergeCell ref="P12:P15"/>
    <mergeCell ref="E16:F16"/>
    <mergeCell ref="J16:K16"/>
    <mergeCell ref="O16:P16"/>
    <mergeCell ref="E10:F10"/>
    <mergeCell ref="J10:K10"/>
    <mergeCell ref="O10:P10"/>
    <mergeCell ref="E11:F11"/>
    <mergeCell ref="J11:K11"/>
    <mergeCell ref="O11:P11"/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</mergeCells>
  <pageMargins left="0.39370078740157483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workbookViewId="0">
      <selection activeCell="V19" sqref="V19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</cols>
  <sheetData>
    <row r="1" spans="1:28" ht="13.5" customHeight="1" x14ac:dyDescent="0.2"/>
    <row r="2" spans="1:28" ht="13.5" customHeight="1" x14ac:dyDescent="0.2"/>
    <row r="3" spans="1:28" ht="13.5" customHeight="1" x14ac:dyDescent="0.2"/>
    <row r="4" spans="1:28" ht="13.5" customHeight="1" x14ac:dyDescent="0.2"/>
    <row r="5" spans="1:28" ht="13.5" customHeight="1" x14ac:dyDescent="0.2">
      <c r="A5" s="141" t="s">
        <v>35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28" ht="13.5" customHeight="1" x14ac:dyDescent="0.2"/>
    <row r="7" spans="1:28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28" ht="47.25" customHeight="1" x14ac:dyDescent="0.2">
      <c r="A8" s="11"/>
      <c r="B8" s="86" t="s">
        <v>6</v>
      </c>
      <c r="C8" s="86" t="s">
        <v>7</v>
      </c>
      <c r="D8" s="86" t="s">
        <v>8</v>
      </c>
      <c r="E8" s="129" t="s">
        <v>9</v>
      </c>
      <c r="F8" s="129"/>
      <c r="G8" s="84" t="s">
        <v>6</v>
      </c>
      <c r="H8" s="84" t="s">
        <v>7</v>
      </c>
      <c r="I8" s="84" t="s">
        <v>8</v>
      </c>
      <c r="J8" s="129" t="s">
        <v>9</v>
      </c>
      <c r="K8" s="129"/>
      <c r="L8" s="84" t="s">
        <v>6</v>
      </c>
      <c r="M8" s="84" t="s">
        <v>7</v>
      </c>
      <c r="N8" s="84" t="s">
        <v>8</v>
      </c>
      <c r="O8" s="129" t="s">
        <v>9</v>
      </c>
      <c r="P8" s="129"/>
    </row>
    <row r="9" spans="1:28" ht="13.5" customHeight="1" x14ac:dyDescent="0.2">
      <c r="A9" s="13" t="s">
        <v>1</v>
      </c>
      <c r="B9" s="130">
        <v>55</v>
      </c>
      <c r="C9" s="131"/>
      <c r="D9" s="132"/>
      <c r="E9" s="124">
        <f>B9/158</f>
        <v>0.34810126582278483</v>
      </c>
      <c r="F9" s="125"/>
      <c r="G9" s="133">
        <v>896</v>
      </c>
      <c r="H9" s="134"/>
      <c r="I9" s="135"/>
      <c r="J9" s="124">
        <f>G9/4648</f>
        <v>0.19277108433734941</v>
      </c>
      <c r="K9" s="125"/>
      <c r="L9" s="133">
        <v>130</v>
      </c>
      <c r="M9" s="134"/>
      <c r="N9" s="135"/>
      <c r="O9" s="124">
        <f>L9/525</f>
        <v>0.24761904761904763</v>
      </c>
      <c r="P9" s="125"/>
    </row>
    <row r="10" spans="1:28" ht="13.5" customHeight="1" x14ac:dyDescent="0.2">
      <c r="A10" s="13" t="s">
        <v>0</v>
      </c>
      <c r="B10" s="13">
        <v>45</v>
      </c>
      <c r="C10" s="13">
        <v>26</v>
      </c>
      <c r="D10" s="14">
        <f>SUM(B10:C10)</f>
        <v>71</v>
      </c>
      <c r="E10" s="124">
        <f t="shared" ref="E10:E16" si="0">D10/158</f>
        <v>0.44936708860759494</v>
      </c>
      <c r="F10" s="125"/>
      <c r="G10" s="37">
        <v>1226</v>
      </c>
      <c r="H10" s="37">
        <v>1067</v>
      </c>
      <c r="I10" s="38">
        <f>SUM(G10:H10)</f>
        <v>2293</v>
      </c>
      <c r="J10" s="124">
        <f t="shared" ref="J10:J16" si="1">I10/4648</f>
        <v>0.49333046471600689</v>
      </c>
      <c r="K10" s="125"/>
      <c r="L10" s="37">
        <v>134</v>
      </c>
      <c r="M10" s="37">
        <v>127</v>
      </c>
      <c r="N10" s="38">
        <f>SUM(L10:M10)</f>
        <v>261</v>
      </c>
      <c r="O10" s="124">
        <f>N10/525</f>
        <v>0.49714285714285716</v>
      </c>
      <c r="P10" s="125"/>
    </row>
    <row r="11" spans="1:28" ht="13.5" customHeight="1" x14ac:dyDescent="0.2">
      <c r="A11" s="13" t="s">
        <v>12</v>
      </c>
      <c r="B11" s="15">
        <v>5</v>
      </c>
      <c r="C11" s="15">
        <v>1</v>
      </c>
      <c r="D11" s="14">
        <f t="shared" ref="D11:D15" si="2">SUM(B11:C11)</f>
        <v>6</v>
      </c>
      <c r="E11" s="124">
        <f t="shared" si="0"/>
        <v>3.7974683544303799E-2</v>
      </c>
      <c r="F11" s="125"/>
      <c r="G11" s="37">
        <v>162</v>
      </c>
      <c r="H11" s="37">
        <v>324</v>
      </c>
      <c r="I11" s="38">
        <f t="shared" ref="I11:I15" si="3">SUM(G11:H11)</f>
        <v>486</v>
      </c>
      <c r="J11" s="124">
        <f t="shared" si="1"/>
        <v>0.10456110154905336</v>
      </c>
      <c r="K11" s="125"/>
      <c r="L11" s="37">
        <v>20</v>
      </c>
      <c r="M11" s="37">
        <v>14</v>
      </c>
      <c r="N11" s="38">
        <f t="shared" ref="N11:N15" si="4">SUM(L11:M11)</f>
        <v>34</v>
      </c>
      <c r="O11" s="124">
        <f>N11/525</f>
        <v>6.4761904761904757E-2</v>
      </c>
      <c r="P11" s="125"/>
    </row>
    <row r="12" spans="1:28" ht="13.5" customHeight="1" x14ac:dyDescent="0.2">
      <c r="A12" s="13" t="s">
        <v>2</v>
      </c>
      <c r="B12" s="13">
        <v>7</v>
      </c>
      <c r="C12" s="13">
        <v>0</v>
      </c>
      <c r="D12" s="14">
        <f t="shared" si="2"/>
        <v>7</v>
      </c>
      <c r="E12" s="18">
        <f t="shared" si="0"/>
        <v>4.4303797468354431E-2</v>
      </c>
      <c r="F12" s="117">
        <f>SUM(E12:E15)</f>
        <v>0.16455696202531647</v>
      </c>
      <c r="G12" s="37">
        <v>582</v>
      </c>
      <c r="H12" s="37">
        <v>6</v>
      </c>
      <c r="I12" s="38">
        <f t="shared" si="3"/>
        <v>588</v>
      </c>
      <c r="J12" s="18">
        <f t="shared" si="1"/>
        <v>0.12650602409638553</v>
      </c>
      <c r="K12" s="117">
        <f>SUM(J12:J15)</f>
        <v>0.20933734939759033</v>
      </c>
      <c r="L12" s="37">
        <v>39</v>
      </c>
      <c r="M12" s="37">
        <v>0</v>
      </c>
      <c r="N12" s="38">
        <f t="shared" si="4"/>
        <v>39</v>
      </c>
      <c r="O12" s="18">
        <f>N12/525</f>
        <v>7.4285714285714288E-2</v>
      </c>
      <c r="P12" s="117">
        <f>SUM(O12:O15)</f>
        <v>0.19047619047619049</v>
      </c>
    </row>
    <row r="13" spans="1:28" ht="13.5" customHeight="1" x14ac:dyDescent="0.2">
      <c r="A13" s="13" t="s">
        <v>3</v>
      </c>
      <c r="B13" s="13">
        <v>6</v>
      </c>
      <c r="C13" s="13">
        <v>0</v>
      </c>
      <c r="D13" s="14">
        <f t="shared" si="2"/>
        <v>6</v>
      </c>
      <c r="E13" s="18">
        <f t="shared" si="0"/>
        <v>3.7974683544303799E-2</v>
      </c>
      <c r="F13" s="118"/>
      <c r="G13" s="37">
        <v>122</v>
      </c>
      <c r="H13" s="37">
        <v>5</v>
      </c>
      <c r="I13" s="38">
        <f t="shared" si="3"/>
        <v>127</v>
      </c>
      <c r="J13" s="18">
        <f t="shared" si="1"/>
        <v>2.7323580034423409E-2</v>
      </c>
      <c r="K13" s="118"/>
      <c r="L13" s="37">
        <v>21</v>
      </c>
      <c r="M13" s="37">
        <v>0</v>
      </c>
      <c r="N13" s="38">
        <f t="shared" si="4"/>
        <v>21</v>
      </c>
      <c r="O13" s="18">
        <f t="shared" ref="O13:O15" si="5">N13/525</f>
        <v>0.04</v>
      </c>
      <c r="P13" s="118"/>
      <c r="AB13" s="10"/>
    </row>
    <row r="14" spans="1:28" ht="13.5" customHeight="1" x14ac:dyDescent="0.2">
      <c r="A14" s="13" t="s">
        <v>4</v>
      </c>
      <c r="B14" s="13">
        <v>12</v>
      </c>
      <c r="C14" s="13">
        <v>0</v>
      </c>
      <c r="D14" s="14">
        <f t="shared" si="2"/>
        <v>12</v>
      </c>
      <c r="E14" s="18">
        <f t="shared" si="0"/>
        <v>7.5949367088607597E-2</v>
      </c>
      <c r="F14" s="118"/>
      <c r="G14" s="37">
        <v>207</v>
      </c>
      <c r="H14" s="37">
        <v>25</v>
      </c>
      <c r="I14" s="38">
        <f t="shared" si="3"/>
        <v>232</v>
      </c>
      <c r="J14" s="18">
        <f t="shared" si="1"/>
        <v>4.9913941480206538E-2</v>
      </c>
      <c r="K14" s="118"/>
      <c r="L14" s="37">
        <v>28</v>
      </c>
      <c r="M14" s="37">
        <v>3</v>
      </c>
      <c r="N14" s="38">
        <f t="shared" si="4"/>
        <v>31</v>
      </c>
      <c r="O14" s="18">
        <f t="shared" si="5"/>
        <v>5.904761904761905E-2</v>
      </c>
      <c r="P14" s="118"/>
    </row>
    <row r="15" spans="1:28" x14ac:dyDescent="0.2">
      <c r="A15" s="13" t="s">
        <v>5</v>
      </c>
      <c r="B15" s="13">
        <v>1</v>
      </c>
      <c r="C15" s="13">
        <v>0</v>
      </c>
      <c r="D15" s="14">
        <f t="shared" si="2"/>
        <v>1</v>
      </c>
      <c r="E15" s="18">
        <f t="shared" si="0"/>
        <v>6.3291139240506328E-3</v>
      </c>
      <c r="F15" s="119"/>
      <c r="G15" s="37">
        <v>20</v>
      </c>
      <c r="H15" s="37">
        <v>6</v>
      </c>
      <c r="I15" s="38">
        <f t="shared" si="3"/>
        <v>26</v>
      </c>
      <c r="J15" s="18">
        <f t="shared" si="1"/>
        <v>5.5938037865748708E-3</v>
      </c>
      <c r="K15" s="119"/>
      <c r="L15" s="37">
        <v>6</v>
      </c>
      <c r="M15" s="37">
        <v>3</v>
      </c>
      <c r="N15" s="38">
        <f t="shared" si="4"/>
        <v>9</v>
      </c>
      <c r="O15" s="18">
        <f t="shared" si="5"/>
        <v>1.7142857142857144E-2</v>
      </c>
      <c r="P15" s="119"/>
    </row>
    <row r="16" spans="1:28" x14ac:dyDescent="0.2">
      <c r="A16" s="19" t="s">
        <v>8</v>
      </c>
      <c r="B16" s="20">
        <f>SUM(B10:B15)</f>
        <v>76</v>
      </c>
      <c r="C16" s="20">
        <f>SUM(C10:C15)</f>
        <v>27</v>
      </c>
      <c r="D16" s="21">
        <f>D10+D11+B9+D12+D13+D14+D15</f>
        <v>158</v>
      </c>
      <c r="E16" s="120">
        <f t="shared" si="0"/>
        <v>1</v>
      </c>
      <c r="F16" s="121"/>
      <c r="G16" s="74">
        <f>SUM(G10:G15)</f>
        <v>2319</v>
      </c>
      <c r="H16" s="74">
        <f>SUM(H10:H15)</f>
        <v>1433</v>
      </c>
      <c r="I16" s="75">
        <f>I10+I11+G9+I12+I13+I14+I15</f>
        <v>4648</v>
      </c>
      <c r="J16" s="120">
        <f t="shared" si="1"/>
        <v>1</v>
      </c>
      <c r="K16" s="122"/>
      <c r="L16" s="74">
        <f>SUM(L10:L15)</f>
        <v>248</v>
      </c>
      <c r="M16" s="74">
        <f>SUM(M10:M15)</f>
        <v>147</v>
      </c>
      <c r="N16" s="75">
        <f>N10+N11+L9+N12+N13+N14+N15</f>
        <v>525</v>
      </c>
      <c r="O16" s="120">
        <f>N16/525</f>
        <v>1</v>
      </c>
      <c r="P16" s="122"/>
    </row>
    <row r="17" spans="1:26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</row>
    <row r="18" spans="1:26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</row>
    <row r="19" spans="1:26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26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  <c r="Z20" s="88"/>
    </row>
    <row r="21" spans="1:26" s="5" customFormat="1" ht="13.5" customHeight="1" x14ac:dyDescent="0.2">
      <c r="A21" s="126" t="s">
        <v>36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26" s="5" customFormat="1" ht="13.5" customHeight="1" x14ac:dyDescent="0.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</row>
    <row r="23" spans="1:26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</row>
    <row r="24" spans="1:26" s="23" customFormat="1" ht="45.75" x14ac:dyDescent="0.2">
      <c r="A24" s="22"/>
      <c r="B24" s="85" t="s">
        <v>6</v>
      </c>
      <c r="C24" s="85" t="s">
        <v>7</v>
      </c>
      <c r="D24" s="85" t="s">
        <v>8</v>
      </c>
      <c r="E24" s="140" t="s">
        <v>9</v>
      </c>
      <c r="F24" s="140"/>
      <c r="G24" s="85" t="s">
        <v>6</v>
      </c>
      <c r="H24" s="85" t="s">
        <v>7</v>
      </c>
      <c r="I24" s="85" t="s">
        <v>8</v>
      </c>
      <c r="J24" s="144" t="s">
        <v>9</v>
      </c>
      <c r="K24" s="144"/>
      <c r="L24" s="86" t="s">
        <v>6</v>
      </c>
      <c r="M24" s="86" t="s">
        <v>7</v>
      </c>
      <c r="N24" s="86" t="s">
        <v>8</v>
      </c>
      <c r="O24" s="129" t="s">
        <v>9</v>
      </c>
      <c r="P24" s="129"/>
    </row>
    <row r="25" spans="1:26" s="25" customFormat="1" ht="13.5" customHeight="1" x14ac:dyDescent="0.2">
      <c r="A25" s="13" t="s">
        <v>1</v>
      </c>
      <c r="B25" s="130">
        <v>14</v>
      </c>
      <c r="C25" s="131"/>
      <c r="D25" s="132"/>
      <c r="E25" s="124">
        <f>B25/30</f>
        <v>0.46666666666666667</v>
      </c>
      <c r="F25" s="125"/>
      <c r="G25" s="130">
        <v>789</v>
      </c>
      <c r="H25" s="131"/>
      <c r="I25" s="132"/>
      <c r="J25" s="124">
        <f>G25/2941</f>
        <v>0.26827609656579393</v>
      </c>
      <c r="K25" s="125"/>
      <c r="L25" s="130">
        <v>94</v>
      </c>
      <c r="M25" s="131"/>
      <c r="N25" s="132"/>
      <c r="O25" s="124">
        <f>L25/202</f>
        <v>0.46534653465346537</v>
      </c>
      <c r="P25" s="125"/>
      <c r="S25" s="39"/>
    </row>
    <row r="26" spans="1:26" s="25" customFormat="1" ht="13.5" customHeight="1" x14ac:dyDescent="0.2">
      <c r="A26" s="26" t="s">
        <v>0</v>
      </c>
      <c r="B26" s="26">
        <v>6</v>
      </c>
      <c r="C26" s="26">
        <v>5</v>
      </c>
      <c r="D26" s="14">
        <f>SUM(B26:C26)</f>
        <v>11</v>
      </c>
      <c r="E26" s="142">
        <f>D26/30</f>
        <v>0.36666666666666664</v>
      </c>
      <c r="F26" s="143"/>
      <c r="G26" s="28">
        <v>659</v>
      </c>
      <c r="H26" s="28">
        <v>490</v>
      </c>
      <c r="I26" s="38">
        <f>SUM(G26:H26)</f>
        <v>1149</v>
      </c>
      <c r="J26" s="124">
        <f>I26/2941</f>
        <v>0.39068344100646041</v>
      </c>
      <c r="K26" s="125"/>
      <c r="L26" s="15">
        <v>29</v>
      </c>
      <c r="M26" s="15">
        <v>20</v>
      </c>
      <c r="N26" s="38">
        <f>SUM(L26:M26)</f>
        <v>49</v>
      </c>
      <c r="O26" s="124">
        <f t="shared" ref="O26:O32" si="6">N26/202</f>
        <v>0.24257425742574257</v>
      </c>
      <c r="P26" s="125"/>
    </row>
    <row r="27" spans="1:26" s="25" customFormat="1" ht="13.5" customHeight="1" x14ac:dyDescent="0.2">
      <c r="A27" s="26" t="s">
        <v>12</v>
      </c>
      <c r="B27" s="28">
        <v>0</v>
      </c>
      <c r="C27" s="28">
        <v>0</v>
      </c>
      <c r="D27" s="14">
        <f t="shared" ref="D27:D31" si="7">SUM(B27:C27)</f>
        <v>0</v>
      </c>
      <c r="E27" s="142">
        <f>D27/30</f>
        <v>0</v>
      </c>
      <c r="F27" s="143"/>
      <c r="G27" s="28">
        <v>46</v>
      </c>
      <c r="H27" s="28">
        <v>234</v>
      </c>
      <c r="I27" s="38">
        <f t="shared" ref="I27:I31" si="8">SUM(G27:H27)</f>
        <v>280</v>
      </c>
      <c r="J27" s="124">
        <f>I27/2941</f>
        <v>9.520571234274057E-2</v>
      </c>
      <c r="K27" s="125"/>
      <c r="L27" s="15">
        <v>4</v>
      </c>
      <c r="M27" s="15">
        <v>3</v>
      </c>
      <c r="N27" s="38">
        <f t="shared" ref="N27:N31" si="9">SUM(L27:M27)</f>
        <v>7</v>
      </c>
      <c r="O27" s="124">
        <f t="shared" si="6"/>
        <v>3.4653465346534656E-2</v>
      </c>
      <c r="P27" s="125"/>
    </row>
    <row r="28" spans="1:26" s="25" customFormat="1" ht="13.5" customHeight="1" x14ac:dyDescent="0.2">
      <c r="A28" s="30" t="s">
        <v>2</v>
      </c>
      <c r="B28" s="30">
        <v>1</v>
      </c>
      <c r="C28" s="30">
        <v>0</v>
      </c>
      <c r="D28" s="14">
        <f t="shared" si="7"/>
        <v>1</v>
      </c>
      <c r="E28" s="36">
        <f>D28/30</f>
        <v>3.3333333333333333E-2</v>
      </c>
      <c r="F28" s="136">
        <f>SUM(E28:E31)</f>
        <v>0.16666666666666669</v>
      </c>
      <c r="G28" s="30">
        <v>479</v>
      </c>
      <c r="H28" s="30">
        <v>4</v>
      </c>
      <c r="I28" s="38">
        <f t="shared" si="8"/>
        <v>483</v>
      </c>
      <c r="J28" s="36">
        <f>I28/2941</f>
        <v>0.16422985379122748</v>
      </c>
      <c r="K28" s="136">
        <f>SUM(J28:J31)</f>
        <v>0.2458347500850051</v>
      </c>
      <c r="L28" s="13">
        <v>25</v>
      </c>
      <c r="M28" s="13">
        <v>0</v>
      </c>
      <c r="N28" s="38">
        <f t="shared" si="9"/>
        <v>25</v>
      </c>
      <c r="O28" s="18">
        <f t="shared" si="6"/>
        <v>0.12376237623762376</v>
      </c>
      <c r="P28" s="117">
        <f>SUM(O28:O31)</f>
        <v>0.25742574257425743</v>
      </c>
    </row>
    <row r="29" spans="1:26" s="25" customFormat="1" ht="13.5" customHeight="1" x14ac:dyDescent="0.2">
      <c r="A29" s="30" t="s">
        <v>3</v>
      </c>
      <c r="B29" s="30">
        <v>1</v>
      </c>
      <c r="C29" s="30">
        <v>0</v>
      </c>
      <c r="D29" s="14">
        <f t="shared" si="7"/>
        <v>1</v>
      </c>
      <c r="E29" s="36">
        <f t="shared" ref="E29:E31" si="10">D29/30</f>
        <v>3.3333333333333333E-2</v>
      </c>
      <c r="F29" s="137"/>
      <c r="G29" s="30">
        <v>78</v>
      </c>
      <c r="H29" s="30">
        <v>4</v>
      </c>
      <c r="I29" s="38">
        <f t="shared" si="8"/>
        <v>82</v>
      </c>
      <c r="J29" s="36">
        <f t="shared" ref="J29:J31" si="11">I29/2941</f>
        <v>2.7881672900374022E-2</v>
      </c>
      <c r="K29" s="137"/>
      <c r="L29" s="13">
        <v>9</v>
      </c>
      <c r="M29" s="13">
        <v>0</v>
      </c>
      <c r="N29" s="38">
        <f t="shared" si="9"/>
        <v>9</v>
      </c>
      <c r="O29" s="18">
        <f t="shared" si="6"/>
        <v>4.4554455445544552E-2</v>
      </c>
      <c r="P29" s="118"/>
      <c r="T29" s="89"/>
      <c r="U29" s="89"/>
      <c r="V29" s="89"/>
      <c r="W29" s="89"/>
      <c r="X29" s="89"/>
    </row>
    <row r="30" spans="1:26" s="25" customFormat="1" ht="13.5" customHeight="1" x14ac:dyDescent="0.2">
      <c r="A30" s="30" t="s">
        <v>4</v>
      </c>
      <c r="B30" s="30">
        <v>3</v>
      </c>
      <c r="C30" s="30">
        <v>0</v>
      </c>
      <c r="D30" s="14">
        <f t="shared" si="7"/>
        <v>3</v>
      </c>
      <c r="E30" s="36">
        <f t="shared" si="10"/>
        <v>0.1</v>
      </c>
      <c r="F30" s="137"/>
      <c r="G30" s="30">
        <v>140</v>
      </c>
      <c r="H30" s="30">
        <v>11</v>
      </c>
      <c r="I30" s="38">
        <f t="shared" si="8"/>
        <v>151</v>
      </c>
      <c r="J30" s="36">
        <f t="shared" si="11"/>
        <v>5.1343080584835089E-2</v>
      </c>
      <c r="K30" s="137"/>
      <c r="L30" s="13">
        <v>16</v>
      </c>
      <c r="M30" s="13">
        <v>1</v>
      </c>
      <c r="N30" s="38">
        <f t="shared" si="9"/>
        <v>17</v>
      </c>
      <c r="O30" s="18">
        <f t="shared" si="6"/>
        <v>8.4158415841584164E-2</v>
      </c>
      <c r="P30" s="118"/>
    </row>
    <row r="31" spans="1:26" s="25" customFormat="1" ht="13.5" customHeight="1" x14ac:dyDescent="0.2">
      <c r="A31" s="30" t="s">
        <v>5</v>
      </c>
      <c r="B31" s="30">
        <v>0</v>
      </c>
      <c r="C31" s="30">
        <v>0</v>
      </c>
      <c r="D31" s="14">
        <f t="shared" si="7"/>
        <v>0</v>
      </c>
      <c r="E31" s="36">
        <f t="shared" si="10"/>
        <v>0</v>
      </c>
      <c r="F31" s="138"/>
      <c r="G31" s="30">
        <v>5</v>
      </c>
      <c r="H31" s="30">
        <v>2</v>
      </c>
      <c r="I31" s="38">
        <f t="shared" si="8"/>
        <v>7</v>
      </c>
      <c r="J31" s="36">
        <f t="shared" si="11"/>
        <v>2.3801428085685142E-3</v>
      </c>
      <c r="K31" s="138"/>
      <c r="L31" s="13">
        <v>1</v>
      </c>
      <c r="M31" s="13">
        <v>0</v>
      </c>
      <c r="N31" s="38">
        <f t="shared" si="9"/>
        <v>1</v>
      </c>
      <c r="O31" s="18">
        <f t="shared" si="6"/>
        <v>4.9504950495049506E-3</v>
      </c>
      <c r="P31" s="119"/>
    </row>
    <row r="32" spans="1:26" s="25" customFormat="1" ht="13.5" customHeight="1" x14ac:dyDescent="0.2">
      <c r="A32" s="32" t="s">
        <v>8</v>
      </c>
      <c r="B32" s="33">
        <f>SUM(B26:B31)</f>
        <v>11</v>
      </c>
      <c r="C32" s="33">
        <f>SUM(C26:C31)</f>
        <v>5</v>
      </c>
      <c r="D32" s="34">
        <f>D26+D27+B25+D28+D29+D30+D31</f>
        <v>30</v>
      </c>
      <c r="E32" s="139">
        <f>D32/30</f>
        <v>1</v>
      </c>
      <c r="F32" s="139"/>
      <c r="G32" s="33">
        <f>SUM(G26:G31)</f>
        <v>1407</v>
      </c>
      <c r="H32" s="33">
        <f>SUM(H26:H31)</f>
        <v>745</v>
      </c>
      <c r="I32" s="34">
        <f>I26+I27+G25+I28+I29+I30+I31</f>
        <v>2941</v>
      </c>
      <c r="J32" s="139">
        <f>I32/2941</f>
        <v>1</v>
      </c>
      <c r="K32" s="139"/>
      <c r="L32" s="20">
        <f>SUM(L26:L31)</f>
        <v>84</v>
      </c>
      <c r="M32" s="20">
        <f>SUM(M26:M31)</f>
        <v>24</v>
      </c>
      <c r="N32" s="21">
        <f>N26+N27+L25+N28+N29+N30+N31</f>
        <v>202</v>
      </c>
      <c r="O32" s="120">
        <f t="shared" si="6"/>
        <v>1</v>
      </c>
      <c r="P32" s="122"/>
    </row>
    <row r="33" spans="1:24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  <c r="N33" s="8"/>
      <c r="O33" s="9"/>
      <c r="P33" s="9"/>
    </row>
    <row r="34" spans="1:24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24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  <c r="S35" s="88"/>
    </row>
    <row r="36" spans="1:24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  <c r="T36" s="88"/>
    </row>
    <row r="37" spans="1:24" s="5" customFormat="1" ht="13.5" customHeight="1" x14ac:dyDescent="0.2">
      <c r="A37" s="126" t="s">
        <v>37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24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24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24" s="23" customFormat="1" ht="45.75" x14ac:dyDescent="0.2">
      <c r="A40" s="35"/>
      <c r="B40" s="86" t="s">
        <v>6</v>
      </c>
      <c r="C40" s="86" t="s">
        <v>7</v>
      </c>
      <c r="D40" s="86" t="s">
        <v>8</v>
      </c>
      <c r="E40" s="129" t="s">
        <v>9</v>
      </c>
      <c r="F40" s="129"/>
      <c r="G40" s="86" t="s">
        <v>6</v>
      </c>
      <c r="H40" s="86" t="s">
        <v>7</v>
      </c>
      <c r="I40" s="86" t="s">
        <v>8</v>
      </c>
      <c r="J40" s="129" t="s">
        <v>9</v>
      </c>
      <c r="K40" s="129"/>
      <c r="L40" s="86" t="s">
        <v>6</v>
      </c>
      <c r="M40" s="86" t="s">
        <v>7</v>
      </c>
      <c r="N40" s="86" t="s">
        <v>8</v>
      </c>
      <c r="O40" s="129" t="s">
        <v>9</v>
      </c>
      <c r="P40" s="129"/>
    </row>
    <row r="41" spans="1:24" s="25" customFormat="1" ht="13.5" customHeight="1" x14ac:dyDescent="0.2">
      <c r="A41" s="13" t="s">
        <v>1</v>
      </c>
      <c r="B41" s="130">
        <v>37</v>
      </c>
      <c r="C41" s="131"/>
      <c r="D41" s="132"/>
      <c r="E41" s="124">
        <f>B41/109</f>
        <v>0.33944954128440369</v>
      </c>
      <c r="F41" s="125"/>
      <c r="G41" s="133">
        <v>71</v>
      </c>
      <c r="H41" s="134"/>
      <c r="I41" s="135"/>
      <c r="J41" s="124">
        <f>G41/1382</f>
        <v>5.1374819102749637E-2</v>
      </c>
      <c r="K41" s="125"/>
      <c r="L41" s="133">
        <v>33</v>
      </c>
      <c r="M41" s="134"/>
      <c r="N41" s="135"/>
      <c r="O41" s="124">
        <f>L41/278</f>
        <v>0.11870503597122302</v>
      </c>
      <c r="P41" s="125"/>
      <c r="S41" s="39"/>
      <c r="T41" s="89"/>
      <c r="U41" s="89"/>
      <c r="V41" s="89"/>
      <c r="W41" s="89"/>
      <c r="X41" s="89"/>
    </row>
    <row r="42" spans="1:24" s="25" customFormat="1" ht="13.5" customHeight="1" x14ac:dyDescent="0.2">
      <c r="A42" s="13" t="s">
        <v>0</v>
      </c>
      <c r="B42" s="13">
        <v>32</v>
      </c>
      <c r="C42" s="13">
        <v>17</v>
      </c>
      <c r="D42" s="14">
        <f>SUM(B42:C42)</f>
        <v>49</v>
      </c>
      <c r="E42" s="124">
        <f>D42/109</f>
        <v>0.44954128440366975</v>
      </c>
      <c r="F42" s="125"/>
      <c r="G42" s="37">
        <v>499</v>
      </c>
      <c r="H42" s="37">
        <v>483</v>
      </c>
      <c r="I42" s="14">
        <f>SUM(G42:H42)</f>
        <v>982</v>
      </c>
      <c r="J42" s="124">
        <f t="shared" ref="J42:J48" si="12">I42/1382</f>
        <v>0.71056439942112881</v>
      </c>
      <c r="K42" s="125"/>
      <c r="L42" s="37">
        <v>92</v>
      </c>
      <c r="M42" s="37">
        <v>97</v>
      </c>
      <c r="N42" s="14">
        <f>SUM(L42:M42)</f>
        <v>189</v>
      </c>
      <c r="O42" s="124">
        <f>N42/278</f>
        <v>0.67985611510791366</v>
      </c>
      <c r="P42" s="125"/>
      <c r="T42" s="39"/>
    </row>
    <row r="43" spans="1:24" s="25" customFormat="1" ht="13.5" customHeight="1" x14ac:dyDescent="0.2">
      <c r="A43" s="13" t="s">
        <v>12</v>
      </c>
      <c r="B43" s="15">
        <v>4</v>
      </c>
      <c r="C43" s="15">
        <v>0</v>
      </c>
      <c r="D43" s="14">
        <f t="shared" ref="D43:D47" si="13">SUM(B43:C43)</f>
        <v>4</v>
      </c>
      <c r="E43" s="124">
        <f>D43/109</f>
        <v>3.669724770642202E-2</v>
      </c>
      <c r="F43" s="125"/>
      <c r="G43" s="37">
        <v>101</v>
      </c>
      <c r="H43" s="37">
        <v>73</v>
      </c>
      <c r="I43" s="14">
        <f t="shared" ref="I43:I47" si="14">SUM(G43:H43)</f>
        <v>174</v>
      </c>
      <c r="J43" s="124">
        <f t="shared" si="12"/>
        <v>0.12590448625180897</v>
      </c>
      <c r="K43" s="125"/>
      <c r="L43" s="37">
        <v>12</v>
      </c>
      <c r="M43" s="37">
        <v>9</v>
      </c>
      <c r="N43" s="14">
        <f t="shared" ref="N43:N47" si="15">SUM(L43:M43)</f>
        <v>21</v>
      </c>
      <c r="O43" s="124">
        <f>N43/278</f>
        <v>7.5539568345323743E-2</v>
      </c>
      <c r="P43" s="125"/>
      <c r="U43" s="39"/>
    </row>
    <row r="44" spans="1:24" s="25" customFormat="1" ht="13.5" customHeight="1" x14ac:dyDescent="0.2">
      <c r="A44" s="13" t="s">
        <v>2</v>
      </c>
      <c r="B44" s="13">
        <v>6</v>
      </c>
      <c r="C44" s="13">
        <v>0</v>
      </c>
      <c r="D44" s="14">
        <f t="shared" si="13"/>
        <v>6</v>
      </c>
      <c r="E44" s="18">
        <f>D44/109</f>
        <v>5.5045871559633031E-2</v>
      </c>
      <c r="F44" s="117">
        <f>SUM(E44:E47)</f>
        <v>0.1743119266055046</v>
      </c>
      <c r="G44" s="37">
        <v>61</v>
      </c>
      <c r="H44" s="37">
        <v>1</v>
      </c>
      <c r="I44" s="14">
        <f t="shared" si="14"/>
        <v>62</v>
      </c>
      <c r="J44" s="18">
        <f t="shared" si="12"/>
        <v>4.4862518089725037E-2</v>
      </c>
      <c r="K44" s="117">
        <f>SUM(J44:J47)</f>
        <v>0.11215629522431259</v>
      </c>
      <c r="L44" s="37">
        <v>10</v>
      </c>
      <c r="M44" s="37">
        <v>0</v>
      </c>
      <c r="N44" s="14">
        <f t="shared" si="15"/>
        <v>10</v>
      </c>
      <c r="O44" s="18">
        <f>N44/278</f>
        <v>3.5971223021582732E-2</v>
      </c>
      <c r="P44" s="117">
        <f>SUM(O44:O47)</f>
        <v>0.12589928057553956</v>
      </c>
    </row>
    <row r="45" spans="1:24" s="25" customFormat="1" ht="13.5" customHeight="1" x14ac:dyDescent="0.2">
      <c r="A45" s="13" t="s">
        <v>3</v>
      </c>
      <c r="B45" s="13">
        <v>5</v>
      </c>
      <c r="C45" s="13">
        <v>0</v>
      </c>
      <c r="D45" s="14">
        <f t="shared" si="13"/>
        <v>5</v>
      </c>
      <c r="E45" s="18">
        <f t="shared" ref="E45:E47" si="16">D45/109</f>
        <v>4.5871559633027525E-2</v>
      </c>
      <c r="F45" s="118"/>
      <c r="G45" s="37">
        <v>29</v>
      </c>
      <c r="H45" s="37">
        <v>0</v>
      </c>
      <c r="I45" s="14">
        <f t="shared" si="14"/>
        <v>29</v>
      </c>
      <c r="J45" s="18">
        <f t="shared" si="12"/>
        <v>2.0984081041968163E-2</v>
      </c>
      <c r="K45" s="118"/>
      <c r="L45" s="37">
        <v>11</v>
      </c>
      <c r="M45" s="37">
        <v>0</v>
      </c>
      <c r="N45" s="14">
        <f t="shared" si="15"/>
        <v>11</v>
      </c>
      <c r="O45" s="18">
        <f t="shared" ref="O45:O47" si="17">N45/278</f>
        <v>3.9568345323741004E-2</v>
      </c>
      <c r="P45" s="118"/>
      <c r="T45" s="39"/>
    </row>
    <row r="46" spans="1:24" s="25" customFormat="1" ht="13.5" customHeight="1" x14ac:dyDescent="0.2">
      <c r="A46" s="13" t="s">
        <v>4</v>
      </c>
      <c r="B46" s="13">
        <v>8</v>
      </c>
      <c r="C46" s="13">
        <v>0</v>
      </c>
      <c r="D46" s="14">
        <f t="shared" si="13"/>
        <v>8</v>
      </c>
      <c r="E46" s="18">
        <f t="shared" si="16"/>
        <v>7.3394495412844041E-2</v>
      </c>
      <c r="F46" s="118"/>
      <c r="G46" s="37">
        <v>48</v>
      </c>
      <c r="H46" s="37">
        <v>11</v>
      </c>
      <c r="I46" s="14">
        <f t="shared" si="14"/>
        <v>59</v>
      </c>
      <c r="J46" s="18">
        <f t="shared" si="12"/>
        <v>4.2691751085383499E-2</v>
      </c>
      <c r="K46" s="118"/>
      <c r="L46" s="37">
        <v>9</v>
      </c>
      <c r="M46" s="37">
        <v>1</v>
      </c>
      <c r="N46" s="14">
        <f t="shared" si="15"/>
        <v>10</v>
      </c>
      <c r="O46" s="18">
        <f t="shared" si="17"/>
        <v>3.5971223021582732E-2</v>
      </c>
      <c r="P46" s="118"/>
    </row>
    <row r="47" spans="1:24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3"/>
        <v>0</v>
      </c>
      <c r="E47" s="18">
        <f t="shared" si="16"/>
        <v>0</v>
      </c>
      <c r="F47" s="119"/>
      <c r="G47" s="37">
        <v>2</v>
      </c>
      <c r="H47" s="37">
        <v>3</v>
      </c>
      <c r="I47" s="14">
        <f t="shared" si="14"/>
        <v>5</v>
      </c>
      <c r="J47" s="18">
        <f t="shared" si="12"/>
        <v>3.6179450072358899E-3</v>
      </c>
      <c r="K47" s="119"/>
      <c r="L47" s="37">
        <v>2</v>
      </c>
      <c r="M47" s="37">
        <v>2</v>
      </c>
      <c r="N47" s="14">
        <f t="shared" si="15"/>
        <v>4</v>
      </c>
      <c r="O47" s="18">
        <f t="shared" si="17"/>
        <v>1.4388489208633094E-2</v>
      </c>
      <c r="P47" s="119"/>
    </row>
    <row r="48" spans="1:24" s="25" customFormat="1" ht="13.5" customHeight="1" x14ac:dyDescent="0.2">
      <c r="A48" s="19" t="s">
        <v>8</v>
      </c>
      <c r="B48" s="20">
        <f>SUM(B42:B47)</f>
        <v>55</v>
      </c>
      <c r="C48" s="20">
        <f>SUM(C42:C47)</f>
        <v>17</v>
      </c>
      <c r="D48" s="21">
        <f>D42+D43+B41+D44+D45+D46+D47</f>
        <v>109</v>
      </c>
      <c r="E48" s="120">
        <f>D48/109</f>
        <v>1</v>
      </c>
      <c r="F48" s="121"/>
      <c r="G48" s="20">
        <f>SUM(G42:G47)</f>
        <v>740</v>
      </c>
      <c r="H48" s="20">
        <f>SUM(H42:H47)</f>
        <v>571</v>
      </c>
      <c r="I48" s="21">
        <f>I42+I43+G41+I44+I45+I46+I47</f>
        <v>1382</v>
      </c>
      <c r="J48" s="120">
        <f t="shared" si="12"/>
        <v>1</v>
      </c>
      <c r="K48" s="122"/>
      <c r="L48" s="20">
        <f>SUM(L42:L47)</f>
        <v>136</v>
      </c>
      <c r="M48" s="20">
        <f>SUM(M42:M47)</f>
        <v>109</v>
      </c>
      <c r="N48" s="21">
        <f>N42+N43+L41+N44+N45+N46+N47</f>
        <v>278</v>
      </c>
      <c r="O48" s="120">
        <f>N48/278</f>
        <v>1</v>
      </c>
      <c r="P48" s="122"/>
    </row>
    <row r="50" spans="14:20" x14ac:dyDescent="0.2">
      <c r="T50" s="10"/>
    </row>
    <row r="52" spans="14:20" ht="34.5" customHeight="1" x14ac:dyDescent="0.3">
      <c r="N52" s="116">
        <v>11</v>
      </c>
      <c r="O52" s="116"/>
      <c r="P52" s="116"/>
    </row>
  </sheetData>
  <mergeCells count="76">
    <mergeCell ref="N52:P52"/>
    <mergeCell ref="F44:F47"/>
    <mergeCell ref="K44:K47"/>
    <mergeCell ref="P44:P47"/>
    <mergeCell ref="E48:F48"/>
    <mergeCell ref="J48:K48"/>
    <mergeCell ref="O48:P48"/>
    <mergeCell ref="E42:F42"/>
    <mergeCell ref="J42:K42"/>
    <mergeCell ref="O42:P42"/>
    <mergeCell ref="E43:F43"/>
    <mergeCell ref="J43:K43"/>
    <mergeCell ref="O43:P43"/>
    <mergeCell ref="O41:P41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F28:F31"/>
    <mergeCell ref="K28:K31"/>
    <mergeCell ref="P28:P31"/>
    <mergeCell ref="E32:F32"/>
    <mergeCell ref="J32:K32"/>
    <mergeCell ref="O32:P32"/>
    <mergeCell ref="E26:F26"/>
    <mergeCell ref="J26:K26"/>
    <mergeCell ref="O26:P26"/>
    <mergeCell ref="E27:F27"/>
    <mergeCell ref="J27:K27"/>
    <mergeCell ref="O27:P27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F12:F15"/>
    <mergeCell ref="K12:K15"/>
    <mergeCell ref="P12:P15"/>
    <mergeCell ref="E16:F16"/>
    <mergeCell ref="J16:K16"/>
    <mergeCell ref="O16:P16"/>
    <mergeCell ref="E10:F10"/>
    <mergeCell ref="J10:K10"/>
    <mergeCell ref="O10:P10"/>
    <mergeCell ref="E11:F11"/>
    <mergeCell ref="J11:K11"/>
    <mergeCell ref="O11:P11"/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</mergeCells>
  <pageMargins left="0.19685039370078741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V25" sqref="V25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</cols>
  <sheetData>
    <row r="1" spans="1:16" ht="13.5" customHeight="1" x14ac:dyDescent="0.2"/>
    <row r="2" spans="1:16" ht="13.5" customHeight="1" x14ac:dyDescent="0.2"/>
    <row r="3" spans="1:16" ht="13.5" customHeight="1" x14ac:dyDescent="0.2"/>
    <row r="4" spans="1:16" ht="13.5" customHeight="1" x14ac:dyDescent="0.2"/>
    <row r="5" spans="1:16" ht="13.5" customHeight="1" x14ac:dyDescent="0.2">
      <c r="A5" s="141" t="s">
        <v>32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16" ht="13.5" customHeight="1" x14ac:dyDescent="0.2"/>
    <row r="7" spans="1:16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16" ht="47.25" customHeight="1" x14ac:dyDescent="0.2">
      <c r="A8" s="11"/>
      <c r="B8" s="82" t="s">
        <v>6</v>
      </c>
      <c r="C8" s="82" t="s">
        <v>7</v>
      </c>
      <c r="D8" s="82" t="s">
        <v>8</v>
      </c>
      <c r="E8" s="129" t="s">
        <v>9</v>
      </c>
      <c r="F8" s="129"/>
      <c r="G8" s="80" t="s">
        <v>6</v>
      </c>
      <c r="H8" s="80" t="s">
        <v>7</v>
      </c>
      <c r="I8" s="80" t="s">
        <v>8</v>
      </c>
      <c r="J8" s="129" t="s">
        <v>9</v>
      </c>
      <c r="K8" s="129"/>
      <c r="L8" s="80" t="s">
        <v>6</v>
      </c>
      <c r="M8" s="80" t="s">
        <v>7</v>
      </c>
      <c r="N8" s="80" t="s">
        <v>8</v>
      </c>
      <c r="O8" s="129" t="s">
        <v>9</v>
      </c>
      <c r="P8" s="129"/>
    </row>
    <row r="9" spans="1:16" ht="13.5" customHeight="1" x14ac:dyDescent="0.2">
      <c r="A9" s="13" t="s">
        <v>1</v>
      </c>
      <c r="B9" s="130">
        <v>63</v>
      </c>
      <c r="C9" s="131"/>
      <c r="D9" s="132"/>
      <c r="E9" s="124">
        <f>B9/188</f>
        <v>0.33510638297872342</v>
      </c>
      <c r="F9" s="125"/>
      <c r="G9" s="133">
        <v>881</v>
      </c>
      <c r="H9" s="134"/>
      <c r="I9" s="135"/>
      <c r="J9" s="124">
        <f>G9/4566</f>
        <v>0.19294787560227772</v>
      </c>
      <c r="K9" s="125"/>
      <c r="L9" s="133">
        <v>97</v>
      </c>
      <c r="M9" s="134"/>
      <c r="N9" s="135"/>
      <c r="O9" s="124">
        <f>L9/479</f>
        <v>0.20250521920668058</v>
      </c>
      <c r="P9" s="125"/>
    </row>
    <row r="10" spans="1:16" ht="13.5" customHeight="1" x14ac:dyDescent="0.2">
      <c r="A10" s="13" t="s">
        <v>0</v>
      </c>
      <c r="B10" s="13">
        <v>51</v>
      </c>
      <c r="C10" s="13">
        <v>34</v>
      </c>
      <c r="D10" s="14">
        <f>SUM(B10:C10)</f>
        <v>85</v>
      </c>
      <c r="E10" s="124">
        <f t="shared" ref="E10:E16" si="0">D10/188</f>
        <v>0.4521276595744681</v>
      </c>
      <c r="F10" s="125"/>
      <c r="G10" s="37">
        <v>1215</v>
      </c>
      <c r="H10" s="37">
        <v>1053</v>
      </c>
      <c r="I10" s="38">
        <f>SUM(G10:H10)</f>
        <v>2268</v>
      </c>
      <c r="J10" s="124">
        <f t="shared" ref="J10:J16" si="1">I10/4566</f>
        <v>0.49671484888304862</v>
      </c>
      <c r="K10" s="125"/>
      <c r="L10" s="37">
        <v>113</v>
      </c>
      <c r="M10" s="37">
        <v>136</v>
      </c>
      <c r="N10" s="38">
        <f>SUM(L10:M10)</f>
        <v>249</v>
      </c>
      <c r="O10" s="124">
        <f t="shared" ref="O10:O16" si="2">N10/479</f>
        <v>0.51983298538622125</v>
      </c>
      <c r="P10" s="125"/>
    </row>
    <row r="11" spans="1:16" ht="13.5" customHeight="1" x14ac:dyDescent="0.2">
      <c r="A11" s="13" t="s">
        <v>12</v>
      </c>
      <c r="B11" s="15">
        <v>13</v>
      </c>
      <c r="C11" s="15">
        <v>4</v>
      </c>
      <c r="D11" s="14">
        <f t="shared" ref="D11:D15" si="3">SUM(B11:C11)</f>
        <v>17</v>
      </c>
      <c r="E11" s="124">
        <f t="shared" si="0"/>
        <v>9.0425531914893623E-2</v>
      </c>
      <c r="F11" s="125"/>
      <c r="G11" s="37">
        <v>143</v>
      </c>
      <c r="H11" s="37">
        <v>326</v>
      </c>
      <c r="I11" s="38">
        <f t="shared" ref="I11:I15" si="4">SUM(G11:H11)</f>
        <v>469</v>
      </c>
      <c r="J11" s="124">
        <f t="shared" si="1"/>
        <v>0.10271572492334648</v>
      </c>
      <c r="K11" s="125"/>
      <c r="L11" s="37">
        <v>24</v>
      </c>
      <c r="M11" s="37">
        <v>16</v>
      </c>
      <c r="N11" s="38">
        <f t="shared" ref="N11:N15" si="5">SUM(L11:M11)</f>
        <v>40</v>
      </c>
      <c r="O11" s="124">
        <f t="shared" si="2"/>
        <v>8.3507306889352817E-2</v>
      </c>
      <c r="P11" s="125"/>
    </row>
    <row r="12" spans="1:16" ht="13.5" customHeight="1" x14ac:dyDescent="0.2">
      <c r="A12" s="13" t="s">
        <v>2</v>
      </c>
      <c r="B12" s="13">
        <v>9</v>
      </c>
      <c r="C12" s="13">
        <v>0</v>
      </c>
      <c r="D12" s="14">
        <f t="shared" si="3"/>
        <v>9</v>
      </c>
      <c r="E12" s="18">
        <f t="shared" si="0"/>
        <v>4.7872340425531915E-2</v>
      </c>
      <c r="F12" s="117">
        <f>SUM(E12:E15)</f>
        <v>0.12234042553191489</v>
      </c>
      <c r="G12" s="37">
        <v>548</v>
      </c>
      <c r="H12" s="37">
        <v>8</v>
      </c>
      <c r="I12" s="38">
        <f t="shared" si="4"/>
        <v>556</v>
      </c>
      <c r="J12" s="18">
        <f t="shared" si="1"/>
        <v>0.12176960140166447</v>
      </c>
      <c r="K12" s="117">
        <f>SUM(J12:J15)</f>
        <v>0.2076215505913272</v>
      </c>
      <c r="L12" s="37">
        <v>31</v>
      </c>
      <c r="M12" s="37">
        <v>0</v>
      </c>
      <c r="N12" s="38">
        <f t="shared" si="5"/>
        <v>31</v>
      </c>
      <c r="O12" s="18">
        <f t="shared" si="2"/>
        <v>6.471816283924843E-2</v>
      </c>
      <c r="P12" s="117">
        <f>SUM(O12:O15)</f>
        <v>0.19415448851774531</v>
      </c>
    </row>
    <row r="13" spans="1:16" ht="13.5" customHeight="1" x14ac:dyDescent="0.2">
      <c r="A13" s="13" t="s">
        <v>3</v>
      </c>
      <c r="B13" s="13">
        <v>6</v>
      </c>
      <c r="C13" s="13">
        <v>0</v>
      </c>
      <c r="D13" s="14">
        <f t="shared" si="3"/>
        <v>6</v>
      </c>
      <c r="E13" s="18">
        <f t="shared" si="0"/>
        <v>3.1914893617021274E-2</v>
      </c>
      <c r="F13" s="118"/>
      <c r="G13" s="37">
        <v>109</v>
      </c>
      <c r="H13" s="37">
        <v>36</v>
      </c>
      <c r="I13" s="38">
        <f t="shared" si="4"/>
        <v>145</v>
      </c>
      <c r="J13" s="18">
        <f t="shared" si="1"/>
        <v>3.175646079719667E-2</v>
      </c>
      <c r="K13" s="118"/>
      <c r="L13" s="37">
        <v>8</v>
      </c>
      <c r="M13" s="37">
        <v>1</v>
      </c>
      <c r="N13" s="38">
        <f t="shared" si="5"/>
        <v>9</v>
      </c>
      <c r="O13" s="18">
        <f t="shared" si="2"/>
        <v>1.8789144050104383E-2</v>
      </c>
      <c r="P13" s="118"/>
    </row>
    <row r="14" spans="1:16" ht="13.5" customHeight="1" x14ac:dyDescent="0.2">
      <c r="A14" s="13" t="s">
        <v>4</v>
      </c>
      <c r="B14" s="13">
        <v>5</v>
      </c>
      <c r="C14" s="13">
        <v>2</v>
      </c>
      <c r="D14" s="14">
        <f t="shared" si="3"/>
        <v>7</v>
      </c>
      <c r="E14" s="18">
        <f t="shared" si="0"/>
        <v>3.7234042553191488E-2</v>
      </c>
      <c r="F14" s="118"/>
      <c r="G14" s="37">
        <v>197</v>
      </c>
      <c r="H14" s="37">
        <v>30</v>
      </c>
      <c r="I14" s="38">
        <f t="shared" si="4"/>
        <v>227</v>
      </c>
      <c r="J14" s="18">
        <f t="shared" si="1"/>
        <v>4.9715286903197549E-2</v>
      </c>
      <c r="K14" s="118"/>
      <c r="L14" s="37">
        <v>41</v>
      </c>
      <c r="M14" s="37">
        <v>7</v>
      </c>
      <c r="N14" s="38">
        <f t="shared" si="5"/>
        <v>48</v>
      </c>
      <c r="O14" s="18">
        <f t="shared" si="2"/>
        <v>0.10020876826722339</v>
      </c>
      <c r="P14" s="118"/>
    </row>
    <row r="15" spans="1:16" x14ac:dyDescent="0.2">
      <c r="A15" s="13" t="s">
        <v>5</v>
      </c>
      <c r="B15" s="13">
        <v>1</v>
      </c>
      <c r="C15" s="13">
        <v>0</v>
      </c>
      <c r="D15" s="14">
        <f t="shared" si="3"/>
        <v>1</v>
      </c>
      <c r="E15" s="18">
        <f t="shared" si="0"/>
        <v>5.3191489361702126E-3</v>
      </c>
      <c r="F15" s="119"/>
      <c r="G15" s="37">
        <v>14</v>
      </c>
      <c r="H15" s="37">
        <v>6</v>
      </c>
      <c r="I15" s="38">
        <f t="shared" si="4"/>
        <v>20</v>
      </c>
      <c r="J15" s="18">
        <f t="shared" si="1"/>
        <v>4.3802014892685062E-3</v>
      </c>
      <c r="K15" s="119"/>
      <c r="L15" s="37">
        <v>2</v>
      </c>
      <c r="M15" s="37">
        <v>3</v>
      </c>
      <c r="N15" s="38">
        <f t="shared" si="5"/>
        <v>5</v>
      </c>
      <c r="O15" s="18">
        <f t="shared" si="2"/>
        <v>1.0438413361169102E-2</v>
      </c>
      <c r="P15" s="119"/>
    </row>
    <row r="16" spans="1:16" x14ac:dyDescent="0.2">
      <c r="A16" s="19" t="s">
        <v>8</v>
      </c>
      <c r="B16" s="20">
        <f>SUM(B10:B15)</f>
        <v>85</v>
      </c>
      <c r="C16" s="20">
        <f>SUM(C10:C15)</f>
        <v>40</v>
      </c>
      <c r="D16" s="21">
        <f>D10+D11+B9+D12+D13+D14+D15</f>
        <v>188</v>
      </c>
      <c r="E16" s="120">
        <f t="shared" si="0"/>
        <v>1</v>
      </c>
      <c r="F16" s="121"/>
      <c r="G16" s="74">
        <f>SUM(G10:G15)</f>
        <v>2226</v>
      </c>
      <c r="H16" s="74">
        <f>SUM(H10:H15)</f>
        <v>1459</v>
      </c>
      <c r="I16" s="75">
        <f>I10+I11+G9+I12+I13+I14+I15</f>
        <v>4566</v>
      </c>
      <c r="J16" s="120">
        <f t="shared" si="1"/>
        <v>1</v>
      </c>
      <c r="K16" s="122"/>
      <c r="L16" s="74">
        <f>SUM(L10:L15)</f>
        <v>219</v>
      </c>
      <c r="M16" s="74">
        <f>SUM(M10:M15)</f>
        <v>163</v>
      </c>
      <c r="N16" s="75">
        <f>N10+N11+L9+N12+N13+N14+N15</f>
        <v>479</v>
      </c>
      <c r="O16" s="120">
        <f t="shared" si="2"/>
        <v>1</v>
      </c>
      <c r="P16" s="122"/>
    </row>
    <row r="17" spans="1:19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</row>
    <row r="18" spans="1:19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</row>
    <row r="19" spans="1:19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19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</row>
    <row r="21" spans="1:19" s="5" customFormat="1" ht="13.5" customHeight="1" x14ac:dyDescent="0.2">
      <c r="A21" s="126" t="s">
        <v>33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19" s="5" customFormat="1" ht="13.5" customHeight="1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</row>
    <row r="23" spans="1:19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</row>
    <row r="24" spans="1:19" s="23" customFormat="1" ht="45.75" x14ac:dyDescent="0.2">
      <c r="A24" s="22"/>
      <c r="B24" s="81" t="s">
        <v>6</v>
      </c>
      <c r="C24" s="81" t="s">
        <v>7</v>
      </c>
      <c r="D24" s="81" t="s">
        <v>8</v>
      </c>
      <c r="E24" s="140" t="s">
        <v>9</v>
      </c>
      <c r="F24" s="140"/>
      <c r="G24" s="81" t="s">
        <v>6</v>
      </c>
      <c r="H24" s="81" t="s">
        <v>7</v>
      </c>
      <c r="I24" s="81" t="s">
        <v>8</v>
      </c>
      <c r="J24" s="144" t="s">
        <v>9</v>
      </c>
      <c r="K24" s="144"/>
      <c r="L24" s="82" t="s">
        <v>6</v>
      </c>
      <c r="M24" s="82" t="s">
        <v>7</v>
      </c>
      <c r="N24" s="82" t="s">
        <v>8</v>
      </c>
      <c r="O24" s="129" t="s">
        <v>9</v>
      </c>
      <c r="P24" s="129"/>
    </row>
    <row r="25" spans="1:19" s="25" customFormat="1" ht="13.5" customHeight="1" x14ac:dyDescent="0.2">
      <c r="A25" s="13" t="s">
        <v>1</v>
      </c>
      <c r="B25" s="130">
        <v>26</v>
      </c>
      <c r="C25" s="131"/>
      <c r="D25" s="132"/>
      <c r="E25" s="124">
        <f>B25/44</f>
        <v>0.59090909090909094</v>
      </c>
      <c r="F25" s="125"/>
      <c r="G25" s="130">
        <v>793</v>
      </c>
      <c r="H25" s="131"/>
      <c r="I25" s="132"/>
      <c r="J25" s="124">
        <f>G25/2908</f>
        <v>0.27269601100412655</v>
      </c>
      <c r="K25" s="125"/>
      <c r="L25" s="130">
        <v>67</v>
      </c>
      <c r="M25" s="131"/>
      <c r="N25" s="132"/>
      <c r="O25" s="124">
        <f>L25/186</f>
        <v>0.36021505376344087</v>
      </c>
      <c r="P25" s="125"/>
      <c r="S25" s="39"/>
    </row>
    <row r="26" spans="1:19" s="25" customFormat="1" ht="13.5" customHeight="1" x14ac:dyDescent="0.2">
      <c r="A26" s="26" t="s">
        <v>0</v>
      </c>
      <c r="B26" s="26">
        <v>3</v>
      </c>
      <c r="C26" s="26">
        <v>3</v>
      </c>
      <c r="D26" s="14">
        <f>SUM(B26:C26)</f>
        <v>6</v>
      </c>
      <c r="E26" s="142">
        <f t="shared" ref="E26:E32" si="6">D26/44</f>
        <v>0.13636363636363635</v>
      </c>
      <c r="F26" s="143"/>
      <c r="G26" s="28">
        <v>645</v>
      </c>
      <c r="H26" s="28">
        <v>429</v>
      </c>
      <c r="I26" s="38">
        <f>SUM(G26:H26)</f>
        <v>1074</v>
      </c>
      <c r="J26" s="124">
        <f t="shared" ref="J26:J32" si="7">I26/2908</f>
        <v>0.36932599724896836</v>
      </c>
      <c r="K26" s="125"/>
      <c r="L26" s="15">
        <v>34</v>
      </c>
      <c r="M26" s="15">
        <v>28</v>
      </c>
      <c r="N26" s="38">
        <f>SUM(L26:M26)</f>
        <v>62</v>
      </c>
      <c r="O26" s="124">
        <f t="shared" ref="O26:O32" si="8">N26/186</f>
        <v>0.33333333333333331</v>
      </c>
      <c r="P26" s="125"/>
    </row>
    <row r="27" spans="1:19" s="25" customFormat="1" ht="13.5" customHeight="1" x14ac:dyDescent="0.2">
      <c r="A27" s="26" t="s">
        <v>12</v>
      </c>
      <c r="B27" s="28">
        <v>1</v>
      </c>
      <c r="C27" s="28">
        <v>2</v>
      </c>
      <c r="D27" s="14">
        <f t="shared" ref="D27:D31" si="9">SUM(B27:C27)</f>
        <v>3</v>
      </c>
      <c r="E27" s="142">
        <f t="shared" si="6"/>
        <v>6.8181818181818177E-2</v>
      </c>
      <c r="F27" s="143"/>
      <c r="G27" s="28">
        <v>50</v>
      </c>
      <c r="H27" s="28">
        <v>260</v>
      </c>
      <c r="I27" s="38">
        <f t="shared" ref="I27:I31" si="10">SUM(G27:H27)</f>
        <v>310</v>
      </c>
      <c r="J27" s="124">
        <f t="shared" si="7"/>
        <v>0.10660247592847318</v>
      </c>
      <c r="K27" s="125"/>
      <c r="L27" s="15">
        <v>5</v>
      </c>
      <c r="M27" s="15">
        <v>4</v>
      </c>
      <c r="N27" s="38">
        <f t="shared" ref="N27:N31" si="11">SUM(L27:M27)</f>
        <v>9</v>
      </c>
      <c r="O27" s="124">
        <f t="shared" si="8"/>
        <v>4.8387096774193547E-2</v>
      </c>
      <c r="P27" s="125"/>
    </row>
    <row r="28" spans="1:19" s="25" customFormat="1" ht="13.5" customHeight="1" x14ac:dyDescent="0.2">
      <c r="A28" s="30" t="s">
        <v>2</v>
      </c>
      <c r="B28" s="30">
        <v>4</v>
      </c>
      <c r="C28" s="30">
        <v>0</v>
      </c>
      <c r="D28" s="14">
        <f t="shared" si="9"/>
        <v>4</v>
      </c>
      <c r="E28" s="36">
        <f t="shared" si="6"/>
        <v>9.0909090909090912E-2</v>
      </c>
      <c r="F28" s="136">
        <f>SUM(E28:E31)</f>
        <v>0.20454545454545456</v>
      </c>
      <c r="G28" s="30">
        <v>462</v>
      </c>
      <c r="H28" s="30">
        <v>8</v>
      </c>
      <c r="I28" s="38">
        <f t="shared" si="10"/>
        <v>470</v>
      </c>
      <c r="J28" s="36">
        <f t="shared" si="7"/>
        <v>0.16162310866574967</v>
      </c>
      <c r="K28" s="136">
        <f>SUM(J28:J31)</f>
        <v>0.25137551581843198</v>
      </c>
      <c r="L28" s="13">
        <v>16</v>
      </c>
      <c r="M28" s="13">
        <v>0</v>
      </c>
      <c r="N28" s="38">
        <f t="shared" si="11"/>
        <v>16</v>
      </c>
      <c r="O28" s="18">
        <f t="shared" si="8"/>
        <v>8.6021505376344093E-2</v>
      </c>
      <c r="P28" s="117">
        <f>SUM(O28:O31)</f>
        <v>0.25806451612903225</v>
      </c>
    </row>
    <row r="29" spans="1:19" s="25" customFormat="1" ht="13.5" customHeight="1" x14ac:dyDescent="0.2">
      <c r="A29" s="30" t="s">
        <v>3</v>
      </c>
      <c r="B29" s="30">
        <v>1</v>
      </c>
      <c r="C29" s="30">
        <v>0</v>
      </c>
      <c r="D29" s="14">
        <f t="shared" si="9"/>
        <v>1</v>
      </c>
      <c r="E29" s="36">
        <f t="shared" si="6"/>
        <v>2.2727272727272728E-2</v>
      </c>
      <c r="F29" s="137"/>
      <c r="G29" s="30">
        <v>78</v>
      </c>
      <c r="H29" s="30">
        <v>28</v>
      </c>
      <c r="I29" s="38">
        <f t="shared" si="10"/>
        <v>106</v>
      </c>
      <c r="J29" s="36">
        <f t="shared" si="7"/>
        <v>3.6451169188445667E-2</v>
      </c>
      <c r="K29" s="137"/>
      <c r="L29" s="13">
        <v>6</v>
      </c>
      <c r="M29" s="13">
        <v>1</v>
      </c>
      <c r="N29" s="38">
        <f t="shared" si="11"/>
        <v>7</v>
      </c>
      <c r="O29" s="18">
        <f t="shared" si="8"/>
        <v>3.7634408602150539E-2</v>
      </c>
      <c r="P29" s="118"/>
    </row>
    <row r="30" spans="1:19" s="25" customFormat="1" ht="13.5" customHeight="1" x14ac:dyDescent="0.2">
      <c r="A30" s="30" t="s">
        <v>4</v>
      </c>
      <c r="B30" s="30">
        <v>2</v>
      </c>
      <c r="C30" s="30">
        <v>1</v>
      </c>
      <c r="D30" s="14">
        <f t="shared" si="9"/>
        <v>3</v>
      </c>
      <c r="E30" s="36">
        <f t="shared" si="6"/>
        <v>6.8181818181818177E-2</v>
      </c>
      <c r="F30" s="137"/>
      <c r="G30" s="30">
        <v>136</v>
      </c>
      <c r="H30" s="30">
        <v>16</v>
      </c>
      <c r="I30" s="38">
        <f t="shared" si="10"/>
        <v>152</v>
      </c>
      <c r="J30" s="36">
        <f t="shared" si="7"/>
        <v>5.2269601100412656E-2</v>
      </c>
      <c r="K30" s="137"/>
      <c r="L30" s="13">
        <v>22</v>
      </c>
      <c r="M30" s="13">
        <v>3</v>
      </c>
      <c r="N30" s="38">
        <f t="shared" si="11"/>
        <v>25</v>
      </c>
      <c r="O30" s="18">
        <f t="shared" si="8"/>
        <v>0.13440860215053763</v>
      </c>
      <c r="P30" s="118"/>
    </row>
    <row r="31" spans="1:19" s="25" customFormat="1" ht="13.5" customHeight="1" x14ac:dyDescent="0.2">
      <c r="A31" s="30" t="s">
        <v>5</v>
      </c>
      <c r="B31" s="30">
        <v>1</v>
      </c>
      <c r="C31" s="30">
        <v>0</v>
      </c>
      <c r="D31" s="14">
        <f t="shared" si="9"/>
        <v>1</v>
      </c>
      <c r="E31" s="36">
        <f t="shared" si="6"/>
        <v>2.2727272727272728E-2</v>
      </c>
      <c r="F31" s="138"/>
      <c r="G31" s="30">
        <v>3</v>
      </c>
      <c r="H31" s="30">
        <v>0</v>
      </c>
      <c r="I31" s="38">
        <f t="shared" si="10"/>
        <v>3</v>
      </c>
      <c r="J31" s="36">
        <f t="shared" si="7"/>
        <v>1.0316368638239339E-3</v>
      </c>
      <c r="K31" s="138"/>
      <c r="L31" s="13">
        <v>0</v>
      </c>
      <c r="M31" s="13">
        <v>0</v>
      </c>
      <c r="N31" s="38">
        <f t="shared" si="11"/>
        <v>0</v>
      </c>
      <c r="O31" s="18">
        <f t="shared" si="8"/>
        <v>0</v>
      </c>
      <c r="P31" s="119"/>
    </row>
    <row r="32" spans="1:19" s="25" customFormat="1" ht="13.5" customHeight="1" x14ac:dyDescent="0.2">
      <c r="A32" s="32" t="s">
        <v>8</v>
      </c>
      <c r="B32" s="33">
        <f>SUM(B26:B31)</f>
        <v>12</v>
      </c>
      <c r="C32" s="33">
        <f>SUM(C26:C31)</f>
        <v>6</v>
      </c>
      <c r="D32" s="34">
        <f>D26+D27+B25+D28+D29+D30+D31</f>
        <v>44</v>
      </c>
      <c r="E32" s="139">
        <f t="shared" si="6"/>
        <v>1</v>
      </c>
      <c r="F32" s="139"/>
      <c r="G32" s="33">
        <f>SUM(G26:G31)</f>
        <v>1374</v>
      </c>
      <c r="H32" s="33">
        <f>SUM(H26:H31)</f>
        <v>741</v>
      </c>
      <c r="I32" s="34">
        <f>I26+I27+G25+I28+I29+I30+I31</f>
        <v>2908</v>
      </c>
      <c r="J32" s="139">
        <f t="shared" si="7"/>
        <v>1</v>
      </c>
      <c r="K32" s="139"/>
      <c r="L32" s="20">
        <f>SUM(L26:L31)</f>
        <v>83</v>
      </c>
      <c r="M32" s="20">
        <f>SUM(M26:M31)</f>
        <v>36</v>
      </c>
      <c r="N32" s="21">
        <f>N26+N27+L25+N28+N29+N30+N31</f>
        <v>186</v>
      </c>
      <c r="O32" s="120">
        <f t="shared" si="8"/>
        <v>1</v>
      </c>
      <c r="P32" s="122"/>
    </row>
    <row r="33" spans="1:19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  <c r="N33" s="8"/>
      <c r="O33" s="9"/>
      <c r="P33" s="9"/>
    </row>
    <row r="34" spans="1:19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19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</row>
    <row r="36" spans="1:19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</row>
    <row r="37" spans="1:19" s="5" customFormat="1" ht="13.5" customHeight="1" x14ac:dyDescent="0.2">
      <c r="A37" s="126" t="s">
        <v>34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19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19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19" s="23" customFormat="1" ht="45.75" x14ac:dyDescent="0.2">
      <c r="A40" s="35"/>
      <c r="B40" s="82" t="s">
        <v>6</v>
      </c>
      <c r="C40" s="82" t="s">
        <v>7</v>
      </c>
      <c r="D40" s="82" t="s">
        <v>8</v>
      </c>
      <c r="E40" s="129" t="s">
        <v>9</v>
      </c>
      <c r="F40" s="129"/>
      <c r="G40" s="82" t="s">
        <v>6</v>
      </c>
      <c r="H40" s="82" t="s">
        <v>7</v>
      </c>
      <c r="I40" s="82" t="s">
        <v>8</v>
      </c>
      <c r="J40" s="129" t="s">
        <v>9</v>
      </c>
      <c r="K40" s="129"/>
      <c r="L40" s="82" t="s">
        <v>6</v>
      </c>
      <c r="M40" s="82" t="s">
        <v>7</v>
      </c>
      <c r="N40" s="82" t="s">
        <v>8</v>
      </c>
      <c r="O40" s="129" t="s">
        <v>9</v>
      </c>
      <c r="P40" s="129"/>
    </row>
    <row r="41" spans="1:19" s="25" customFormat="1" ht="13.5" customHeight="1" x14ac:dyDescent="0.2">
      <c r="A41" s="13" t="s">
        <v>1</v>
      </c>
      <c r="B41" s="130">
        <v>34</v>
      </c>
      <c r="C41" s="131"/>
      <c r="D41" s="132"/>
      <c r="E41" s="124">
        <f>B41/122</f>
        <v>0.27868852459016391</v>
      </c>
      <c r="F41" s="125"/>
      <c r="G41" s="133">
        <v>61</v>
      </c>
      <c r="H41" s="134"/>
      <c r="I41" s="135"/>
      <c r="J41" s="124">
        <f>G41/1385</f>
        <v>4.4043321299638991E-2</v>
      </c>
      <c r="K41" s="125"/>
      <c r="L41" s="133">
        <v>20</v>
      </c>
      <c r="M41" s="134"/>
      <c r="N41" s="135"/>
      <c r="O41" s="124">
        <f>L41/244</f>
        <v>8.1967213114754092E-2</v>
      </c>
      <c r="P41" s="125"/>
      <c r="S41" s="39"/>
    </row>
    <row r="42" spans="1:19" s="25" customFormat="1" ht="13.5" customHeight="1" x14ac:dyDescent="0.2">
      <c r="A42" s="13" t="s">
        <v>0</v>
      </c>
      <c r="B42" s="13">
        <v>41</v>
      </c>
      <c r="C42" s="13">
        <v>28</v>
      </c>
      <c r="D42" s="14">
        <f>SUM(B42:C42)</f>
        <v>69</v>
      </c>
      <c r="E42" s="124">
        <f t="shared" ref="E42:E48" si="12">D42/122</f>
        <v>0.56557377049180324</v>
      </c>
      <c r="F42" s="125"/>
      <c r="G42" s="37">
        <v>498</v>
      </c>
      <c r="H42" s="37">
        <v>548</v>
      </c>
      <c r="I42" s="14">
        <f>SUM(G42:H42)</f>
        <v>1046</v>
      </c>
      <c r="J42" s="124">
        <f t="shared" ref="J42:J48" si="13">I42/1385</f>
        <v>0.75523465703971115</v>
      </c>
      <c r="K42" s="125"/>
      <c r="L42" s="37">
        <v>70</v>
      </c>
      <c r="M42" s="37">
        <v>96</v>
      </c>
      <c r="N42" s="14">
        <f>SUM(L42:M42)</f>
        <v>166</v>
      </c>
      <c r="O42" s="124">
        <f t="shared" ref="O42:O48" si="14">N42/244</f>
        <v>0.68032786885245899</v>
      </c>
      <c r="P42" s="125"/>
    </row>
    <row r="43" spans="1:19" s="25" customFormat="1" ht="13.5" customHeight="1" x14ac:dyDescent="0.2">
      <c r="A43" s="13" t="s">
        <v>12</v>
      </c>
      <c r="B43" s="15">
        <v>6</v>
      </c>
      <c r="C43" s="15">
        <v>2</v>
      </c>
      <c r="D43" s="14">
        <f t="shared" ref="D43:D47" si="15">SUM(B43:C43)</f>
        <v>8</v>
      </c>
      <c r="E43" s="124">
        <f t="shared" si="12"/>
        <v>6.5573770491803282E-2</v>
      </c>
      <c r="F43" s="125"/>
      <c r="G43" s="37">
        <v>87</v>
      </c>
      <c r="H43" s="37">
        <v>60</v>
      </c>
      <c r="I43" s="14">
        <f t="shared" ref="I43:I47" si="16">SUM(G43:H43)</f>
        <v>147</v>
      </c>
      <c r="J43" s="124">
        <f t="shared" si="13"/>
        <v>0.10613718411552346</v>
      </c>
      <c r="K43" s="125"/>
      <c r="L43" s="37">
        <v>16</v>
      </c>
      <c r="M43" s="37">
        <v>11</v>
      </c>
      <c r="N43" s="14">
        <f t="shared" ref="N43:N47" si="17">SUM(L43:M43)</f>
        <v>27</v>
      </c>
      <c r="O43" s="124">
        <f t="shared" si="14"/>
        <v>0.11065573770491803</v>
      </c>
      <c r="P43" s="125"/>
    </row>
    <row r="44" spans="1:19" s="25" customFormat="1" ht="13.5" customHeight="1" x14ac:dyDescent="0.2">
      <c r="A44" s="13" t="s">
        <v>2</v>
      </c>
      <c r="B44" s="13">
        <v>4</v>
      </c>
      <c r="C44" s="13">
        <v>0</v>
      </c>
      <c r="D44" s="14">
        <f t="shared" si="15"/>
        <v>4</v>
      </c>
      <c r="E44" s="18">
        <f t="shared" si="12"/>
        <v>3.2786885245901641E-2</v>
      </c>
      <c r="F44" s="117">
        <f>SUM(E44:E47)</f>
        <v>9.0163934426229511E-2</v>
      </c>
      <c r="G44" s="37">
        <v>57</v>
      </c>
      <c r="H44" s="37">
        <v>0</v>
      </c>
      <c r="I44" s="14">
        <f t="shared" si="16"/>
        <v>57</v>
      </c>
      <c r="J44" s="18">
        <f t="shared" si="13"/>
        <v>4.1155234657039713E-2</v>
      </c>
      <c r="K44" s="117">
        <f>SUM(J44:J47)</f>
        <v>9.4584837545126366E-2</v>
      </c>
      <c r="L44" s="37">
        <v>12</v>
      </c>
      <c r="M44" s="37">
        <v>0</v>
      </c>
      <c r="N44" s="14">
        <f t="shared" si="17"/>
        <v>12</v>
      </c>
      <c r="O44" s="18">
        <f t="shared" si="14"/>
        <v>4.9180327868852458E-2</v>
      </c>
      <c r="P44" s="117">
        <f>SUM(O44:O47)</f>
        <v>0.12704918032786885</v>
      </c>
    </row>
    <row r="45" spans="1:19" s="25" customFormat="1" ht="13.5" customHeight="1" x14ac:dyDescent="0.2">
      <c r="A45" s="13" t="s">
        <v>3</v>
      </c>
      <c r="B45" s="13">
        <v>4</v>
      </c>
      <c r="C45" s="13">
        <v>0</v>
      </c>
      <c r="D45" s="14">
        <f t="shared" si="15"/>
        <v>4</v>
      </c>
      <c r="E45" s="18">
        <f t="shared" si="12"/>
        <v>3.2786885245901641E-2</v>
      </c>
      <c r="F45" s="118"/>
      <c r="G45" s="37">
        <v>15</v>
      </c>
      <c r="H45" s="37">
        <v>3</v>
      </c>
      <c r="I45" s="14">
        <f t="shared" si="16"/>
        <v>18</v>
      </c>
      <c r="J45" s="18">
        <f t="shared" si="13"/>
        <v>1.2996389891696752E-2</v>
      </c>
      <c r="K45" s="118"/>
      <c r="L45" s="37">
        <v>1</v>
      </c>
      <c r="M45" s="37">
        <v>0</v>
      </c>
      <c r="N45" s="14">
        <f t="shared" si="17"/>
        <v>1</v>
      </c>
      <c r="O45" s="18">
        <f t="shared" si="14"/>
        <v>4.0983606557377051E-3</v>
      </c>
      <c r="P45" s="118"/>
    </row>
    <row r="46" spans="1:19" s="25" customFormat="1" ht="13.5" customHeight="1" x14ac:dyDescent="0.2">
      <c r="A46" s="13" t="s">
        <v>4</v>
      </c>
      <c r="B46" s="13">
        <v>2</v>
      </c>
      <c r="C46" s="13">
        <v>1</v>
      </c>
      <c r="D46" s="14">
        <f t="shared" si="15"/>
        <v>3</v>
      </c>
      <c r="E46" s="18">
        <f t="shared" si="12"/>
        <v>2.4590163934426229E-2</v>
      </c>
      <c r="F46" s="118"/>
      <c r="G46" s="37">
        <v>43</v>
      </c>
      <c r="H46" s="37">
        <v>11</v>
      </c>
      <c r="I46" s="14">
        <f t="shared" si="16"/>
        <v>54</v>
      </c>
      <c r="J46" s="18">
        <f t="shared" si="13"/>
        <v>3.8989169675090252E-2</v>
      </c>
      <c r="K46" s="118"/>
      <c r="L46" s="37">
        <v>14</v>
      </c>
      <c r="M46" s="37">
        <v>3</v>
      </c>
      <c r="N46" s="14">
        <f t="shared" si="17"/>
        <v>17</v>
      </c>
      <c r="O46" s="18">
        <f t="shared" si="14"/>
        <v>6.9672131147540978E-2</v>
      </c>
      <c r="P46" s="118"/>
    </row>
    <row r="47" spans="1:19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5"/>
        <v>0</v>
      </c>
      <c r="E47" s="18">
        <f t="shared" si="12"/>
        <v>0</v>
      </c>
      <c r="F47" s="119"/>
      <c r="G47" s="37">
        <v>1</v>
      </c>
      <c r="H47" s="37">
        <v>1</v>
      </c>
      <c r="I47" s="14">
        <f t="shared" si="16"/>
        <v>2</v>
      </c>
      <c r="J47" s="18">
        <f t="shared" si="13"/>
        <v>1.4440433212996389E-3</v>
      </c>
      <c r="K47" s="119"/>
      <c r="L47" s="37">
        <v>1</v>
      </c>
      <c r="M47" s="37">
        <v>0</v>
      </c>
      <c r="N47" s="14">
        <f t="shared" si="17"/>
        <v>1</v>
      </c>
      <c r="O47" s="18">
        <f t="shared" si="14"/>
        <v>4.0983606557377051E-3</v>
      </c>
      <c r="P47" s="119"/>
    </row>
    <row r="48" spans="1:19" s="25" customFormat="1" ht="13.5" customHeight="1" x14ac:dyDescent="0.2">
      <c r="A48" s="19" t="s">
        <v>8</v>
      </c>
      <c r="B48" s="20">
        <f>SUM(B42:B47)</f>
        <v>57</v>
      </c>
      <c r="C48" s="20">
        <f>SUM(C42:C47)</f>
        <v>31</v>
      </c>
      <c r="D48" s="21">
        <f>D42+D43+B41+D44+D45+D46+D47</f>
        <v>122</v>
      </c>
      <c r="E48" s="120">
        <f t="shared" si="12"/>
        <v>1</v>
      </c>
      <c r="F48" s="121"/>
      <c r="G48" s="20">
        <f>SUM(G42:G47)</f>
        <v>701</v>
      </c>
      <c r="H48" s="20">
        <f>SUM(H42:H47)</f>
        <v>623</v>
      </c>
      <c r="I48" s="21">
        <f>I42+I43+G41+I44+I45+I46+I47</f>
        <v>1385</v>
      </c>
      <c r="J48" s="120">
        <f t="shared" si="13"/>
        <v>1</v>
      </c>
      <c r="K48" s="122"/>
      <c r="L48" s="20">
        <f>SUM(L42:L47)</f>
        <v>114</v>
      </c>
      <c r="M48" s="20">
        <f>SUM(M42:M47)</f>
        <v>110</v>
      </c>
      <c r="N48" s="21">
        <f>N42+N43+L41+N44+N45+N46+N47</f>
        <v>244</v>
      </c>
      <c r="O48" s="120">
        <f t="shared" si="14"/>
        <v>1</v>
      </c>
      <c r="P48" s="122"/>
    </row>
    <row r="52" spans="14:16" ht="34.5" customHeight="1" x14ac:dyDescent="0.3">
      <c r="N52" s="145">
        <v>11</v>
      </c>
      <c r="O52" s="145"/>
      <c r="P52" s="145"/>
    </row>
  </sheetData>
  <mergeCells count="76"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  <mergeCell ref="E10:F10"/>
    <mergeCell ref="J10:K10"/>
    <mergeCell ref="O10:P10"/>
    <mergeCell ref="E11:F11"/>
    <mergeCell ref="J11:K11"/>
    <mergeCell ref="O11:P11"/>
    <mergeCell ref="F12:F15"/>
    <mergeCell ref="K12:K15"/>
    <mergeCell ref="P12:P15"/>
    <mergeCell ref="E16:F16"/>
    <mergeCell ref="J16:K16"/>
    <mergeCell ref="O16:P16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E26:F26"/>
    <mergeCell ref="J26:K26"/>
    <mergeCell ref="O26:P26"/>
    <mergeCell ref="E27:F27"/>
    <mergeCell ref="J27:K27"/>
    <mergeCell ref="O27:P27"/>
    <mergeCell ref="F28:F31"/>
    <mergeCell ref="K28:K31"/>
    <mergeCell ref="P28:P31"/>
    <mergeCell ref="E32:F32"/>
    <mergeCell ref="J32:K32"/>
    <mergeCell ref="O32:P32"/>
    <mergeCell ref="O41:P41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E42:F42"/>
    <mergeCell ref="J42:K42"/>
    <mergeCell ref="O42:P42"/>
    <mergeCell ref="E43:F43"/>
    <mergeCell ref="J43:K43"/>
    <mergeCell ref="O43:P43"/>
    <mergeCell ref="N52:P52"/>
    <mergeCell ref="F44:F47"/>
    <mergeCell ref="K44:K47"/>
    <mergeCell ref="P44:P47"/>
    <mergeCell ref="E48:F48"/>
    <mergeCell ref="J48:K48"/>
    <mergeCell ref="O48:P48"/>
  </mergeCells>
  <pageMargins left="0.59055118110236227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XFD1048576"/>
    </sheetView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</cols>
  <sheetData>
    <row r="1" spans="1:16" ht="13.5" customHeight="1" x14ac:dyDescent="0.2"/>
    <row r="2" spans="1:16" ht="13.5" customHeight="1" x14ac:dyDescent="0.2"/>
    <row r="3" spans="1:16" ht="13.5" customHeight="1" x14ac:dyDescent="0.2"/>
    <row r="4" spans="1:16" ht="13.5" customHeight="1" x14ac:dyDescent="0.2"/>
    <row r="5" spans="1:16" ht="13.5" customHeight="1" x14ac:dyDescent="0.2">
      <c r="A5" s="141" t="s">
        <v>29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</row>
    <row r="6" spans="1:16" ht="13.5" customHeight="1" x14ac:dyDescent="0.2"/>
    <row r="7" spans="1:16" ht="13.5" customHeight="1" x14ac:dyDescent="0.2">
      <c r="A7" s="11"/>
      <c r="B7" s="128" t="s">
        <v>10</v>
      </c>
      <c r="C7" s="128"/>
      <c r="D7" s="128"/>
      <c r="E7" s="128"/>
      <c r="F7" s="128"/>
      <c r="G7" s="128" t="s">
        <v>11</v>
      </c>
      <c r="H7" s="128"/>
      <c r="I7" s="128"/>
      <c r="J7" s="128"/>
      <c r="K7" s="128"/>
      <c r="L7" s="128" t="s">
        <v>16</v>
      </c>
      <c r="M7" s="128"/>
      <c r="N7" s="128"/>
      <c r="O7" s="128"/>
      <c r="P7" s="128"/>
    </row>
    <row r="8" spans="1:16" ht="47.25" customHeight="1" x14ac:dyDescent="0.2">
      <c r="A8" s="11"/>
      <c r="B8" s="70" t="s">
        <v>6</v>
      </c>
      <c r="C8" s="70" t="s">
        <v>7</v>
      </c>
      <c r="D8" s="70" t="s">
        <v>8</v>
      </c>
      <c r="E8" s="129" t="s">
        <v>9</v>
      </c>
      <c r="F8" s="129"/>
      <c r="G8" s="71" t="s">
        <v>6</v>
      </c>
      <c r="H8" s="71" t="s">
        <v>7</v>
      </c>
      <c r="I8" s="71" t="s">
        <v>8</v>
      </c>
      <c r="J8" s="129" t="s">
        <v>9</v>
      </c>
      <c r="K8" s="129"/>
      <c r="L8" s="71" t="s">
        <v>6</v>
      </c>
      <c r="M8" s="71" t="s">
        <v>7</v>
      </c>
      <c r="N8" s="71" t="s">
        <v>8</v>
      </c>
      <c r="O8" s="129" t="s">
        <v>9</v>
      </c>
      <c r="P8" s="129"/>
    </row>
    <row r="9" spans="1:16" ht="13.5" customHeight="1" x14ac:dyDescent="0.2">
      <c r="A9" s="13" t="s">
        <v>1</v>
      </c>
      <c r="B9" s="130">
        <v>71</v>
      </c>
      <c r="C9" s="131"/>
      <c r="D9" s="132"/>
      <c r="E9" s="124">
        <f>B9/212</f>
        <v>0.33490566037735847</v>
      </c>
      <c r="F9" s="125"/>
      <c r="G9" s="133">
        <v>943</v>
      </c>
      <c r="H9" s="134"/>
      <c r="I9" s="135"/>
      <c r="J9" s="124">
        <f>G9/4603</f>
        <v>0.20486639148381491</v>
      </c>
      <c r="K9" s="125"/>
      <c r="L9" s="133">
        <v>96</v>
      </c>
      <c r="M9" s="134"/>
      <c r="N9" s="135"/>
      <c r="O9" s="124">
        <f>L9/434</f>
        <v>0.22119815668202766</v>
      </c>
      <c r="P9" s="125"/>
    </row>
    <row r="10" spans="1:16" ht="13.5" customHeight="1" x14ac:dyDescent="0.2">
      <c r="A10" s="13" t="s">
        <v>0</v>
      </c>
      <c r="B10" s="13">
        <v>42</v>
      </c>
      <c r="C10" s="13">
        <v>49</v>
      </c>
      <c r="D10" s="14">
        <f>SUM(B10:C10)</f>
        <v>91</v>
      </c>
      <c r="E10" s="124">
        <f>D10/212</f>
        <v>0.42924528301886794</v>
      </c>
      <c r="F10" s="125"/>
      <c r="G10" s="37">
        <v>1201</v>
      </c>
      <c r="H10" s="37">
        <v>1059</v>
      </c>
      <c r="I10" s="38">
        <f>SUM(G10:H10)</f>
        <v>2260</v>
      </c>
      <c r="J10" s="124">
        <f>I10/4603</f>
        <v>0.49098414077775365</v>
      </c>
      <c r="K10" s="125"/>
      <c r="L10" s="37">
        <v>103</v>
      </c>
      <c r="M10" s="37">
        <v>108</v>
      </c>
      <c r="N10" s="38">
        <f>SUM(L10:M10)</f>
        <v>211</v>
      </c>
      <c r="O10" s="124">
        <f>N10/434</f>
        <v>0.48617511520737328</v>
      </c>
      <c r="P10" s="125"/>
    </row>
    <row r="11" spans="1:16" ht="13.5" customHeight="1" x14ac:dyDescent="0.2">
      <c r="A11" s="13" t="s">
        <v>12</v>
      </c>
      <c r="B11" s="15">
        <v>15</v>
      </c>
      <c r="C11" s="15">
        <v>3</v>
      </c>
      <c r="D11" s="14">
        <f t="shared" ref="D11:D15" si="0">SUM(B11:C11)</f>
        <v>18</v>
      </c>
      <c r="E11" s="124">
        <f>D11/212</f>
        <v>8.4905660377358486E-2</v>
      </c>
      <c r="F11" s="125"/>
      <c r="G11" s="37">
        <v>153</v>
      </c>
      <c r="H11" s="37">
        <v>348</v>
      </c>
      <c r="I11" s="38">
        <f t="shared" ref="I11:I15" si="1">SUM(G11:H11)</f>
        <v>501</v>
      </c>
      <c r="J11" s="124">
        <f>I11/4603</f>
        <v>0.10884205952639583</v>
      </c>
      <c r="K11" s="125"/>
      <c r="L11" s="37">
        <v>19</v>
      </c>
      <c r="M11" s="37">
        <v>16</v>
      </c>
      <c r="N11" s="38">
        <f t="shared" ref="N11:N15" si="2">SUM(L11:M11)</f>
        <v>35</v>
      </c>
      <c r="O11" s="124">
        <f>N11/434</f>
        <v>8.0645161290322578E-2</v>
      </c>
      <c r="P11" s="125"/>
    </row>
    <row r="12" spans="1:16" ht="13.5" customHeight="1" x14ac:dyDescent="0.2">
      <c r="A12" s="13" t="s">
        <v>2</v>
      </c>
      <c r="B12" s="13">
        <v>16</v>
      </c>
      <c r="C12" s="13">
        <v>0</v>
      </c>
      <c r="D12" s="14">
        <f t="shared" si="0"/>
        <v>16</v>
      </c>
      <c r="E12" s="18">
        <f>D12/212</f>
        <v>7.5471698113207544E-2</v>
      </c>
      <c r="F12" s="117">
        <f>SUM(E12:E15)</f>
        <v>0.15094339622641512</v>
      </c>
      <c r="G12" s="37">
        <v>502</v>
      </c>
      <c r="H12" s="37">
        <v>9</v>
      </c>
      <c r="I12" s="38">
        <f t="shared" si="1"/>
        <v>511</v>
      </c>
      <c r="J12" s="18">
        <f>I12/4603</f>
        <v>0.11101455572452748</v>
      </c>
      <c r="K12" s="117">
        <f>SUM(J12:J15)</f>
        <v>0.19530740821203563</v>
      </c>
      <c r="L12" s="37">
        <v>34</v>
      </c>
      <c r="M12" s="37">
        <v>0</v>
      </c>
      <c r="N12" s="38">
        <f t="shared" si="2"/>
        <v>34</v>
      </c>
      <c r="O12" s="18">
        <f>N12/434</f>
        <v>7.8341013824884786E-2</v>
      </c>
      <c r="P12" s="117">
        <f>SUM(O12:O15)</f>
        <v>0.2119815668202765</v>
      </c>
    </row>
    <row r="13" spans="1:16" ht="13.5" customHeight="1" x14ac:dyDescent="0.2">
      <c r="A13" s="13" t="s">
        <v>3</v>
      </c>
      <c r="B13" s="13">
        <v>6</v>
      </c>
      <c r="C13" s="13">
        <v>0</v>
      </c>
      <c r="D13" s="14">
        <f t="shared" si="0"/>
        <v>6</v>
      </c>
      <c r="E13" s="18">
        <f t="shared" ref="E13:E15" si="3">D13/212</f>
        <v>2.8301886792452831E-2</v>
      </c>
      <c r="F13" s="118"/>
      <c r="G13" s="37">
        <v>113</v>
      </c>
      <c r="H13" s="37">
        <v>22</v>
      </c>
      <c r="I13" s="38">
        <f t="shared" si="1"/>
        <v>135</v>
      </c>
      <c r="J13" s="18">
        <f t="shared" ref="J13:J15" si="4">I13/4603</f>
        <v>2.9328698674777318E-2</v>
      </c>
      <c r="K13" s="118"/>
      <c r="L13" s="37">
        <v>13</v>
      </c>
      <c r="M13" s="37">
        <v>2</v>
      </c>
      <c r="N13" s="38">
        <f t="shared" si="2"/>
        <v>15</v>
      </c>
      <c r="O13" s="18">
        <f t="shared" ref="O13:O15" si="5">N13/434</f>
        <v>3.4562211981566823E-2</v>
      </c>
      <c r="P13" s="118"/>
    </row>
    <row r="14" spans="1:16" ht="13.5" customHeight="1" x14ac:dyDescent="0.2">
      <c r="A14" s="13" t="s">
        <v>4</v>
      </c>
      <c r="B14" s="13">
        <v>9</v>
      </c>
      <c r="C14" s="13">
        <v>1</v>
      </c>
      <c r="D14" s="14">
        <f t="shared" si="0"/>
        <v>10</v>
      </c>
      <c r="E14" s="18">
        <f t="shared" si="3"/>
        <v>4.716981132075472E-2</v>
      </c>
      <c r="F14" s="118"/>
      <c r="G14" s="37">
        <v>199</v>
      </c>
      <c r="H14" s="37">
        <v>34</v>
      </c>
      <c r="I14" s="38">
        <f t="shared" si="1"/>
        <v>233</v>
      </c>
      <c r="J14" s="18">
        <f t="shared" si="4"/>
        <v>5.0619161416467523E-2</v>
      </c>
      <c r="K14" s="118"/>
      <c r="L14" s="37">
        <v>30</v>
      </c>
      <c r="M14" s="37">
        <v>5</v>
      </c>
      <c r="N14" s="38">
        <f t="shared" si="2"/>
        <v>35</v>
      </c>
      <c r="O14" s="18">
        <f t="shared" si="5"/>
        <v>8.0645161290322578E-2</v>
      </c>
      <c r="P14" s="118"/>
    </row>
    <row r="15" spans="1:16" x14ac:dyDescent="0.2">
      <c r="A15" s="13" t="s">
        <v>5</v>
      </c>
      <c r="B15" s="13">
        <v>0</v>
      </c>
      <c r="C15" s="13">
        <v>0</v>
      </c>
      <c r="D15" s="14">
        <f t="shared" si="0"/>
        <v>0</v>
      </c>
      <c r="E15" s="18">
        <f t="shared" si="3"/>
        <v>0</v>
      </c>
      <c r="F15" s="119"/>
      <c r="G15" s="37">
        <v>15</v>
      </c>
      <c r="H15" s="37">
        <v>5</v>
      </c>
      <c r="I15" s="38">
        <f t="shared" si="1"/>
        <v>20</v>
      </c>
      <c r="J15" s="18">
        <f t="shared" si="4"/>
        <v>4.3449923962633067E-3</v>
      </c>
      <c r="K15" s="119"/>
      <c r="L15" s="37">
        <v>7</v>
      </c>
      <c r="M15" s="37">
        <v>1</v>
      </c>
      <c r="N15" s="38">
        <f t="shared" si="2"/>
        <v>8</v>
      </c>
      <c r="O15" s="18">
        <f t="shared" si="5"/>
        <v>1.8433179723502304E-2</v>
      </c>
      <c r="P15" s="119"/>
    </row>
    <row r="16" spans="1:16" x14ac:dyDescent="0.2">
      <c r="A16" s="19" t="s">
        <v>8</v>
      </c>
      <c r="B16" s="20">
        <f>SUM(B10:B15)</f>
        <v>88</v>
      </c>
      <c r="C16" s="20">
        <f>SUM(C10:C15)</f>
        <v>53</v>
      </c>
      <c r="D16" s="21">
        <f>D10+D11+B9+D12+D13+D14+D15</f>
        <v>212</v>
      </c>
      <c r="E16" s="120">
        <f>D16/212</f>
        <v>1</v>
      </c>
      <c r="F16" s="121"/>
      <c r="G16" s="74">
        <f>SUM(G10:G15)</f>
        <v>2183</v>
      </c>
      <c r="H16" s="74">
        <f>SUM(H10:H15)</f>
        <v>1477</v>
      </c>
      <c r="I16" s="75">
        <f>I10+I11+G9+I12+I13+I14+I15</f>
        <v>4603</v>
      </c>
      <c r="J16" s="120">
        <f>I16/4603</f>
        <v>1</v>
      </c>
      <c r="K16" s="122"/>
      <c r="L16" s="74">
        <f>SUM(L10:L15)</f>
        <v>206</v>
      </c>
      <c r="M16" s="74">
        <f>SUM(M10:M15)</f>
        <v>132</v>
      </c>
      <c r="N16" s="75">
        <f>N10+N11+L9+N12+N13+N14+N15</f>
        <v>434</v>
      </c>
      <c r="O16" s="120">
        <f>N16/434</f>
        <v>1</v>
      </c>
      <c r="P16" s="122"/>
    </row>
    <row r="17" spans="1:19" s="5" customFormat="1" ht="13.5" customHeight="1" x14ac:dyDescent="0.2">
      <c r="A17" s="1"/>
      <c r="B17" s="2"/>
      <c r="C17" s="2"/>
      <c r="D17" s="3"/>
      <c r="E17" s="4"/>
      <c r="F17" s="4"/>
      <c r="G17" s="2"/>
      <c r="H17" s="2"/>
      <c r="I17" s="3"/>
      <c r="J17" s="4"/>
      <c r="K17" s="4"/>
    </row>
    <row r="18" spans="1:19" s="5" customFormat="1" ht="13.5" customHeight="1" x14ac:dyDescent="0.2">
      <c r="A18" s="1"/>
      <c r="B18" s="2"/>
      <c r="C18" s="2"/>
      <c r="D18" s="3"/>
      <c r="E18" s="4"/>
      <c r="F18" s="4"/>
      <c r="G18" s="2"/>
      <c r="H18" s="2"/>
      <c r="I18" s="3"/>
      <c r="J18" s="4"/>
      <c r="K18" s="4"/>
    </row>
    <row r="19" spans="1:19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19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</row>
    <row r="21" spans="1:19" s="5" customFormat="1" ht="13.5" customHeight="1" x14ac:dyDescent="0.2">
      <c r="A21" s="126" t="s">
        <v>30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19" s="5" customFormat="1" ht="13.5" customHeight="1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</row>
    <row r="23" spans="1:19" s="23" customFormat="1" ht="13.5" customHeight="1" x14ac:dyDescent="0.2">
      <c r="A23" s="22"/>
      <c r="B23" s="128" t="s">
        <v>10</v>
      </c>
      <c r="C23" s="128"/>
      <c r="D23" s="128"/>
      <c r="E23" s="128"/>
      <c r="F23" s="128"/>
      <c r="G23" s="128" t="s">
        <v>11</v>
      </c>
      <c r="H23" s="128"/>
      <c r="I23" s="128"/>
      <c r="J23" s="128"/>
      <c r="K23" s="128"/>
      <c r="L23" s="128" t="s">
        <v>16</v>
      </c>
      <c r="M23" s="128"/>
      <c r="N23" s="128"/>
      <c r="O23" s="128"/>
      <c r="P23" s="128"/>
    </row>
    <row r="24" spans="1:19" s="23" customFormat="1" ht="45.75" x14ac:dyDescent="0.2">
      <c r="A24" s="22"/>
      <c r="B24" s="72" t="s">
        <v>6</v>
      </c>
      <c r="C24" s="72" t="s">
        <v>7</v>
      </c>
      <c r="D24" s="72" t="s">
        <v>8</v>
      </c>
      <c r="E24" s="140" t="s">
        <v>9</v>
      </c>
      <c r="F24" s="140"/>
      <c r="G24" s="72" t="s">
        <v>6</v>
      </c>
      <c r="H24" s="72" t="s">
        <v>7</v>
      </c>
      <c r="I24" s="72" t="s">
        <v>8</v>
      </c>
      <c r="J24" s="144" t="s">
        <v>9</v>
      </c>
      <c r="K24" s="144"/>
      <c r="L24" s="70" t="s">
        <v>6</v>
      </c>
      <c r="M24" s="70" t="s">
        <v>7</v>
      </c>
      <c r="N24" s="70" t="s">
        <v>8</v>
      </c>
      <c r="O24" s="129" t="s">
        <v>9</v>
      </c>
      <c r="P24" s="129"/>
    </row>
    <row r="25" spans="1:19" s="25" customFormat="1" ht="13.5" customHeight="1" x14ac:dyDescent="0.2">
      <c r="A25" s="13" t="s">
        <v>1</v>
      </c>
      <c r="B25" s="130">
        <v>29</v>
      </c>
      <c r="C25" s="131"/>
      <c r="D25" s="132"/>
      <c r="E25" s="124">
        <f>B25/69</f>
        <v>0.42028985507246375</v>
      </c>
      <c r="F25" s="125"/>
      <c r="G25" s="130">
        <v>836</v>
      </c>
      <c r="H25" s="131"/>
      <c r="I25" s="132"/>
      <c r="J25" s="124">
        <f>G25/2975</f>
        <v>0.28100840336134453</v>
      </c>
      <c r="K25" s="125"/>
      <c r="L25" s="130">
        <v>62</v>
      </c>
      <c r="M25" s="131"/>
      <c r="N25" s="132"/>
      <c r="O25" s="124">
        <f>L25/172</f>
        <v>0.36046511627906974</v>
      </c>
      <c r="P25" s="125"/>
      <c r="S25" s="39"/>
    </row>
    <row r="26" spans="1:19" s="25" customFormat="1" ht="13.5" customHeight="1" x14ac:dyDescent="0.2">
      <c r="A26" s="26" t="s">
        <v>0</v>
      </c>
      <c r="B26" s="26">
        <v>6</v>
      </c>
      <c r="C26" s="26">
        <v>17</v>
      </c>
      <c r="D26" s="14">
        <f>SUM(B26:C26)</f>
        <v>23</v>
      </c>
      <c r="E26" s="142">
        <f>D26/69</f>
        <v>0.33333333333333331</v>
      </c>
      <c r="F26" s="143"/>
      <c r="G26" s="28">
        <v>655</v>
      </c>
      <c r="H26" s="28">
        <v>463</v>
      </c>
      <c r="I26" s="14">
        <f>SUM(G26:H26)</f>
        <v>1118</v>
      </c>
      <c r="J26" s="124">
        <f>I26/2975</f>
        <v>0.37579831932773111</v>
      </c>
      <c r="K26" s="125"/>
      <c r="L26" s="15">
        <v>20</v>
      </c>
      <c r="M26" s="15">
        <v>24</v>
      </c>
      <c r="N26" s="14">
        <f>SUM(L26:M26)</f>
        <v>44</v>
      </c>
      <c r="O26" s="124">
        <f>N26/172</f>
        <v>0.2558139534883721</v>
      </c>
      <c r="P26" s="125"/>
    </row>
    <row r="27" spans="1:19" s="25" customFormat="1" ht="13.5" customHeight="1" x14ac:dyDescent="0.2">
      <c r="A27" s="26" t="s">
        <v>12</v>
      </c>
      <c r="B27" s="28">
        <v>2</v>
      </c>
      <c r="C27" s="28">
        <v>0</v>
      </c>
      <c r="D27" s="14">
        <f t="shared" ref="D27:D31" si="6">SUM(B27:C27)</f>
        <v>2</v>
      </c>
      <c r="E27" s="142">
        <f>D27/69</f>
        <v>2.8985507246376812E-2</v>
      </c>
      <c r="F27" s="143"/>
      <c r="G27" s="28">
        <v>59</v>
      </c>
      <c r="H27" s="28">
        <v>279</v>
      </c>
      <c r="I27" s="14">
        <f t="shared" ref="I27:I31" si="7">SUM(G27:H27)</f>
        <v>338</v>
      </c>
      <c r="J27" s="124">
        <f>I27/2975</f>
        <v>0.11361344537815125</v>
      </c>
      <c r="K27" s="125"/>
      <c r="L27" s="15">
        <v>5</v>
      </c>
      <c r="M27" s="15">
        <v>7</v>
      </c>
      <c r="N27" s="14">
        <f t="shared" ref="N27:N31" si="8">SUM(L27:M27)</f>
        <v>12</v>
      </c>
      <c r="O27" s="124">
        <f>N27/172</f>
        <v>6.9767441860465115E-2</v>
      </c>
      <c r="P27" s="125"/>
    </row>
    <row r="28" spans="1:19" s="25" customFormat="1" ht="13.5" customHeight="1" x14ac:dyDescent="0.2">
      <c r="A28" s="30" t="s">
        <v>2</v>
      </c>
      <c r="B28" s="30">
        <v>6</v>
      </c>
      <c r="C28" s="30">
        <v>0</v>
      </c>
      <c r="D28" s="14">
        <f t="shared" si="6"/>
        <v>6</v>
      </c>
      <c r="E28" s="36">
        <f>D28/69</f>
        <v>8.6956521739130432E-2</v>
      </c>
      <c r="F28" s="136">
        <f>SUM(E28:E31)</f>
        <v>0.21739130434782611</v>
      </c>
      <c r="G28" s="30">
        <v>408</v>
      </c>
      <c r="H28" s="30">
        <v>5</v>
      </c>
      <c r="I28" s="14">
        <f t="shared" si="7"/>
        <v>413</v>
      </c>
      <c r="J28" s="36">
        <f>I28/2975</f>
        <v>0.13882352941176471</v>
      </c>
      <c r="K28" s="136">
        <f>SUM(J28:J31)</f>
        <v>0.22957983193277312</v>
      </c>
      <c r="L28" s="13">
        <v>22</v>
      </c>
      <c r="M28" s="13">
        <v>0</v>
      </c>
      <c r="N28" s="14">
        <f t="shared" si="8"/>
        <v>22</v>
      </c>
      <c r="O28" s="18">
        <f>N28/172</f>
        <v>0.12790697674418605</v>
      </c>
      <c r="P28" s="117">
        <f>SUM(O28:O31)</f>
        <v>0.31395348837209303</v>
      </c>
    </row>
    <row r="29" spans="1:19" s="25" customFormat="1" ht="13.5" customHeight="1" x14ac:dyDescent="0.2">
      <c r="A29" s="30" t="s">
        <v>3</v>
      </c>
      <c r="B29" s="30">
        <v>4</v>
      </c>
      <c r="C29" s="30">
        <v>0</v>
      </c>
      <c r="D29" s="14">
        <f t="shared" si="6"/>
        <v>4</v>
      </c>
      <c r="E29" s="36">
        <f t="shared" ref="E29:E31" si="9">D29/69</f>
        <v>5.7971014492753624E-2</v>
      </c>
      <c r="F29" s="137"/>
      <c r="G29" s="30">
        <v>79</v>
      </c>
      <c r="H29" s="30">
        <v>16</v>
      </c>
      <c r="I29" s="14">
        <f t="shared" si="7"/>
        <v>95</v>
      </c>
      <c r="J29" s="36">
        <f t="shared" ref="J29:J31" si="10">I29/2975</f>
        <v>3.1932773109243695E-2</v>
      </c>
      <c r="K29" s="137"/>
      <c r="L29" s="13">
        <v>7</v>
      </c>
      <c r="M29" s="13">
        <v>1</v>
      </c>
      <c r="N29" s="14">
        <f t="shared" si="8"/>
        <v>8</v>
      </c>
      <c r="O29" s="18">
        <f t="shared" ref="O29:O31" si="11">N29/172</f>
        <v>4.6511627906976744E-2</v>
      </c>
      <c r="P29" s="118"/>
    </row>
    <row r="30" spans="1:19" s="25" customFormat="1" ht="13.5" customHeight="1" x14ac:dyDescent="0.2">
      <c r="A30" s="30" t="s">
        <v>4</v>
      </c>
      <c r="B30" s="30">
        <v>5</v>
      </c>
      <c r="C30" s="30">
        <v>0</v>
      </c>
      <c r="D30" s="14">
        <f t="shared" si="6"/>
        <v>5</v>
      </c>
      <c r="E30" s="36">
        <f t="shared" si="9"/>
        <v>7.2463768115942032E-2</v>
      </c>
      <c r="F30" s="137"/>
      <c r="G30" s="30">
        <v>147</v>
      </c>
      <c r="H30" s="30">
        <v>20</v>
      </c>
      <c r="I30" s="14">
        <f t="shared" si="7"/>
        <v>167</v>
      </c>
      <c r="J30" s="36">
        <f t="shared" si="10"/>
        <v>5.6134453781512605E-2</v>
      </c>
      <c r="K30" s="137"/>
      <c r="L30" s="13">
        <v>19</v>
      </c>
      <c r="M30" s="13">
        <v>1</v>
      </c>
      <c r="N30" s="14">
        <f t="shared" si="8"/>
        <v>20</v>
      </c>
      <c r="O30" s="18">
        <f t="shared" si="11"/>
        <v>0.11627906976744186</v>
      </c>
      <c r="P30" s="118"/>
    </row>
    <row r="31" spans="1:19" s="25" customFormat="1" ht="13.5" customHeight="1" x14ac:dyDescent="0.2">
      <c r="A31" s="30" t="s">
        <v>5</v>
      </c>
      <c r="B31" s="30">
        <v>0</v>
      </c>
      <c r="C31" s="30">
        <v>0</v>
      </c>
      <c r="D31" s="14">
        <f t="shared" si="6"/>
        <v>0</v>
      </c>
      <c r="E31" s="36">
        <f t="shared" si="9"/>
        <v>0</v>
      </c>
      <c r="F31" s="138"/>
      <c r="G31" s="30">
        <v>6</v>
      </c>
      <c r="H31" s="30">
        <v>2</v>
      </c>
      <c r="I31" s="14">
        <f t="shared" si="7"/>
        <v>8</v>
      </c>
      <c r="J31" s="36">
        <f t="shared" si="10"/>
        <v>2.6890756302521009E-3</v>
      </c>
      <c r="K31" s="138"/>
      <c r="L31" s="13">
        <v>4</v>
      </c>
      <c r="M31" s="13">
        <v>0</v>
      </c>
      <c r="N31" s="14">
        <f t="shared" si="8"/>
        <v>4</v>
      </c>
      <c r="O31" s="18">
        <f t="shared" si="11"/>
        <v>2.3255813953488372E-2</v>
      </c>
      <c r="P31" s="119"/>
    </row>
    <row r="32" spans="1:19" s="25" customFormat="1" ht="13.5" customHeight="1" x14ac:dyDescent="0.2">
      <c r="A32" s="32" t="s">
        <v>8</v>
      </c>
      <c r="B32" s="33">
        <f>SUM(B26:B31)</f>
        <v>23</v>
      </c>
      <c r="C32" s="33">
        <f>SUM(C26:C31)</f>
        <v>17</v>
      </c>
      <c r="D32" s="34">
        <f>D26+D27+B25+D28+D29+D30+D31</f>
        <v>69</v>
      </c>
      <c r="E32" s="139">
        <f>D32/69</f>
        <v>1</v>
      </c>
      <c r="F32" s="139"/>
      <c r="G32" s="33">
        <f>SUM(G26:G31)</f>
        <v>1354</v>
      </c>
      <c r="H32" s="33">
        <f>SUM(H26:H31)</f>
        <v>785</v>
      </c>
      <c r="I32" s="34">
        <f>I26+I27+G25+I28+I29+I30+I31</f>
        <v>2975</v>
      </c>
      <c r="J32" s="139">
        <f>I32/2975</f>
        <v>1</v>
      </c>
      <c r="K32" s="139"/>
      <c r="L32" s="20">
        <f>SUM(L26:L31)</f>
        <v>77</v>
      </c>
      <c r="M32" s="20">
        <f>SUM(M26:M31)</f>
        <v>33</v>
      </c>
      <c r="N32" s="21">
        <f>N26+N27+L25+N28+N29+N30+N31</f>
        <v>172</v>
      </c>
      <c r="O32" s="120">
        <f>N32/172</f>
        <v>1</v>
      </c>
      <c r="P32" s="122"/>
    </row>
    <row r="33" spans="1:19" s="5" customFormat="1" ht="13.5" customHeight="1" x14ac:dyDescent="0.3">
      <c r="A33" s="1"/>
      <c r="B33" s="2"/>
      <c r="C33" s="2"/>
      <c r="D33" s="3"/>
      <c r="E33" s="4"/>
      <c r="F33" s="4"/>
      <c r="G33" s="2"/>
      <c r="H33" s="2"/>
      <c r="I33" s="3"/>
      <c r="J33" s="4"/>
      <c r="K33" s="4"/>
      <c r="L33" s="6"/>
      <c r="N33" s="8"/>
      <c r="O33" s="9"/>
      <c r="P33" s="9"/>
    </row>
    <row r="34" spans="1:19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19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</row>
    <row r="36" spans="1:19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</row>
    <row r="37" spans="1:19" s="5" customFormat="1" ht="13.5" customHeight="1" x14ac:dyDescent="0.2">
      <c r="A37" s="126" t="s">
        <v>31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19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19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19" s="23" customFormat="1" ht="45.75" x14ac:dyDescent="0.2">
      <c r="A40" s="35"/>
      <c r="B40" s="70" t="s">
        <v>6</v>
      </c>
      <c r="C40" s="70" t="s">
        <v>7</v>
      </c>
      <c r="D40" s="70" t="s">
        <v>8</v>
      </c>
      <c r="E40" s="129" t="s">
        <v>9</v>
      </c>
      <c r="F40" s="129"/>
      <c r="G40" s="70" t="s">
        <v>6</v>
      </c>
      <c r="H40" s="70" t="s">
        <v>7</v>
      </c>
      <c r="I40" s="70" t="s">
        <v>8</v>
      </c>
      <c r="J40" s="129" t="s">
        <v>9</v>
      </c>
      <c r="K40" s="129"/>
      <c r="L40" s="70" t="s">
        <v>6</v>
      </c>
      <c r="M40" s="70" t="s">
        <v>7</v>
      </c>
      <c r="N40" s="70" t="s">
        <v>8</v>
      </c>
      <c r="O40" s="129" t="s">
        <v>9</v>
      </c>
      <c r="P40" s="129"/>
    </row>
    <row r="41" spans="1:19" s="25" customFormat="1" ht="13.5" customHeight="1" x14ac:dyDescent="0.2">
      <c r="A41" s="13" t="s">
        <v>1</v>
      </c>
      <c r="B41" s="130">
        <v>38</v>
      </c>
      <c r="C41" s="131"/>
      <c r="D41" s="132"/>
      <c r="E41" s="124">
        <f>B41/128</f>
        <v>0.296875</v>
      </c>
      <c r="F41" s="125"/>
      <c r="G41" s="133">
        <v>64</v>
      </c>
      <c r="H41" s="134"/>
      <c r="I41" s="135"/>
      <c r="J41" s="124">
        <f>G41/1330</f>
        <v>4.8120300751879702E-2</v>
      </c>
      <c r="K41" s="125"/>
      <c r="L41" s="133">
        <v>28</v>
      </c>
      <c r="M41" s="134"/>
      <c r="N41" s="135"/>
      <c r="O41" s="124">
        <f>L41/229</f>
        <v>0.1222707423580786</v>
      </c>
      <c r="P41" s="125"/>
      <c r="S41" s="39"/>
    </row>
    <row r="42" spans="1:19" s="25" customFormat="1" ht="13.5" customHeight="1" x14ac:dyDescent="0.2">
      <c r="A42" s="13" t="s">
        <v>0</v>
      </c>
      <c r="B42" s="13">
        <v>31</v>
      </c>
      <c r="C42" s="13">
        <v>31</v>
      </c>
      <c r="D42" s="14">
        <f>SUM(B42:C42)</f>
        <v>62</v>
      </c>
      <c r="E42" s="124">
        <f>D42/128</f>
        <v>0.484375</v>
      </c>
      <c r="F42" s="125"/>
      <c r="G42" s="37">
        <v>464</v>
      </c>
      <c r="H42" s="37">
        <v>523</v>
      </c>
      <c r="I42" s="14">
        <f>SUM(G42:H42)</f>
        <v>987</v>
      </c>
      <c r="J42" s="124">
        <f>I42/1330</f>
        <v>0.74210526315789471</v>
      </c>
      <c r="K42" s="125"/>
      <c r="L42" s="37">
        <v>76</v>
      </c>
      <c r="M42" s="37">
        <v>73</v>
      </c>
      <c r="N42" s="14">
        <f>SUM(L42:M42)</f>
        <v>149</v>
      </c>
      <c r="O42" s="124">
        <f>N42/229</f>
        <v>0.6506550218340611</v>
      </c>
      <c r="P42" s="125"/>
    </row>
    <row r="43" spans="1:19" s="25" customFormat="1" ht="13.5" customHeight="1" x14ac:dyDescent="0.2">
      <c r="A43" s="13" t="s">
        <v>12</v>
      </c>
      <c r="B43" s="15">
        <v>9</v>
      </c>
      <c r="C43" s="15">
        <v>3</v>
      </c>
      <c r="D43" s="14">
        <f t="shared" ref="D43:D47" si="12">SUM(B43:C43)</f>
        <v>12</v>
      </c>
      <c r="E43" s="124">
        <f>D43/128</f>
        <v>9.375E-2</v>
      </c>
      <c r="F43" s="125"/>
      <c r="G43" s="37">
        <v>81</v>
      </c>
      <c r="H43" s="37">
        <v>57</v>
      </c>
      <c r="I43" s="14">
        <f t="shared" ref="I43:I47" si="13">SUM(G43:H43)</f>
        <v>138</v>
      </c>
      <c r="J43" s="124">
        <f>I43/1330</f>
        <v>0.10375939849624061</v>
      </c>
      <c r="K43" s="125"/>
      <c r="L43" s="37">
        <v>12</v>
      </c>
      <c r="M43" s="37">
        <v>8</v>
      </c>
      <c r="N43" s="14">
        <f t="shared" ref="N43:N47" si="14">SUM(L43:M43)</f>
        <v>20</v>
      </c>
      <c r="O43" s="124">
        <f>N43/229</f>
        <v>8.7336244541484712E-2</v>
      </c>
      <c r="P43" s="125"/>
    </row>
    <row r="44" spans="1:19" s="25" customFormat="1" ht="13.5" customHeight="1" x14ac:dyDescent="0.2">
      <c r="A44" s="13" t="s">
        <v>2</v>
      </c>
      <c r="B44" s="13">
        <v>10</v>
      </c>
      <c r="C44" s="13">
        <v>0</v>
      </c>
      <c r="D44" s="14">
        <f t="shared" si="12"/>
        <v>10</v>
      </c>
      <c r="E44" s="18">
        <f>D44/128</f>
        <v>7.8125E-2</v>
      </c>
      <c r="F44" s="117">
        <f>SUM(E44:E47)</f>
        <v>0.125</v>
      </c>
      <c r="G44" s="37">
        <v>55</v>
      </c>
      <c r="H44" s="37">
        <v>2</v>
      </c>
      <c r="I44" s="14">
        <f t="shared" si="13"/>
        <v>57</v>
      </c>
      <c r="J44" s="18">
        <f>I44/1330</f>
        <v>4.2857142857142858E-2</v>
      </c>
      <c r="K44" s="117">
        <f>SUM(J44:J47)</f>
        <v>0.10601503759398495</v>
      </c>
      <c r="L44" s="37">
        <v>10</v>
      </c>
      <c r="M44" s="37">
        <v>0</v>
      </c>
      <c r="N44" s="14">
        <f t="shared" si="14"/>
        <v>10</v>
      </c>
      <c r="O44" s="18">
        <f>N44/229</f>
        <v>4.3668122270742356E-2</v>
      </c>
      <c r="P44" s="117">
        <f>SUM(O44:O47)</f>
        <v>0.13973799126637554</v>
      </c>
    </row>
    <row r="45" spans="1:19" s="25" customFormat="1" ht="13.5" customHeight="1" x14ac:dyDescent="0.2">
      <c r="A45" s="13" t="s">
        <v>3</v>
      </c>
      <c r="B45" s="13">
        <v>2</v>
      </c>
      <c r="C45" s="13">
        <v>0</v>
      </c>
      <c r="D45" s="14">
        <f t="shared" si="12"/>
        <v>2</v>
      </c>
      <c r="E45" s="18">
        <f t="shared" ref="E45:E47" si="15">D45/128</f>
        <v>1.5625E-2</v>
      </c>
      <c r="F45" s="118"/>
      <c r="G45" s="37">
        <v>27</v>
      </c>
      <c r="H45" s="37">
        <v>2</v>
      </c>
      <c r="I45" s="14">
        <f t="shared" si="13"/>
        <v>29</v>
      </c>
      <c r="J45" s="18">
        <f t="shared" ref="J45:J47" si="16">I45/1330</f>
        <v>2.180451127819549E-2</v>
      </c>
      <c r="K45" s="118"/>
      <c r="L45" s="37">
        <v>5</v>
      </c>
      <c r="M45" s="37">
        <v>1</v>
      </c>
      <c r="N45" s="14">
        <f t="shared" si="14"/>
        <v>6</v>
      </c>
      <c r="O45" s="18">
        <f t="shared" ref="O45:O47" si="17">N45/229</f>
        <v>2.6200873362445413E-2</v>
      </c>
      <c r="P45" s="118"/>
    </row>
    <row r="46" spans="1:19" s="25" customFormat="1" ht="13.5" customHeight="1" x14ac:dyDescent="0.2">
      <c r="A46" s="13" t="s">
        <v>4</v>
      </c>
      <c r="B46" s="13">
        <v>3</v>
      </c>
      <c r="C46" s="13">
        <v>1</v>
      </c>
      <c r="D46" s="14">
        <f t="shared" si="12"/>
        <v>4</v>
      </c>
      <c r="E46" s="18">
        <f t="shared" si="15"/>
        <v>3.125E-2</v>
      </c>
      <c r="F46" s="118"/>
      <c r="G46" s="37">
        <v>39</v>
      </c>
      <c r="H46" s="37">
        <v>10</v>
      </c>
      <c r="I46" s="14">
        <f t="shared" si="13"/>
        <v>49</v>
      </c>
      <c r="J46" s="18">
        <f t="shared" si="16"/>
        <v>3.6842105263157891E-2</v>
      </c>
      <c r="K46" s="118"/>
      <c r="L46" s="37">
        <v>10</v>
      </c>
      <c r="M46" s="37">
        <v>3</v>
      </c>
      <c r="N46" s="14">
        <f t="shared" si="14"/>
        <v>13</v>
      </c>
      <c r="O46" s="18">
        <f t="shared" si="17"/>
        <v>5.6768558951965066E-2</v>
      </c>
      <c r="P46" s="118"/>
    </row>
    <row r="47" spans="1:19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3</v>
      </c>
      <c r="H47" s="37">
        <v>3</v>
      </c>
      <c r="I47" s="14">
        <f t="shared" si="13"/>
        <v>6</v>
      </c>
      <c r="J47" s="18">
        <f t="shared" si="16"/>
        <v>4.5112781954887221E-3</v>
      </c>
      <c r="K47" s="119"/>
      <c r="L47" s="37">
        <v>2</v>
      </c>
      <c r="M47" s="37">
        <v>1</v>
      </c>
      <c r="N47" s="14">
        <f t="shared" si="14"/>
        <v>3</v>
      </c>
      <c r="O47" s="18">
        <f t="shared" si="17"/>
        <v>1.3100436681222707E-2</v>
      </c>
      <c r="P47" s="119"/>
    </row>
    <row r="48" spans="1:19" s="25" customFormat="1" ht="13.5" customHeight="1" x14ac:dyDescent="0.2">
      <c r="A48" s="19" t="s">
        <v>8</v>
      </c>
      <c r="B48" s="20">
        <f>SUM(B42:B47)</f>
        <v>55</v>
      </c>
      <c r="C48" s="20">
        <f>SUM(C42:C47)</f>
        <v>35</v>
      </c>
      <c r="D48" s="21">
        <f>D42+D43+B41+D44+D45+D46+D47</f>
        <v>128</v>
      </c>
      <c r="E48" s="120">
        <f>D48/128</f>
        <v>1</v>
      </c>
      <c r="F48" s="121"/>
      <c r="G48" s="20">
        <f>SUM(G42:G47)</f>
        <v>669</v>
      </c>
      <c r="H48" s="20">
        <f>SUM(H42:H47)</f>
        <v>597</v>
      </c>
      <c r="I48" s="21">
        <f>I42+I43+G41+I44+I45+I46+I47</f>
        <v>1330</v>
      </c>
      <c r="J48" s="120">
        <f>I48/1330</f>
        <v>1</v>
      </c>
      <c r="K48" s="122"/>
      <c r="L48" s="20">
        <f>SUM(L42:L47)</f>
        <v>115</v>
      </c>
      <c r="M48" s="20">
        <f>SUM(M42:M47)</f>
        <v>86</v>
      </c>
      <c r="N48" s="21">
        <f>N42+N43+L41+N44+N45+N46+N47</f>
        <v>229</v>
      </c>
      <c r="O48" s="120">
        <f>N48/229</f>
        <v>1</v>
      </c>
      <c r="P48" s="122"/>
    </row>
    <row r="52" spans="14:16" ht="34.5" customHeight="1" x14ac:dyDescent="0.3">
      <c r="N52" s="145">
        <v>11</v>
      </c>
      <c r="O52" s="145"/>
      <c r="P52" s="145"/>
    </row>
  </sheetData>
  <mergeCells count="76">
    <mergeCell ref="O9:P9"/>
    <mergeCell ref="A5:P5"/>
    <mergeCell ref="B7:F7"/>
    <mergeCell ref="G7:K7"/>
    <mergeCell ref="L7:P7"/>
    <mergeCell ref="E8:F8"/>
    <mergeCell ref="J8:K8"/>
    <mergeCell ref="O8:P8"/>
    <mergeCell ref="B9:D9"/>
    <mergeCell ref="E9:F9"/>
    <mergeCell ref="G9:I9"/>
    <mergeCell ref="J9:K9"/>
    <mergeCell ref="L9:N9"/>
    <mergeCell ref="E10:F10"/>
    <mergeCell ref="J10:K10"/>
    <mergeCell ref="O10:P10"/>
    <mergeCell ref="E11:F11"/>
    <mergeCell ref="J11:K11"/>
    <mergeCell ref="O11:P11"/>
    <mergeCell ref="F12:F15"/>
    <mergeCell ref="K12:K15"/>
    <mergeCell ref="P12:P15"/>
    <mergeCell ref="E16:F16"/>
    <mergeCell ref="J16:K16"/>
    <mergeCell ref="O16:P16"/>
    <mergeCell ref="O25:P25"/>
    <mergeCell ref="A21:P21"/>
    <mergeCell ref="B23:F23"/>
    <mergeCell ref="G23:K23"/>
    <mergeCell ref="L23:P23"/>
    <mergeCell ref="E24:F24"/>
    <mergeCell ref="J24:K24"/>
    <mergeCell ref="O24:P24"/>
    <mergeCell ref="B25:D25"/>
    <mergeCell ref="E25:F25"/>
    <mergeCell ref="G25:I25"/>
    <mergeCell ref="J25:K25"/>
    <mergeCell ref="L25:N25"/>
    <mergeCell ref="E26:F26"/>
    <mergeCell ref="J26:K26"/>
    <mergeCell ref="O26:P26"/>
    <mergeCell ref="E27:F27"/>
    <mergeCell ref="J27:K27"/>
    <mergeCell ref="O27:P27"/>
    <mergeCell ref="F28:F31"/>
    <mergeCell ref="K28:K31"/>
    <mergeCell ref="P28:P31"/>
    <mergeCell ref="E32:F32"/>
    <mergeCell ref="J32:K32"/>
    <mergeCell ref="O32:P32"/>
    <mergeCell ref="O41:P41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E42:F42"/>
    <mergeCell ref="J42:K42"/>
    <mergeCell ref="O42:P42"/>
    <mergeCell ref="E43:F43"/>
    <mergeCell ref="J43:K43"/>
    <mergeCell ref="O43:P43"/>
    <mergeCell ref="N52:P52"/>
    <mergeCell ref="F44:F47"/>
    <mergeCell ref="K44:K47"/>
    <mergeCell ref="P44:P47"/>
    <mergeCell ref="E48:F48"/>
    <mergeCell ref="J48:K48"/>
    <mergeCell ref="O48:P48"/>
  </mergeCells>
  <pageMargins left="0.59055118110236227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/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</cols>
  <sheetData>
    <row r="1" spans="1:24" ht="13.5" customHeight="1" x14ac:dyDescent="0.2"/>
    <row r="2" spans="1:24" ht="13.5" customHeight="1" x14ac:dyDescent="0.2"/>
    <row r="3" spans="1:24" ht="13.5" customHeight="1" x14ac:dyDescent="0.2"/>
    <row r="4" spans="1:24" ht="13.5" customHeight="1" x14ac:dyDescent="0.2"/>
    <row r="5" spans="1:24" ht="13.5" customHeight="1" x14ac:dyDescent="0.2"/>
    <row r="6" spans="1:24" ht="13.5" customHeight="1" x14ac:dyDescent="0.2"/>
    <row r="7" spans="1:24" ht="13.5" customHeight="1" x14ac:dyDescent="0.2">
      <c r="A7" s="141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24" ht="13.5" customHeight="1" x14ac:dyDescent="0.2"/>
    <row r="9" spans="1:24" ht="13.5" customHeight="1" x14ac:dyDescent="0.2">
      <c r="A9" s="11"/>
      <c r="B9" s="128" t="s">
        <v>10</v>
      </c>
      <c r="C9" s="128"/>
      <c r="D9" s="128"/>
      <c r="E9" s="128"/>
      <c r="F9" s="128"/>
      <c r="G9" s="128" t="s">
        <v>11</v>
      </c>
      <c r="H9" s="128"/>
      <c r="I9" s="128"/>
      <c r="J9" s="128"/>
      <c r="K9" s="128"/>
      <c r="L9" s="128" t="s">
        <v>16</v>
      </c>
      <c r="M9" s="128"/>
      <c r="N9" s="128"/>
      <c r="O9" s="128"/>
      <c r="P9" s="128"/>
    </row>
    <row r="10" spans="1:24" ht="47.25" customHeight="1" x14ac:dyDescent="0.2">
      <c r="A10" s="11"/>
      <c r="B10" s="40" t="s">
        <v>6</v>
      </c>
      <c r="C10" s="40" t="s">
        <v>7</v>
      </c>
      <c r="D10" s="40" t="s">
        <v>8</v>
      </c>
      <c r="E10" s="147" t="s">
        <v>9</v>
      </c>
      <c r="F10" s="147"/>
      <c r="G10" s="40" t="s">
        <v>6</v>
      </c>
      <c r="H10" s="40" t="s">
        <v>7</v>
      </c>
      <c r="I10" s="40" t="s">
        <v>8</v>
      </c>
      <c r="J10" s="147" t="s">
        <v>9</v>
      </c>
      <c r="K10" s="147"/>
      <c r="L10" s="40" t="s">
        <v>6</v>
      </c>
      <c r="M10" s="40" t="s">
        <v>7</v>
      </c>
      <c r="N10" s="40" t="s">
        <v>8</v>
      </c>
      <c r="O10" s="147" t="s">
        <v>9</v>
      </c>
      <c r="P10" s="147"/>
    </row>
    <row r="11" spans="1:24" ht="13.5" customHeight="1" x14ac:dyDescent="0.2">
      <c r="A11" s="13" t="s">
        <v>1</v>
      </c>
      <c r="B11" s="130">
        <v>70</v>
      </c>
      <c r="C11" s="131"/>
      <c r="D11" s="132"/>
      <c r="E11" s="153">
        <f>B11/179</f>
        <v>0.39106145251396646</v>
      </c>
      <c r="F11" s="154"/>
      <c r="G11" s="130">
        <v>921</v>
      </c>
      <c r="H11" s="131"/>
      <c r="I11" s="132"/>
      <c r="J11" s="124">
        <f>G11/4338</f>
        <v>0.21230982019363762</v>
      </c>
      <c r="K11" s="125"/>
      <c r="L11" s="130">
        <v>110</v>
      </c>
      <c r="M11" s="131"/>
      <c r="N11" s="132"/>
      <c r="O11" s="124">
        <f>L11/452</f>
        <v>0.24336283185840707</v>
      </c>
      <c r="P11" s="125"/>
      <c r="T11" s="10"/>
      <c r="V11" s="10"/>
      <c r="X11" s="10"/>
    </row>
    <row r="12" spans="1:24" ht="13.5" customHeight="1" x14ac:dyDescent="0.2">
      <c r="A12" s="13" t="s">
        <v>0</v>
      </c>
      <c r="B12" s="13">
        <v>50</v>
      </c>
      <c r="C12" s="13">
        <v>21</v>
      </c>
      <c r="D12" s="14">
        <f>SUM(B12:C12)</f>
        <v>71</v>
      </c>
      <c r="E12" s="153">
        <f>D12/179</f>
        <v>0.39664804469273746</v>
      </c>
      <c r="F12" s="154"/>
      <c r="G12" s="15">
        <v>1090</v>
      </c>
      <c r="H12" s="15">
        <v>1002</v>
      </c>
      <c r="I12" s="14">
        <f>SUM(G12:H12)</f>
        <v>2092</v>
      </c>
      <c r="J12" s="124">
        <f>I12/4338</f>
        <v>0.4822498847395113</v>
      </c>
      <c r="K12" s="125"/>
      <c r="L12" s="15">
        <v>100</v>
      </c>
      <c r="M12" s="15">
        <v>103</v>
      </c>
      <c r="N12" s="14">
        <f>SUM(L12:M12)</f>
        <v>203</v>
      </c>
      <c r="O12" s="124">
        <f>N12/452</f>
        <v>0.44911504424778759</v>
      </c>
      <c r="P12" s="125"/>
      <c r="T12" s="10"/>
      <c r="U12" s="10"/>
    </row>
    <row r="13" spans="1:24" ht="13.5" customHeight="1" x14ac:dyDescent="0.2">
      <c r="A13" s="13" t="s">
        <v>12</v>
      </c>
      <c r="B13" s="15">
        <v>9</v>
      </c>
      <c r="C13" s="15">
        <v>3</v>
      </c>
      <c r="D13" s="14">
        <f t="shared" ref="D13:D17" si="0">SUM(B13:C13)</f>
        <v>12</v>
      </c>
      <c r="E13" s="153">
        <f>D13/179</f>
        <v>6.7039106145251395E-2</v>
      </c>
      <c r="F13" s="154"/>
      <c r="G13" s="15">
        <v>159</v>
      </c>
      <c r="H13" s="15">
        <v>334</v>
      </c>
      <c r="I13" s="14">
        <f t="shared" ref="I13:I17" si="1">SUM(G13:H13)</f>
        <v>493</v>
      </c>
      <c r="J13" s="124">
        <f>I13/4338</f>
        <v>0.1136468418626095</v>
      </c>
      <c r="K13" s="125"/>
      <c r="L13" s="15">
        <v>18</v>
      </c>
      <c r="M13" s="15">
        <v>14</v>
      </c>
      <c r="N13" s="14">
        <f t="shared" ref="N13:N17" si="2">SUM(L13:M13)</f>
        <v>32</v>
      </c>
      <c r="O13" s="124">
        <f>N13/452</f>
        <v>7.0796460176991149E-2</v>
      </c>
      <c r="P13" s="125"/>
    </row>
    <row r="14" spans="1:24" ht="13.5" customHeight="1" x14ac:dyDescent="0.2">
      <c r="A14" s="13" t="s">
        <v>2</v>
      </c>
      <c r="B14" s="13">
        <v>13</v>
      </c>
      <c r="C14" s="13">
        <v>0</v>
      </c>
      <c r="D14" s="14">
        <f t="shared" si="0"/>
        <v>13</v>
      </c>
      <c r="E14" s="17">
        <f>D14/179</f>
        <v>7.2625698324022353E-2</v>
      </c>
      <c r="F14" s="148">
        <f>SUM(E14:E17)</f>
        <v>0.14525139664804471</v>
      </c>
      <c r="G14" s="13">
        <v>430</v>
      </c>
      <c r="H14" s="13">
        <v>9</v>
      </c>
      <c r="I14" s="14">
        <f t="shared" si="1"/>
        <v>439</v>
      </c>
      <c r="J14" s="18">
        <f>I14/4338</f>
        <v>0.10119870908252651</v>
      </c>
      <c r="K14" s="117">
        <f>SUM(J14:J17)</f>
        <v>0.19179345320424157</v>
      </c>
      <c r="L14" s="13">
        <v>44</v>
      </c>
      <c r="M14" s="13">
        <v>1</v>
      </c>
      <c r="N14" s="14">
        <f t="shared" si="2"/>
        <v>45</v>
      </c>
      <c r="O14" s="18">
        <f>N14/452</f>
        <v>9.9557522123893807E-2</v>
      </c>
      <c r="P14" s="117">
        <f>SUM(O14:O17)</f>
        <v>0.23672566371681414</v>
      </c>
      <c r="T14" s="10"/>
    </row>
    <row r="15" spans="1:24" ht="13.5" customHeight="1" x14ac:dyDescent="0.2">
      <c r="A15" s="13" t="s">
        <v>3</v>
      </c>
      <c r="B15" s="13">
        <v>3</v>
      </c>
      <c r="C15" s="13">
        <v>0</v>
      </c>
      <c r="D15" s="14">
        <f t="shared" si="0"/>
        <v>3</v>
      </c>
      <c r="E15" s="17">
        <f t="shared" ref="E15:E17" si="3">D15/179</f>
        <v>1.6759776536312849E-2</v>
      </c>
      <c r="F15" s="149"/>
      <c r="G15" s="13">
        <v>108</v>
      </c>
      <c r="H15" s="13">
        <v>22</v>
      </c>
      <c r="I15" s="14">
        <f t="shared" si="1"/>
        <v>130</v>
      </c>
      <c r="J15" s="18">
        <f t="shared" ref="J15:J17" si="4">I15/4338</f>
        <v>2.9967727063162749E-2</v>
      </c>
      <c r="K15" s="118"/>
      <c r="L15" s="13">
        <v>15</v>
      </c>
      <c r="M15" s="13">
        <v>2</v>
      </c>
      <c r="N15" s="14">
        <f t="shared" si="2"/>
        <v>17</v>
      </c>
      <c r="O15" s="18">
        <f t="shared" ref="O15:O17" si="5">N15/452</f>
        <v>3.7610619469026552E-2</v>
      </c>
      <c r="P15" s="118"/>
    </row>
    <row r="16" spans="1:24" ht="13.5" customHeight="1" x14ac:dyDescent="0.2">
      <c r="A16" s="13" t="s">
        <v>4</v>
      </c>
      <c r="B16" s="13">
        <v>8</v>
      </c>
      <c r="C16" s="13">
        <v>2</v>
      </c>
      <c r="D16" s="14">
        <f t="shared" si="0"/>
        <v>10</v>
      </c>
      <c r="E16" s="17">
        <f t="shared" si="3"/>
        <v>5.5865921787709494E-2</v>
      </c>
      <c r="F16" s="149"/>
      <c r="G16" s="13">
        <v>217</v>
      </c>
      <c r="H16" s="13">
        <v>30</v>
      </c>
      <c r="I16" s="14">
        <f t="shared" si="1"/>
        <v>247</v>
      </c>
      <c r="J16" s="18">
        <f t="shared" si="4"/>
        <v>5.693868142000922E-2</v>
      </c>
      <c r="K16" s="118"/>
      <c r="L16" s="13">
        <v>36</v>
      </c>
      <c r="M16" s="13">
        <v>8</v>
      </c>
      <c r="N16" s="14">
        <f t="shared" si="2"/>
        <v>44</v>
      </c>
      <c r="O16" s="18">
        <f t="shared" si="5"/>
        <v>9.7345132743362831E-2</v>
      </c>
      <c r="P16" s="118"/>
    </row>
    <row r="17" spans="1:20" x14ac:dyDescent="0.2">
      <c r="A17" s="13" t="s">
        <v>5</v>
      </c>
      <c r="B17" s="13">
        <v>0</v>
      </c>
      <c r="C17" s="13">
        <v>0</v>
      </c>
      <c r="D17" s="14">
        <f t="shared" si="0"/>
        <v>0</v>
      </c>
      <c r="E17" s="17">
        <f t="shared" si="3"/>
        <v>0</v>
      </c>
      <c r="F17" s="150"/>
      <c r="G17" s="13">
        <v>13</v>
      </c>
      <c r="H17" s="13">
        <v>3</v>
      </c>
      <c r="I17" s="14">
        <f t="shared" si="1"/>
        <v>16</v>
      </c>
      <c r="J17" s="18">
        <f t="shared" si="4"/>
        <v>3.6883356385431073E-3</v>
      </c>
      <c r="K17" s="119"/>
      <c r="L17" s="13">
        <v>1</v>
      </c>
      <c r="M17" s="13">
        <v>0</v>
      </c>
      <c r="N17" s="14">
        <f t="shared" si="2"/>
        <v>1</v>
      </c>
      <c r="O17" s="18">
        <f t="shared" si="5"/>
        <v>2.2123893805309734E-3</v>
      </c>
      <c r="P17" s="119"/>
    </row>
    <row r="18" spans="1:20" x14ac:dyDescent="0.2">
      <c r="A18" s="19" t="s">
        <v>8</v>
      </c>
      <c r="B18" s="20">
        <f>SUM(B12:B17)</f>
        <v>83</v>
      </c>
      <c r="C18" s="20">
        <f>SUM(C12:C17)</f>
        <v>26</v>
      </c>
      <c r="D18" s="21">
        <f>D12+D13+B11+D14+D15+D16+D17</f>
        <v>179</v>
      </c>
      <c r="E18" s="151">
        <f>D18/179</f>
        <v>1</v>
      </c>
      <c r="F18" s="152"/>
      <c r="G18" s="20">
        <f>SUM(G12:G17)</f>
        <v>2017</v>
      </c>
      <c r="H18" s="20">
        <f>SUM(H12:H17)</f>
        <v>1400</v>
      </c>
      <c r="I18" s="21">
        <f>I12+I13+G11+I14+I15+I16+I17</f>
        <v>4338</v>
      </c>
      <c r="J18" s="120">
        <f>I18/4338</f>
        <v>1</v>
      </c>
      <c r="K18" s="122"/>
      <c r="L18" s="20">
        <f>SUM(L12:L17)</f>
        <v>214</v>
      </c>
      <c r="M18" s="20">
        <f>SUM(M12:M17)</f>
        <v>128</v>
      </c>
      <c r="N18" s="21">
        <f>N12+N13+L11+N14+N15+N16+N17</f>
        <v>452</v>
      </c>
      <c r="O18" s="120">
        <f>N18/452</f>
        <v>1</v>
      </c>
      <c r="P18" s="122"/>
    </row>
    <row r="19" spans="1:20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20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</row>
    <row r="21" spans="1:20" s="5" customFormat="1" ht="13.5" customHeight="1" x14ac:dyDescent="0.2">
      <c r="A21" s="1"/>
      <c r="B21" s="2"/>
      <c r="C21" s="2"/>
      <c r="D21" s="3"/>
      <c r="E21" s="4"/>
      <c r="F21" s="4"/>
      <c r="G21" s="2"/>
      <c r="H21" s="2"/>
      <c r="I21" s="3"/>
      <c r="J21" s="4"/>
      <c r="K21" s="4"/>
    </row>
    <row r="22" spans="1:20" s="5" customFormat="1" ht="13.5" customHeight="1" x14ac:dyDescent="0.2">
      <c r="A22" s="126" t="s">
        <v>18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</row>
    <row r="23" spans="1:20" s="5" customFormat="1" ht="13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20" s="23" customFormat="1" ht="13.5" customHeight="1" x14ac:dyDescent="0.2">
      <c r="A24" s="22"/>
      <c r="B24" s="128" t="s">
        <v>10</v>
      </c>
      <c r="C24" s="128"/>
      <c r="D24" s="128"/>
      <c r="E24" s="128"/>
      <c r="F24" s="128"/>
      <c r="G24" s="128" t="s">
        <v>11</v>
      </c>
      <c r="H24" s="128"/>
      <c r="I24" s="128"/>
      <c r="J24" s="128"/>
      <c r="K24" s="128"/>
      <c r="L24" s="128" t="s">
        <v>16</v>
      </c>
      <c r="M24" s="128"/>
      <c r="N24" s="128"/>
      <c r="O24" s="128"/>
      <c r="P24" s="128"/>
    </row>
    <row r="25" spans="1:20" s="23" customFormat="1" ht="45.75" x14ac:dyDescent="0.2">
      <c r="A25" s="22"/>
      <c r="B25" s="41" t="s">
        <v>6</v>
      </c>
      <c r="C25" s="41" t="s">
        <v>7</v>
      </c>
      <c r="D25" s="41" t="s">
        <v>8</v>
      </c>
      <c r="E25" s="140" t="s">
        <v>9</v>
      </c>
      <c r="F25" s="140"/>
      <c r="G25" s="41" t="s">
        <v>6</v>
      </c>
      <c r="H25" s="41" t="s">
        <v>7</v>
      </c>
      <c r="I25" s="41" t="s">
        <v>8</v>
      </c>
      <c r="J25" s="144" t="s">
        <v>9</v>
      </c>
      <c r="K25" s="144"/>
      <c r="L25" s="40" t="s">
        <v>6</v>
      </c>
      <c r="M25" s="40" t="s">
        <v>7</v>
      </c>
      <c r="N25" s="40" t="s">
        <v>8</v>
      </c>
      <c r="O25" s="129" t="s">
        <v>9</v>
      </c>
      <c r="P25" s="129"/>
    </row>
    <row r="26" spans="1:20" s="25" customFormat="1" ht="13.5" customHeight="1" x14ac:dyDescent="0.2">
      <c r="A26" s="13" t="s">
        <v>1</v>
      </c>
      <c r="B26" s="130">
        <v>37</v>
      </c>
      <c r="C26" s="131"/>
      <c r="D26" s="132"/>
      <c r="E26" s="124">
        <f>B26/53</f>
        <v>0.69811320754716977</v>
      </c>
      <c r="F26" s="125"/>
      <c r="G26" s="130">
        <v>824</v>
      </c>
      <c r="H26" s="131"/>
      <c r="I26" s="132"/>
      <c r="J26" s="124">
        <f>G26/2768</f>
        <v>0.29768786127167629</v>
      </c>
      <c r="K26" s="125"/>
      <c r="L26" s="130">
        <v>89</v>
      </c>
      <c r="M26" s="131"/>
      <c r="N26" s="132"/>
      <c r="O26" s="124">
        <f>L26/181</f>
        <v>0.49171270718232046</v>
      </c>
      <c r="P26" s="125"/>
      <c r="S26" s="39"/>
      <c r="T26" s="39"/>
    </row>
    <row r="27" spans="1:20" s="25" customFormat="1" ht="13.5" customHeight="1" x14ac:dyDescent="0.2">
      <c r="A27" s="26" t="s">
        <v>0</v>
      </c>
      <c r="B27" s="26">
        <v>8</v>
      </c>
      <c r="C27" s="26">
        <v>2</v>
      </c>
      <c r="D27" s="14">
        <f>SUM(B27:C27)</f>
        <v>10</v>
      </c>
      <c r="E27" s="142">
        <f>D27/53</f>
        <v>0.18867924528301888</v>
      </c>
      <c r="F27" s="143"/>
      <c r="G27" s="28">
        <v>577</v>
      </c>
      <c r="H27" s="28">
        <v>451</v>
      </c>
      <c r="I27" s="14">
        <f>SUM(G27:H27)</f>
        <v>1028</v>
      </c>
      <c r="J27" s="124">
        <f>I27/2768</f>
        <v>0.37138728323699421</v>
      </c>
      <c r="K27" s="125"/>
      <c r="L27" s="15">
        <v>18</v>
      </c>
      <c r="M27" s="15">
        <v>12</v>
      </c>
      <c r="N27" s="14">
        <f>SUM(L27:M27)</f>
        <v>30</v>
      </c>
      <c r="O27" s="124">
        <f>N27/181</f>
        <v>0.16574585635359115</v>
      </c>
      <c r="P27" s="125"/>
      <c r="T27" s="39"/>
    </row>
    <row r="28" spans="1:20" s="25" customFormat="1" ht="13.5" customHeight="1" x14ac:dyDescent="0.2">
      <c r="A28" s="26" t="s">
        <v>12</v>
      </c>
      <c r="B28" s="28">
        <v>1</v>
      </c>
      <c r="C28" s="28">
        <v>1</v>
      </c>
      <c r="D28" s="14">
        <f t="shared" ref="D28:D32" si="6">SUM(B28:C28)</f>
        <v>2</v>
      </c>
      <c r="E28" s="142">
        <f>D28/53</f>
        <v>3.7735849056603772E-2</v>
      </c>
      <c r="F28" s="143"/>
      <c r="G28" s="28">
        <v>50</v>
      </c>
      <c r="H28" s="28">
        <v>234</v>
      </c>
      <c r="I28" s="14">
        <f t="shared" ref="I28:I32" si="7">SUM(G28:H28)</f>
        <v>284</v>
      </c>
      <c r="J28" s="124">
        <f>I28/2768</f>
        <v>0.10260115606936417</v>
      </c>
      <c r="K28" s="125"/>
      <c r="L28" s="15">
        <v>1</v>
      </c>
      <c r="M28" s="15">
        <v>5</v>
      </c>
      <c r="N28" s="14">
        <f t="shared" ref="N28:N32" si="8">SUM(L28:M28)</f>
        <v>6</v>
      </c>
      <c r="O28" s="124">
        <f>N28/181</f>
        <v>3.3149171270718231E-2</v>
      </c>
      <c r="P28" s="125"/>
    </row>
    <row r="29" spans="1:20" s="25" customFormat="1" ht="13.5" customHeight="1" x14ac:dyDescent="0.2">
      <c r="A29" s="30" t="s">
        <v>2</v>
      </c>
      <c r="B29" s="30">
        <v>1</v>
      </c>
      <c r="C29" s="30">
        <v>0</v>
      </c>
      <c r="D29" s="14">
        <f t="shared" si="6"/>
        <v>1</v>
      </c>
      <c r="E29" s="36">
        <f>D29/53</f>
        <v>1.8867924528301886E-2</v>
      </c>
      <c r="F29" s="136">
        <f>SUM(E29:E32)</f>
        <v>7.5471698113207544E-2</v>
      </c>
      <c r="G29" s="30">
        <v>354</v>
      </c>
      <c r="H29" s="30">
        <v>5</v>
      </c>
      <c r="I29" s="14">
        <f t="shared" si="7"/>
        <v>359</v>
      </c>
      <c r="J29" s="36">
        <f>I29/2768</f>
        <v>0.12969653179190752</v>
      </c>
      <c r="K29" s="136">
        <f>SUM(J29:J32)</f>
        <v>0.22832369942196531</v>
      </c>
      <c r="L29" s="13">
        <v>24</v>
      </c>
      <c r="M29" s="13">
        <v>1</v>
      </c>
      <c r="N29" s="14">
        <f t="shared" si="8"/>
        <v>25</v>
      </c>
      <c r="O29" s="18">
        <f>N29/181</f>
        <v>0.13812154696132597</v>
      </c>
      <c r="P29" s="117">
        <f>SUM(O29:O32)</f>
        <v>0.30939226519337015</v>
      </c>
    </row>
    <row r="30" spans="1:20" s="25" customFormat="1" ht="13.5" customHeight="1" x14ac:dyDescent="0.2">
      <c r="A30" s="30" t="s">
        <v>3</v>
      </c>
      <c r="B30" s="30">
        <v>0</v>
      </c>
      <c r="C30" s="30">
        <v>0</v>
      </c>
      <c r="D30" s="14">
        <f t="shared" si="6"/>
        <v>0</v>
      </c>
      <c r="E30" s="36">
        <f t="shared" ref="E30:E32" si="9">D30/53</f>
        <v>0</v>
      </c>
      <c r="F30" s="137"/>
      <c r="G30" s="30">
        <v>67</v>
      </c>
      <c r="H30" s="30">
        <v>12</v>
      </c>
      <c r="I30" s="14">
        <f t="shared" si="7"/>
        <v>79</v>
      </c>
      <c r="J30" s="36">
        <f t="shared" ref="J30:J32" si="10">I30/2768</f>
        <v>2.8540462427745664E-2</v>
      </c>
      <c r="K30" s="137"/>
      <c r="L30" s="13">
        <v>8</v>
      </c>
      <c r="M30" s="13">
        <v>1</v>
      </c>
      <c r="N30" s="14">
        <f t="shared" si="8"/>
        <v>9</v>
      </c>
      <c r="O30" s="18">
        <f t="shared" ref="O30:O32" si="11">N30/181</f>
        <v>4.9723756906077346E-2</v>
      </c>
      <c r="P30" s="118"/>
    </row>
    <row r="31" spans="1:20" s="25" customFormat="1" ht="13.5" customHeight="1" x14ac:dyDescent="0.2">
      <c r="A31" s="30" t="s">
        <v>4</v>
      </c>
      <c r="B31" s="30">
        <v>3</v>
      </c>
      <c r="C31" s="30">
        <v>0</v>
      </c>
      <c r="D31" s="14">
        <f t="shared" si="6"/>
        <v>3</v>
      </c>
      <c r="E31" s="36">
        <f t="shared" si="9"/>
        <v>5.6603773584905662E-2</v>
      </c>
      <c r="F31" s="137"/>
      <c r="G31" s="30">
        <v>170</v>
      </c>
      <c r="H31" s="30">
        <v>21</v>
      </c>
      <c r="I31" s="14">
        <f t="shared" si="7"/>
        <v>191</v>
      </c>
      <c r="J31" s="36">
        <f t="shared" si="10"/>
        <v>6.9002890173410408E-2</v>
      </c>
      <c r="K31" s="137"/>
      <c r="L31" s="13">
        <v>17</v>
      </c>
      <c r="M31" s="13">
        <v>5</v>
      </c>
      <c r="N31" s="14">
        <f t="shared" si="8"/>
        <v>22</v>
      </c>
      <c r="O31" s="18">
        <f t="shared" si="11"/>
        <v>0.12154696132596685</v>
      </c>
      <c r="P31" s="118"/>
    </row>
    <row r="32" spans="1:20" s="25" customFormat="1" ht="13.5" customHeight="1" x14ac:dyDescent="0.2">
      <c r="A32" s="30" t="s">
        <v>5</v>
      </c>
      <c r="B32" s="30">
        <v>0</v>
      </c>
      <c r="C32" s="30">
        <v>0</v>
      </c>
      <c r="D32" s="14">
        <f t="shared" si="6"/>
        <v>0</v>
      </c>
      <c r="E32" s="36">
        <f t="shared" si="9"/>
        <v>0</v>
      </c>
      <c r="F32" s="138"/>
      <c r="G32" s="30">
        <v>2</v>
      </c>
      <c r="H32" s="30">
        <v>1</v>
      </c>
      <c r="I32" s="14">
        <f t="shared" si="7"/>
        <v>3</v>
      </c>
      <c r="J32" s="36">
        <f t="shared" si="10"/>
        <v>1.083815028901734E-3</v>
      </c>
      <c r="K32" s="138"/>
      <c r="L32" s="13">
        <v>0</v>
      </c>
      <c r="M32" s="13">
        <v>0</v>
      </c>
      <c r="N32" s="14">
        <f t="shared" si="8"/>
        <v>0</v>
      </c>
      <c r="O32" s="18">
        <f t="shared" si="11"/>
        <v>0</v>
      </c>
      <c r="P32" s="119"/>
    </row>
    <row r="33" spans="1:20" s="25" customFormat="1" ht="13.5" customHeight="1" x14ac:dyDescent="0.2">
      <c r="A33" s="32" t="s">
        <v>8</v>
      </c>
      <c r="B33" s="33">
        <f>SUM(B27:B32)</f>
        <v>13</v>
      </c>
      <c r="C33" s="33">
        <f>SUM(C27:C32)</f>
        <v>3</v>
      </c>
      <c r="D33" s="34">
        <f>D27+D28+B26+D29+D30+D31+D32</f>
        <v>53</v>
      </c>
      <c r="E33" s="139">
        <f>D33/53</f>
        <v>1</v>
      </c>
      <c r="F33" s="139"/>
      <c r="G33" s="33">
        <f>SUM(G27:G32)</f>
        <v>1220</v>
      </c>
      <c r="H33" s="33">
        <f>SUM(H27:H32)</f>
        <v>724</v>
      </c>
      <c r="I33" s="34">
        <f>I27+I28+G26+I29+I30+I31+I32</f>
        <v>2768</v>
      </c>
      <c r="J33" s="139">
        <f>I33/2768</f>
        <v>1</v>
      </c>
      <c r="K33" s="139"/>
      <c r="L33" s="20">
        <f>SUM(L27:L32)</f>
        <v>68</v>
      </c>
      <c r="M33" s="20">
        <f>SUM(M27:M32)</f>
        <v>24</v>
      </c>
      <c r="N33" s="21">
        <f>N27+N28+L26+N29+N30+N31+N32</f>
        <v>181</v>
      </c>
      <c r="O33" s="120">
        <f>N33/181</f>
        <v>1</v>
      </c>
      <c r="P33" s="122"/>
    </row>
    <row r="34" spans="1:20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20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</row>
    <row r="36" spans="1:20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</row>
    <row r="37" spans="1:20" s="5" customFormat="1" ht="13.5" customHeight="1" x14ac:dyDescent="0.2">
      <c r="A37" s="126" t="s">
        <v>19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20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20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20" s="23" customFormat="1" ht="45.75" x14ac:dyDescent="0.2">
      <c r="A40" s="35"/>
      <c r="B40" s="40" t="s">
        <v>6</v>
      </c>
      <c r="C40" s="40" t="s">
        <v>7</v>
      </c>
      <c r="D40" s="40" t="s">
        <v>8</v>
      </c>
      <c r="E40" s="147" t="s">
        <v>9</v>
      </c>
      <c r="F40" s="147"/>
      <c r="G40" s="40" t="s">
        <v>6</v>
      </c>
      <c r="H40" s="40" t="s">
        <v>7</v>
      </c>
      <c r="I40" s="40" t="s">
        <v>8</v>
      </c>
      <c r="J40" s="147" t="s">
        <v>9</v>
      </c>
      <c r="K40" s="147"/>
      <c r="L40" s="40" t="s">
        <v>6</v>
      </c>
      <c r="M40" s="40" t="s">
        <v>7</v>
      </c>
      <c r="N40" s="40" t="s">
        <v>8</v>
      </c>
      <c r="O40" s="129" t="s">
        <v>9</v>
      </c>
      <c r="P40" s="129"/>
    </row>
    <row r="41" spans="1:20" s="25" customFormat="1" ht="13.5" customHeight="1" x14ac:dyDescent="0.2">
      <c r="A41" s="13" t="s">
        <v>1</v>
      </c>
      <c r="B41" s="130">
        <v>30</v>
      </c>
      <c r="C41" s="131"/>
      <c r="D41" s="132"/>
      <c r="E41" s="124">
        <f>B41/108</f>
        <v>0.27777777777777779</v>
      </c>
      <c r="F41" s="125"/>
      <c r="G41" s="133">
        <v>68</v>
      </c>
      <c r="H41" s="134"/>
      <c r="I41" s="135"/>
      <c r="J41" s="124">
        <f>G41/1315</f>
        <v>5.1711026615969581E-2</v>
      </c>
      <c r="K41" s="125"/>
      <c r="L41" s="133">
        <v>16</v>
      </c>
      <c r="M41" s="134"/>
      <c r="N41" s="135"/>
      <c r="O41" s="124">
        <f>L41/221</f>
        <v>7.2398190045248875E-2</v>
      </c>
      <c r="P41" s="125"/>
      <c r="S41" s="39"/>
      <c r="T41" s="39"/>
    </row>
    <row r="42" spans="1:20" s="25" customFormat="1" ht="13.5" customHeight="1" x14ac:dyDescent="0.2">
      <c r="A42" s="13" t="s">
        <v>0</v>
      </c>
      <c r="B42" s="13">
        <v>37</v>
      </c>
      <c r="C42" s="13">
        <v>15</v>
      </c>
      <c r="D42" s="14">
        <f>SUM(B42:C42)</f>
        <v>52</v>
      </c>
      <c r="E42" s="124">
        <f>D42/108</f>
        <v>0.48148148148148145</v>
      </c>
      <c r="F42" s="125"/>
      <c r="G42" s="37">
        <v>457</v>
      </c>
      <c r="H42" s="37">
        <v>478</v>
      </c>
      <c r="I42" s="14">
        <f>SUM(G42:H42)</f>
        <v>935</v>
      </c>
      <c r="J42" s="124">
        <f>I42/1315</f>
        <v>0.71102661596958172</v>
      </c>
      <c r="K42" s="125"/>
      <c r="L42" s="37">
        <v>76</v>
      </c>
      <c r="M42" s="37">
        <v>75</v>
      </c>
      <c r="N42" s="14">
        <f>SUM(L42:M42)</f>
        <v>151</v>
      </c>
      <c r="O42" s="124">
        <f>N42/221</f>
        <v>0.68325791855203621</v>
      </c>
      <c r="P42" s="125"/>
    </row>
    <row r="43" spans="1:20" s="25" customFormat="1" ht="13.5" customHeight="1" x14ac:dyDescent="0.2">
      <c r="A43" s="13" t="s">
        <v>12</v>
      </c>
      <c r="B43" s="15">
        <v>5</v>
      </c>
      <c r="C43" s="15">
        <v>2</v>
      </c>
      <c r="D43" s="14">
        <f t="shared" ref="D43:D47" si="12">SUM(B43:C43)</f>
        <v>7</v>
      </c>
      <c r="E43" s="124">
        <f>D43/108</f>
        <v>6.4814814814814811E-2</v>
      </c>
      <c r="F43" s="125"/>
      <c r="G43" s="37">
        <v>95</v>
      </c>
      <c r="H43" s="37">
        <v>84</v>
      </c>
      <c r="I43" s="14">
        <f t="shared" ref="I43:I47" si="13">SUM(G43:H43)</f>
        <v>179</v>
      </c>
      <c r="J43" s="124">
        <f>I43/1315</f>
        <v>0.13612167300380229</v>
      </c>
      <c r="K43" s="125"/>
      <c r="L43" s="37">
        <v>14</v>
      </c>
      <c r="M43" s="37">
        <v>6</v>
      </c>
      <c r="N43" s="14">
        <f t="shared" ref="N43:N47" si="14">SUM(L43:M43)</f>
        <v>20</v>
      </c>
      <c r="O43" s="124">
        <f>N43/221</f>
        <v>9.0497737556561084E-2</v>
      </c>
      <c r="P43" s="125"/>
    </row>
    <row r="44" spans="1:20" s="25" customFormat="1" ht="13.5" customHeight="1" x14ac:dyDescent="0.2">
      <c r="A44" s="13" t="s">
        <v>2</v>
      </c>
      <c r="B44" s="13">
        <v>11</v>
      </c>
      <c r="C44" s="13">
        <v>0</v>
      </c>
      <c r="D44" s="14">
        <f t="shared" si="12"/>
        <v>11</v>
      </c>
      <c r="E44" s="18">
        <f>D44/108</f>
        <v>0.10185185185185185</v>
      </c>
      <c r="F44" s="117">
        <f>SUM(E44:E47)</f>
        <v>0.17592592592592593</v>
      </c>
      <c r="G44" s="37">
        <v>53</v>
      </c>
      <c r="H44" s="37">
        <v>3</v>
      </c>
      <c r="I44" s="14">
        <f t="shared" si="13"/>
        <v>56</v>
      </c>
      <c r="J44" s="18">
        <f>I44/1315</f>
        <v>4.2585551330798478E-2</v>
      </c>
      <c r="K44" s="117">
        <f>SUM(J44:J47)</f>
        <v>0.10114068441064639</v>
      </c>
      <c r="L44" s="37">
        <v>16</v>
      </c>
      <c r="M44" s="37">
        <v>0</v>
      </c>
      <c r="N44" s="14">
        <f t="shared" si="14"/>
        <v>16</v>
      </c>
      <c r="O44" s="18">
        <f>N44/221</f>
        <v>7.2398190045248875E-2</v>
      </c>
      <c r="P44" s="117">
        <f>SUM(O44:O47)</f>
        <v>0.15384615384615385</v>
      </c>
    </row>
    <row r="45" spans="1:20" s="25" customFormat="1" ht="13.5" customHeight="1" x14ac:dyDescent="0.2">
      <c r="A45" s="13" t="s">
        <v>3</v>
      </c>
      <c r="B45" s="13">
        <v>3</v>
      </c>
      <c r="C45" s="13">
        <v>0</v>
      </c>
      <c r="D45" s="14">
        <f t="shared" si="12"/>
        <v>3</v>
      </c>
      <c r="E45" s="18">
        <f t="shared" ref="E45:E47" si="15">D45/108</f>
        <v>2.7777777777777776E-2</v>
      </c>
      <c r="F45" s="118"/>
      <c r="G45" s="37">
        <v>27</v>
      </c>
      <c r="H45" s="37">
        <v>6</v>
      </c>
      <c r="I45" s="14">
        <f t="shared" si="13"/>
        <v>33</v>
      </c>
      <c r="J45" s="18">
        <f t="shared" ref="J45:J47" si="16">I45/1315</f>
        <v>2.5095057034220533E-2</v>
      </c>
      <c r="K45" s="118"/>
      <c r="L45" s="37">
        <v>4</v>
      </c>
      <c r="M45" s="37">
        <v>0</v>
      </c>
      <c r="N45" s="14">
        <f t="shared" si="14"/>
        <v>4</v>
      </c>
      <c r="O45" s="18">
        <f t="shared" ref="O45:O47" si="17">N45/221</f>
        <v>1.8099547511312219E-2</v>
      </c>
      <c r="P45" s="118"/>
    </row>
    <row r="46" spans="1:20" s="25" customFormat="1" ht="13.5" customHeight="1" x14ac:dyDescent="0.2">
      <c r="A46" s="13" t="s">
        <v>4</v>
      </c>
      <c r="B46" s="13">
        <v>4</v>
      </c>
      <c r="C46" s="13">
        <v>1</v>
      </c>
      <c r="D46" s="14">
        <f t="shared" si="12"/>
        <v>5</v>
      </c>
      <c r="E46" s="18">
        <f t="shared" si="15"/>
        <v>4.6296296296296294E-2</v>
      </c>
      <c r="F46" s="118"/>
      <c r="G46" s="37">
        <v>31</v>
      </c>
      <c r="H46" s="37">
        <v>7</v>
      </c>
      <c r="I46" s="14">
        <f t="shared" si="13"/>
        <v>38</v>
      </c>
      <c r="J46" s="18">
        <f t="shared" si="16"/>
        <v>2.8897338403041824E-2</v>
      </c>
      <c r="K46" s="118"/>
      <c r="L46" s="37">
        <v>13</v>
      </c>
      <c r="M46" s="37">
        <v>1</v>
      </c>
      <c r="N46" s="14">
        <f t="shared" si="14"/>
        <v>14</v>
      </c>
      <c r="O46" s="18">
        <f t="shared" si="17"/>
        <v>6.3348416289592757E-2</v>
      </c>
      <c r="P46" s="118"/>
    </row>
    <row r="47" spans="1:20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5</v>
      </c>
      <c r="H47" s="37">
        <v>1</v>
      </c>
      <c r="I47" s="14">
        <f t="shared" si="13"/>
        <v>6</v>
      </c>
      <c r="J47" s="18">
        <f t="shared" si="16"/>
        <v>4.5627376425855515E-3</v>
      </c>
      <c r="K47" s="119"/>
      <c r="L47" s="37">
        <v>0</v>
      </c>
      <c r="M47" s="37">
        <v>0</v>
      </c>
      <c r="N47" s="14">
        <f t="shared" si="14"/>
        <v>0</v>
      </c>
      <c r="O47" s="18">
        <f t="shared" si="17"/>
        <v>0</v>
      </c>
      <c r="P47" s="119"/>
    </row>
    <row r="48" spans="1:20" s="25" customFormat="1" ht="13.5" customHeight="1" x14ac:dyDescent="0.2">
      <c r="A48" s="19" t="s">
        <v>8</v>
      </c>
      <c r="B48" s="20">
        <f>SUM(B42:B47)</f>
        <v>60</v>
      </c>
      <c r="C48" s="20">
        <f>SUM(C42:C47)</f>
        <v>18</v>
      </c>
      <c r="D48" s="21">
        <f>D42+D43+B41+D44+D45+D46+D47</f>
        <v>108</v>
      </c>
      <c r="E48" s="120">
        <f>D48/108</f>
        <v>1</v>
      </c>
      <c r="F48" s="121"/>
      <c r="G48" s="20">
        <f>SUM(G42:G47)</f>
        <v>668</v>
      </c>
      <c r="H48" s="20">
        <f>SUM(H42:H47)</f>
        <v>579</v>
      </c>
      <c r="I48" s="21">
        <f>I42+I43+G41+I44+I45+I46+I47</f>
        <v>1315</v>
      </c>
      <c r="J48" s="120">
        <f>I48/1315</f>
        <v>1</v>
      </c>
      <c r="K48" s="122"/>
      <c r="L48" s="20">
        <f>SUM(L42:L47)</f>
        <v>123</v>
      </c>
      <c r="M48" s="20">
        <f>SUM(M42:M47)</f>
        <v>82</v>
      </c>
      <c r="N48" s="21">
        <f>N42+N43+L41+N44+N45+N46+N47</f>
        <v>221</v>
      </c>
      <c r="O48" s="120">
        <f>N48/221</f>
        <v>1</v>
      </c>
      <c r="P48" s="122"/>
    </row>
    <row r="52" spans="14:16" ht="34.5" customHeight="1" x14ac:dyDescent="0.3">
      <c r="N52" s="146"/>
      <c r="O52" s="146"/>
      <c r="P52" s="146"/>
    </row>
  </sheetData>
  <mergeCells count="76">
    <mergeCell ref="O11:P11"/>
    <mergeCell ref="A7:P7"/>
    <mergeCell ref="B9:F9"/>
    <mergeCell ref="G9:K9"/>
    <mergeCell ref="L9:P9"/>
    <mergeCell ref="E10:F10"/>
    <mergeCell ref="J10:K10"/>
    <mergeCell ref="O10:P10"/>
    <mergeCell ref="B11:D11"/>
    <mergeCell ref="E11:F11"/>
    <mergeCell ref="G11:I11"/>
    <mergeCell ref="J11:K11"/>
    <mergeCell ref="L11:N11"/>
    <mergeCell ref="E12:F12"/>
    <mergeCell ref="J12:K12"/>
    <mergeCell ref="O12:P12"/>
    <mergeCell ref="E13:F13"/>
    <mergeCell ref="J13:K13"/>
    <mergeCell ref="O13:P13"/>
    <mergeCell ref="F14:F17"/>
    <mergeCell ref="K14:K17"/>
    <mergeCell ref="P14:P17"/>
    <mergeCell ref="E18:F18"/>
    <mergeCell ref="J18:K18"/>
    <mergeCell ref="O18:P18"/>
    <mergeCell ref="O26:P26"/>
    <mergeCell ref="A22:P22"/>
    <mergeCell ref="B24:F24"/>
    <mergeCell ref="G24:K24"/>
    <mergeCell ref="L24:P24"/>
    <mergeCell ref="E25:F25"/>
    <mergeCell ref="J25:K25"/>
    <mergeCell ref="O25:P25"/>
    <mergeCell ref="B26:D26"/>
    <mergeCell ref="E26:F26"/>
    <mergeCell ref="G26:I26"/>
    <mergeCell ref="J26:K26"/>
    <mergeCell ref="L26:N26"/>
    <mergeCell ref="E27:F27"/>
    <mergeCell ref="J27:K27"/>
    <mergeCell ref="O27:P27"/>
    <mergeCell ref="E28:F28"/>
    <mergeCell ref="J28:K28"/>
    <mergeCell ref="O28:P28"/>
    <mergeCell ref="F29:F32"/>
    <mergeCell ref="K29:K32"/>
    <mergeCell ref="P29:P32"/>
    <mergeCell ref="E33:F33"/>
    <mergeCell ref="J33:K33"/>
    <mergeCell ref="O33:P33"/>
    <mergeCell ref="O41:P41"/>
    <mergeCell ref="A37:P37"/>
    <mergeCell ref="B39:F39"/>
    <mergeCell ref="G39:K39"/>
    <mergeCell ref="L39:P39"/>
    <mergeCell ref="E40:F40"/>
    <mergeCell ref="J40:K40"/>
    <mergeCell ref="O40:P40"/>
    <mergeCell ref="B41:D41"/>
    <mergeCell ref="E41:F41"/>
    <mergeCell ref="G41:I41"/>
    <mergeCell ref="J41:K41"/>
    <mergeCell ref="L41:N41"/>
    <mergeCell ref="E42:F42"/>
    <mergeCell ref="J42:K42"/>
    <mergeCell ref="O42:P42"/>
    <mergeCell ref="E43:F43"/>
    <mergeCell ref="J43:K43"/>
    <mergeCell ref="O43:P43"/>
    <mergeCell ref="N52:P52"/>
    <mergeCell ref="F44:F47"/>
    <mergeCell ref="K44:K47"/>
    <mergeCell ref="P44:P47"/>
    <mergeCell ref="E48:F48"/>
    <mergeCell ref="J48:K48"/>
    <mergeCell ref="O48:P48"/>
  </mergeCells>
  <pageMargins left="0.59055118110236227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3"/>
  <sheetViews>
    <sheetView workbookViewId="0"/>
  </sheetViews>
  <sheetFormatPr defaultRowHeight="12.75" x14ac:dyDescent="0.2"/>
  <cols>
    <col min="1" max="1" width="17.5" customWidth="1"/>
    <col min="2" max="4" width="5.33203125" customWidth="1"/>
    <col min="5" max="6" width="6.83203125" customWidth="1"/>
    <col min="7" max="9" width="5.33203125" customWidth="1"/>
    <col min="10" max="11" width="6.83203125" customWidth="1"/>
    <col min="12" max="14" width="5.33203125" customWidth="1"/>
    <col min="15" max="16" width="6.83203125" customWidth="1"/>
    <col min="17" max="17" width="0.5" customWidth="1"/>
    <col min="18" max="18" width="6.83203125" customWidth="1"/>
  </cols>
  <sheetData>
    <row r="7" spans="1:21" x14ac:dyDescent="0.2">
      <c r="A7" s="141" t="s">
        <v>13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9" spans="1:21" ht="12" customHeight="1" x14ac:dyDescent="0.2">
      <c r="A9" s="11"/>
      <c r="B9" s="128" t="s">
        <v>10</v>
      </c>
      <c r="C9" s="128"/>
      <c r="D9" s="128"/>
      <c r="E9" s="128"/>
      <c r="F9" s="128"/>
      <c r="G9" s="128" t="s">
        <v>11</v>
      </c>
      <c r="H9" s="128"/>
      <c r="I9" s="128"/>
      <c r="J9" s="128"/>
      <c r="K9" s="128"/>
      <c r="L9" s="128" t="s">
        <v>16</v>
      </c>
      <c r="M9" s="128"/>
      <c r="N9" s="128"/>
      <c r="O9" s="128"/>
      <c r="P9" s="128"/>
    </row>
    <row r="10" spans="1:21" ht="47.25" customHeight="1" x14ac:dyDescent="0.2">
      <c r="A10" s="11"/>
      <c r="B10" s="12" t="s">
        <v>6</v>
      </c>
      <c r="C10" s="12" t="s">
        <v>7</v>
      </c>
      <c r="D10" s="12" t="s">
        <v>8</v>
      </c>
      <c r="E10" s="147" t="s">
        <v>9</v>
      </c>
      <c r="F10" s="147"/>
      <c r="G10" s="12" t="s">
        <v>6</v>
      </c>
      <c r="H10" s="12" t="s">
        <v>7</v>
      </c>
      <c r="I10" s="12" t="s">
        <v>8</v>
      </c>
      <c r="J10" s="147" t="s">
        <v>9</v>
      </c>
      <c r="K10" s="147"/>
      <c r="L10" s="12" t="s">
        <v>6</v>
      </c>
      <c r="M10" s="12" t="s">
        <v>7</v>
      </c>
      <c r="N10" s="12" t="s">
        <v>8</v>
      </c>
      <c r="O10" s="147" t="s">
        <v>9</v>
      </c>
      <c r="P10" s="147"/>
    </row>
    <row r="11" spans="1:21" ht="13.5" customHeight="1" x14ac:dyDescent="0.2">
      <c r="A11" s="13" t="s">
        <v>1</v>
      </c>
      <c r="B11" s="130">
        <v>62</v>
      </c>
      <c r="C11" s="131"/>
      <c r="D11" s="132"/>
      <c r="E11" s="153">
        <f>B11/177</f>
        <v>0.35028248587570621</v>
      </c>
      <c r="F11" s="154"/>
      <c r="G11" s="130">
        <v>918</v>
      </c>
      <c r="H11" s="131"/>
      <c r="I11" s="132"/>
      <c r="J11" s="124">
        <f>G11/4179</f>
        <v>0.21966977745872218</v>
      </c>
      <c r="K11" s="125"/>
      <c r="L11" s="130">
        <v>111</v>
      </c>
      <c r="M11" s="131"/>
      <c r="N11" s="132"/>
      <c r="O11" s="124">
        <f>L11/493</f>
        <v>0.22515212981744423</v>
      </c>
      <c r="P11" s="125"/>
    </row>
    <row r="12" spans="1:21" ht="13.5" customHeight="1" x14ac:dyDescent="0.2">
      <c r="A12" s="13" t="s">
        <v>0</v>
      </c>
      <c r="B12" s="13">
        <v>48</v>
      </c>
      <c r="C12" s="13">
        <v>24</v>
      </c>
      <c r="D12" s="14">
        <f t="shared" ref="D12:D17" si="0">SUM(B12:C12)</f>
        <v>72</v>
      </c>
      <c r="E12" s="153">
        <f t="shared" ref="E12:E18" si="1">D12/177</f>
        <v>0.40677966101694918</v>
      </c>
      <c r="F12" s="154"/>
      <c r="G12" s="15">
        <v>1037</v>
      </c>
      <c r="H12" s="15">
        <v>965</v>
      </c>
      <c r="I12" s="16">
        <f t="shared" ref="I12:I17" si="2">SUM(G12:H12)</f>
        <v>2002</v>
      </c>
      <c r="J12" s="124">
        <f>I12/4179</f>
        <v>0.47906197654941374</v>
      </c>
      <c r="K12" s="125"/>
      <c r="L12" s="15">
        <v>116</v>
      </c>
      <c r="M12" s="15">
        <v>145</v>
      </c>
      <c r="N12" s="16">
        <f t="shared" ref="N12:N17" si="3">SUM(L12:M12)</f>
        <v>261</v>
      </c>
      <c r="O12" s="124">
        <f>N12/493</f>
        <v>0.52941176470588236</v>
      </c>
      <c r="P12" s="125"/>
      <c r="T12" s="10"/>
      <c r="U12" s="10"/>
    </row>
    <row r="13" spans="1:21" ht="13.5" customHeight="1" x14ac:dyDescent="0.2">
      <c r="A13" s="13" t="s">
        <v>12</v>
      </c>
      <c r="B13" s="15">
        <v>10</v>
      </c>
      <c r="C13" s="15">
        <v>4</v>
      </c>
      <c r="D13" s="14">
        <f t="shared" si="0"/>
        <v>14</v>
      </c>
      <c r="E13" s="153">
        <f t="shared" si="1"/>
        <v>7.909604519774012E-2</v>
      </c>
      <c r="F13" s="154"/>
      <c r="G13" s="15">
        <v>125</v>
      </c>
      <c r="H13" s="15">
        <v>331</v>
      </c>
      <c r="I13" s="14">
        <f t="shared" si="2"/>
        <v>456</v>
      </c>
      <c r="J13" s="124">
        <f>I13/4179</f>
        <v>0.10911701363962671</v>
      </c>
      <c r="K13" s="125"/>
      <c r="L13" s="15">
        <v>13</v>
      </c>
      <c r="M13" s="15">
        <v>22</v>
      </c>
      <c r="N13" s="14">
        <f t="shared" si="3"/>
        <v>35</v>
      </c>
      <c r="O13" s="124">
        <f>N13/493</f>
        <v>7.099391480730223E-2</v>
      </c>
      <c r="P13" s="125"/>
    </row>
    <row r="14" spans="1:21" ht="13.5" customHeight="1" x14ac:dyDescent="0.2">
      <c r="A14" s="13" t="s">
        <v>2</v>
      </c>
      <c r="B14" s="13">
        <v>18</v>
      </c>
      <c r="C14" s="13">
        <v>0</v>
      </c>
      <c r="D14" s="14">
        <f t="shared" si="0"/>
        <v>18</v>
      </c>
      <c r="E14" s="17">
        <f t="shared" si="1"/>
        <v>0.10169491525423729</v>
      </c>
      <c r="F14" s="148">
        <f>SUM(E14:E17)</f>
        <v>0.16384180790960454</v>
      </c>
      <c r="G14" s="13">
        <v>394</v>
      </c>
      <c r="H14" s="13">
        <v>7</v>
      </c>
      <c r="I14" s="14">
        <f t="shared" si="2"/>
        <v>401</v>
      </c>
      <c r="J14" s="18">
        <f>I14/4179</f>
        <v>9.5955970327829626E-2</v>
      </c>
      <c r="K14" s="117">
        <f>SUM(J14:J17)</f>
        <v>0.19215123235223738</v>
      </c>
      <c r="L14" s="13">
        <v>37</v>
      </c>
      <c r="M14" s="13">
        <v>0</v>
      </c>
      <c r="N14" s="14">
        <f t="shared" si="3"/>
        <v>37</v>
      </c>
      <c r="O14" s="18">
        <f>N14/493</f>
        <v>7.5050709939148072E-2</v>
      </c>
      <c r="P14" s="117">
        <f>SUM(O14:O17)</f>
        <v>0.17444219066937122</v>
      </c>
    </row>
    <row r="15" spans="1:21" ht="13.5" customHeight="1" x14ac:dyDescent="0.2">
      <c r="A15" s="13" t="s">
        <v>3</v>
      </c>
      <c r="B15" s="13">
        <v>2</v>
      </c>
      <c r="C15" s="13">
        <v>1</v>
      </c>
      <c r="D15" s="14">
        <f t="shared" si="0"/>
        <v>3</v>
      </c>
      <c r="E15" s="17">
        <f t="shared" si="1"/>
        <v>1.6949152542372881E-2</v>
      </c>
      <c r="F15" s="149"/>
      <c r="G15" s="13">
        <v>121</v>
      </c>
      <c r="H15" s="13">
        <v>29</v>
      </c>
      <c r="I15" s="14">
        <f t="shared" si="2"/>
        <v>150</v>
      </c>
      <c r="J15" s="18">
        <f t="shared" ref="J15:J17" si="4">I15/4179</f>
        <v>3.5893754486719311E-2</v>
      </c>
      <c r="K15" s="118"/>
      <c r="L15" s="13">
        <v>12</v>
      </c>
      <c r="M15" s="13">
        <v>1</v>
      </c>
      <c r="N15" s="14">
        <f t="shared" si="3"/>
        <v>13</v>
      </c>
      <c r="O15" s="18">
        <f t="shared" ref="O15:O17" si="5">N15/493</f>
        <v>2.6369168356997971E-2</v>
      </c>
      <c r="P15" s="118"/>
    </row>
    <row r="16" spans="1:21" ht="13.5" customHeight="1" x14ac:dyDescent="0.2">
      <c r="A16" s="13" t="s">
        <v>4</v>
      </c>
      <c r="B16" s="13">
        <v>7</v>
      </c>
      <c r="C16" s="13">
        <v>0</v>
      </c>
      <c r="D16" s="14">
        <f t="shared" si="0"/>
        <v>7</v>
      </c>
      <c r="E16" s="17">
        <f t="shared" si="1"/>
        <v>3.954802259887006E-2</v>
      </c>
      <c r="F16" s="149"/>
      <c r="G16" s="13">
        <v>202</v>
      </c>
      <c r="H16" s="13">
        <v>29</v>
      </c>
      <c r="I16" s="14">
        <f t="shared" si="2"/>
        <v>231</v>
      </c>
      <c r="J16" s="18">
        <f t="shared" si="4"/>
        <v>5.5276381909547742E-2</v>
      </c>
      <c r="K16" s="118"/>
      <c r="L16" s="13">
        <v>25</v>
      </c>
      <c r="M16" s="13">
        <v>6</v>
      </c>
      <c r="N16" s="14">
        <f t="shared" si="3"/>
        <v>31</v>
      </c>
      <c r="O16" s="18">
        <f t="shared" si="5"/>
        <v>6.2880324543610547E-2</v>
      </c>
      <c r="P16" s="118"/>
    </row>
    <row r="17" spans="1:19" ht="13.5" customHeight="1" x14ac:dyDescent="0.2">
      <c r="A17" s="13" t="s">
        <v>5</v>
      </c>
      <c r="B17" s="13">
        <v>1</v>
      </c>
      <c r="C17" s="13">
        <v>0</v>
      </c>
      <c r="D17" s="14">
        <f t="shared" si="0"/>
        <v>1</v>
      </c>
      <c r="E17" s="17">
        <f t="shared" si="1"/>
        <v>5.6497175141242938E-3</v>
      </c>
      <c r="F17" s="150"/>
      <c r="G17" s="13">
        <v>15</v>
      </c>
      <c r="H17" s="13">
        <v>6</v>
      </c>
      <c r="I17" s="14">
        <f t="shared" si="2"/>
        <v>21</v>
      </c>
      <c r="J17" s="18">
        <f t="shared" si="4"/>
        <v>5.0251256281407036E-3</v>
      </c>
      <c r="K17" s="119"/>
      <c r="L17" s="13">
        <v>4</v>
      </c>
      <c r="M17" s="13">
        <v>1</v>
      </c>
      <c r="N17" s="14">
        <f t="shared" si="3"/>
        <v>5</v>
      </c>
      <c r="O17" s="18">
        <f t="shared" si="5"/>
        <v>1.0141987829614604E-2</v>
      </c>
      <c r="P17" s="119"/>
    </row>
    <row r="18" spans="1:19" ht="13.5" customHeight="1" x14ac:dyDescent="0.2">
      <c r="A18" s="19" t="s">
        <v>8</v>
      </c>
      <c r="B18" s="20">
        <f>SUM(B12:B17)</f>
        <v>86</v>
      </c>
      <c r="C18" s="20">
        <f>SUM(C12:C17)</f>
        <v>29</v>
      </c>
      <c r="D18" s="21">
        <f>D12+D13+B11+D14+D15+D16+D17</f>
        <v>177</v>
      </c>
      <c r="E18" s="151">
        <f t="shared" si="1"/>
        <v>1</v>
      </c>
      <c r="F18" s="152"/>
      <c r="G18" s="20">
        <f>SUM(G12:G17)</f>
        <v>1894</v>
      </c>
      <c r="H18" s="20">
        <f>SUM(H12:H17)</f>
        <v>1367</v>
      </c>
      <c r="I18" s="21">
        <f>I12+I13+G11+I14+I15+I16+I17</f>
        <v>4179</v>
      </c>
      <c r="J18" s="120">
        <f>I18/4179</f>
        <v>1</v>
      </c>
      <c r="K18" s="122"/>
      <c r="L18" s="20">
        <f>SUM(L12:L17)</f>
        <v>207</v>
      </c>
      <c r="M18" s="20">
        <f>SUM(M12:M17)</f>
        <v>175</v>
      </c>
      <c r="N18" s="21">
        <f>N12+N13+L11+N14+N15+N16+N17</f>
        <v>493</v>
      </c>
      <c r="O18" s="120">
        <f>N18/493</f>
        <v>1</v>
      </c>
      <c r="P18" s="122"/>
    </row>
    <row r="19" spans="1:19" s="5" customFormat="1" ht="13.5" customHeight="1" x14ac:dyDescent="0.2">
      <c r="A19" s="1"/>
      <c r="B19" s="2"/>
      <c r="C19" s="2"/>
      <c r="D19" s="3"/>
      <c r="E19" s="4"/>
      <c r="F19" s="4"/>
      <c r="G19" s="2"/>
      <c r="H19" s="2"/>
      <c r="I19" s="3"/>
      <c r="J19" s="4"/>
      <c r="K19" s="4"/>
    </row>
    <row r="20" spans="1:19" s="5" customFormat="1" ht="13.5" customHeight="1" x14ac:dyDescent="0.2">
      <c r="A20" s="1"/>
      <c r="B20" s="2"/>
      <c r="C20" s="2"/>
      <c r="D20" s="3"/>
      <c r="E20" s="4"/>
      <c r="F20" s="4"/>
      <c r="G20" s="2"/>
      <c r="H20" s="2"/>
      <c r="I20" s="3"/>
      <c r="J20" s="4"/>
      <c r="K20" s="4"/>
    </row>
    <row r="21" spans="1:19" s="5" customFormat="1" ht="13.5" customHeight="1" x14ac:dyDescent="0.2">
      <c r="A21" s="1"/>
      <c r="B21" s="2"/>
      <c r="C21" s="2"/>
      <c r="D21" s="3"/>
      <c r="E21" s="4"/>
      <c r="F21" s="4"/>
      <c r="G21" s="2"/>
      <c r="H21" s="2"/>
      <c r="I21" s="3"/>
      <c r="J21" s="4"/>
      <c r="K21" s="4"/>
    </row>
    <row r="22" spans="1:19" s="5" customFormat="1" ht="13.5" customHeight="1" x14ac:dyDescent="0.2">
      <c r="A22" s="126" t="s">
        <v>14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</row>
    <row r="23" spans="1:19" s="5" customFormat="1" ht="13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9" s="23" customFormat="1" ht="13.5" customHeight="1" x14ac:dyDescent="0.2">
      <c r="A24" s="22"/>
      <c r="B24" s="128" t="s">
        <v>10</v>
      </c>
      <c r="C24" s="128"/>
      <c r="D24" s="128"/>
      <c r="E24" s="128"/>
      <c r="F24" s="128"/>
      <c r="G24" s="128" t="s">
        <v>11</v>
      </c>
      <c r="H24" s="128"/>
      <c r="I24" s="128"/>
      <c r="J24" s="128"/>
      <c r="K24" s="128"/>
      <c r="L24" s="128" t="s">
        <v>16</v>
      </c>
      <c r="M24" s="128"/>
      <c r="N24" s="128"/>
      <c r="O24" s="128"/>
      <c r="P24" s="128"/>
    </row>
    <row r="25" spans="1:19" s="23" customFormat="1" ht="48" customHeight="1" x14ac:dyDescent="0.2">
      <c r="A25" s="22"/>
      <c r="B25" s="24" t="s">
        <v>6</v>
      </c>
      <c r="C25" s="24" t="s">
        <v>7</v>
      </c>
      <c r="D25" s="24" t="s">
        <v>8</v>
      </c>
      <c r="E25" s="144" t="s">
        <v>9</v>
      </c>
      <c r="F25" s="144"/>
      <c r="G25" s="24" t="s">
        <v>6</v>
      </c>
      <c r="H25" s="24" t="s">
        <v>7</v>
      </c>
      <c r="I25" s="24" t="s">
        <v>8</v>
      </c>
      <c r="J25" s="144" t="s">
        <v>9</v>
      </c>
      <c r="K25" s="144"/>
      <c r="L25" s="12" t="s">
        <v>6</v>
      </c>
      <c r="M25" s="12" t="s">
        <v>7</v>
      </c>
      <c r="N25" s="12" t="s">
        <v>8</v>
      </c>
      <c r="O25" s="147" t="s">
        <v>9</v>
      </c>
      <c r="P25" s="147"/>
    </row>
    <row r="26" spans="1:19" s="25" customFormat="1" ht="13.5" customHeight="1" x14ac:dyDescent="0.2">
      <c r="A26" s="13" t="s">
        <v>1</v>
      </c>
      <c r="B26" s="130">
        <v>34</v>
      </c>
      <c r="C26" s="131"/>
      <c r="D26" s="132"/>
      <c r="E26" s="124">
        <f>B26/53</f>
        <v>0.64150943396226412</v>
      </c>
      <c r="F26" s="125"/>
      <c r="G26" s="130">
        <v>804</v>
      </c>
      <c r="H26" s="131"/>
      <c r="I26" s="132"/>
      <c r="J26" s="124">
        <f>G26/2637</f>
        <v>0.30489192263936293</v>
      </c>
      <c r="K26" s="125"/>
      <c r="L26" s="130">
        <v>72</v>
      </c>
      <c r="M26" s="131"/>
      <c r="N26" s="132"/>
      <c r="O26" s="124">
        <f>L26/184</f>
        <v>0.39130434782608697</v>
      </c>
      <c r="P26" s="125"/>
      <c r="S26" s="39"/>
    </row>
    <row r="27" spans="1:19" s="25" customFormat="1" ht="13.5" customHeight="1" x14ac:dyDescent="0.2">
      <c r="A27" s="26" t="s">
        <v>0</v>
      </c>
      <c r="B27" s="26">
        <v>5</v>
      </c>
      <c r="C27" s="26">
        <v>3</v>
      </c>
      <c r="D27" s="27">
        <f t="shared" ref="D27:D32" si="6">SUM(B27:C27)</f>
        <v>8</v>
      </c>
      <c r="E27" s="142">
        <f>D27/53</f>
        <v>0.15094339622641509</v>
      </c>
      <c r="F27" s="143"/>
      <c r="G27" s="28">
        <v>532</v>
      </c>
      <c r="H27" s="28">
        <v>413</v>
      </c>
      <c r="I27" s="29">
        <f t="shared" ref="I27:I32" si="7">SUM(G27:H27)</f>
        <v>945</v>
      </c>
      <c r="J27" s="124">
        <f>I27/2637</f>
        <v>0.35836177474402731</v>
      </c>
      <c r="K27" s="125"/>
      <c r="L27" s="15">
        <v>32</v>
      </c>
      <c r="M27" s="15">
        <v>29</v>
      </c>
      <c r="N27" s="16">
        <f t="shared" ref="N27:N32" si="8">SUM(L27:M27)</f>
        <v>61</v>
      </c>
      <c r="O27" s="124">
        <f>N27/184</f>
        <v>0.33152173913043476</v>
      </c>
      <c r="P27" s="125"/>
    </row>
    <row r="28" spans="1:19" s="25" customFormat="1" ht="13.5" customHeight="1" x14ac:dyDescent="0.2">
      <c r="A28" s="26" t="s">
        <v>12</v>
      </c>
      <c r="B28" s="28">
        <v>2</v>
      </c>
      <c r="C28" s="28">
        <v>2</v>
      </c>
      <c r="D28" s="27">
        <f t="shared" si="6"/>
        <v>4</v>
      </c>
      <c r="E28" s="142">
        <f>D28/53</f>
        <v>7.5471698113207544E-2</v>
      </c>
      <c r="F28" s="143"/>
      <c r="G28" s="28">
        <v>43</v>
      </c>
      <c r="H28" s="28">
        <v>247</v>
      </c>
      <c r="I28" s="27">
        <f t="shared" si="7"/>
        <v>290</v>
      </c>
      <c r="J28" s="124">
        <f>I28/2637</f>
        <v>0.10997345468335229</v>
      </c>
      <c r="K28" s="125"/>
      <c r="L28" s="15">
        <v>1</v>
      </c>
      <c r="M28" s="15">
        <v>5</v>
      </c>
      <c r="N28" s="14">
        <f t="shared" si="8"/>
        <v>6</v>
      </c>
      <c r="O28" s="124">
        <f>N28/184</f>
        <v>3.2608695652173912E-2</v>
      </c>
      <c r="P28" s="125"/>
    </row>
    <row r="29" spans="1:19" s="25" customFormat="1" ht="13.5" customHeight="1" x14ac:dyDescent="0.2">
      <c r="A29" s="30" t="s">
        <v>2</v>
      </c>
      <c r="B29" s="30">
        <v>3</v>
      </c>
      <c r="C29" s="30">
        <v>0</v>
      </c>
      <c r="D29" s="31">
        <f t="shared" si="6"/>
        <v>3</v>
      </c>
      <c r="E29" s="36">
        <f>D29/53</f>
        <v>5.6603773584905662E-2</v>
      </c>
      <c r="F29" s="136">
        <f>SUM(E29:E32)</f>
        <v>0.13207547169811321</v>
      </c>
      <c r="G29" s="30">
        <v>324</v>
      </c>
      <c r="H29" s="30">
        <v>4</v>
      </c>
      <c r="I29" s="31">
        <f t="shared" si="7"/>
        <v>328</v>
      </c>
      <c r="J29" s="36">
        <f>I29/2637</f>
        <v>0.12438376943496397</v>
      </c>
      <c r="K29" s="136">
        <f>SUM(J29:J32)</f>
        <v>0.2267728479332575</v>
      </c>
      <c r="L29" s="13">
        <v>24</v>
      </c>
      <c r="M29" s="13">
        <v>0</v>
      </c>
      <c r="N29" s="14">
        <f t="shared" si="8"/>
        <v>24</v>
      </c>
      <c r="O29" s="18">
        <f>N29/184</f>
        <v>0.13043478260869565</v>
      </c>
      <c r="P29" s="117">
        <f>SUM(O29:O32)</f>
        <v>0.24456521739130435</v>
      </c>
    </row>
    <row r="30" spans="1:19" s="25" customFormat="1" ht="13.5" customHeight="1" x14ac:dyDescent="0.2">
      <c r="A30" s="30" t="s">
        <v>3</v>
      </c>
      <c r="B30" s="30">
        <v>0</v>
      </c>
      <c r="C30" s="30">
        <v>1</v>
      </c>
      <c r="D30" s="31">
        <f t="shared" si="6"/>
        <v>1</v>
      </c>
      <c r="E30" s="36">
        <f t="shared" ref="E30:E32" si="9">D30/53</f>
        <v>1.8867924528301886E-2</v>
      </c>
      <c r="F30" s="137"/>
      <c r="G30" s="30">
        <v>84</v>
      </c>
      <c r="H30" s="30">
        <v>18</v>
      </c>
      <c r="I30" s="31">
        <f t="shared" si="7"/>
        <v>102</v>
      </c>
      <c r="J30" s="36">
        <f t="shared" ref="J30:J32" si="10">I30/2637</f>
        <v>3.8680318543799774E-2</v>
      </c>
      <c r="K30" s="137"/>
      <c r="L30" s="13">
        <v>6</v>
      </c>
      <c r="M30" s="13">
        <v>0</v>
      </c>
      <c r="N30" s="14">
        <f t="shared" si="8"/>
        <v>6</v>
      </c>
      <c r="O30" s="18">
        <f t="shared" ref="O30:O32" si="11">N30/184</f>
        <v>3.2608695652173912E-2</v>
      </c>
      <c r="P30" s="118"/>
    </row>
    <row r="31" spans="1:19" s="25" customFormat="1" ht="13.5" customHeight="1" x14ac:dyDescent="0.2">
      <c r="A31" s="30" t="s">
        <v>4</v>
      </c>
      <c r="B31" s="30">
        <v>3</v>
      </c>
      <c r="C31" s="30">
        <v>0</v>
      </c>
      <c r="D31" s="31">
        <f t="shared" si="6"/>
        <v>3</v>
      </c>
      <c r="E31" s="36">
        <f t="shared" si="9"/>
        <v>5.6603773584905662E-2</v>
      </c>
      <c r="F31" s="137"/>
      <c r="G31" s="30">
        <v>145</v>
      </c>
      <c r="H31" s="30">
        <v>18</v>
      </c>
      <c r="I31" s="31">
        <f t="shared" si="7"/>
        <v>163</v>
      </c>
      <c r="J31" s="36">
        <f t="shared" si="10"/>
        <v>6.181266590822905E-2</v>
      </c>
      <c r="K31" s="137"/>
      <c r="L31" s="13">
        <v>11</v>
      </c>
      <c r="M31" s="13">
        <v>3</v>
      </c>
      <c r="N31" s="14">
        <f t="shared" si="8"/>
        <v>14</v>
      </c>
      <c r="O31" s="18">
        <f t="shared" si="11"/>
        <v>7.6086956521739135E-2</v>
      </c>
      <c r="P31" s="118"/>
    </row>
    <row r="32" spans="1:19" s="25" customFormat="1" ht="13.5" customHeight="1" x14ac:dyDescent="0.2">
      <c r="A32" s="30" t="s">
        <v>5</v>
      </c>
      <c r="B32" s="30">
        <v>0</v>
      </c>
      <c r="C32" s="30">
        <v>0</v>
      </c>
      <c r="D32" s="31">
        <f t="shared" si="6"/>
        <v>0</v>
      </c>
      <c r="E32" s="36">
        <f t="shared" si="9"/>
        <v>0</v>
      </c>
      <c r="F32" s="138"/>
      <c r="G32" s="30">
        <v>3</v>
      </c>
      <c r="H32" s="30">
        <v>2</v>
      </c>
      <c r="I32" s="31">
        <f t="shared" si="7"/>
        <v>5</v>
      </c>
      <c r="J32" s="36">
        <f t="shared" si="10"/>
        <v>1.8960940462646946E-3</v>
      </c>
      <c r="K32" s="138"/>
      <c r="L32" s="13">
        <v>1</v>
      </c>
      <c r="M32" s="13">
        <v>0</v>
      </c>
      <c r="N32" s="14">
        <f t="shared" si="8"/>
        <v>1</v>
      </c>
      <c r="O32" s="18">
        <f t="shared" si="11"/>
        <v>5.434782608695652E-3</v>
      </c>
      <c r="P32" s="119"/>
    </row>
    <row r="33" spans="1:19" s="25" customFormat="1" ht="13.5" customHeight="1" x14ac:dyDescent="0.2">
      <c r="A33" s="32" t="s">
        <v>8</v>
      </c>
      <c r="B33" s="33">
        <f>SUM(B27:B32)</f>
        <v>13</v>
      </c>
      <c r="C33" s="33">
        <f>SUM(C27:C32)</f>
        <v>6</v>
      </c>
      <c r="D33" s="34">
        <f>D27+D28+B26+D29+D30+D31+D32</f>
        <v>53</v>
      </c>
      <c r="E33" s="139">
        <f>D33/53</f>
        <v>1</v>
      </c>
      <c r="F33" s="139"/>
      <c r="G33" s="33">
        <f>SUM(G27:G32)</f>
        <v>1131</v>
      </c>
      <c r="H33" s="33">
        <f>SUM(H27:H32)</f>
        <v>702</v>
      </c>
      <c r="I33" s="34">
        <f>I27+I28+G26+I29+I30+I31+I32</f>
        <v>2637</v>
      </c>
      <c r="J33" s="139">
        <f>I33/2637</f>
        <v>1</v>
      </c>
      <c r="K33" s="139"/>
      <c r="L33" s="20">
        <f>SUM(L27:L32)</f>
        <v>75</v>
      </c>
      <c r="M33" s="20">
        <f>SUM(M27:M32)</f>
        <v>37</v>
      </c>
      <c r="N33" s="21">
        <f>N27+N28+L26+N29+N30+N31+N32</f>
        <v>184</v>
      </c>
      <c r="O33" s="120">
        <f>N33/184</f>
        <v>1</v>
      </c>
      <c r="P33" s="122"/>
    </row>
    <row r="34" spans="1:19" s="5" customFormat="1" ht="13.5" customHeight="1" x14ac:dyDescent="0.3">
      <c r="A34" s="1"/>
      <c r="B34" s="2"/>
      <c r="C34" s="2"/>
      <c r="D34" s="3"/>
      <c r="E34" s="4"/>
      <c r="F34" s="4"/>
      <c r="G34" s="2"/>
      <c r="H34" s="2"/>
      <c r="I34" s="3"/>
      <c r="J34" s="4"/>
      <c r="K34" s="4"/>
      <c r="L34" s="6"/>
      <c r="N34" s="8"/>
      <c r="O34" s="9"/>
      <c r="P34" s="9"/>
    </row>
    <row r="35" spans="1:19" s="5" customFormat="1" ht="13.5" customHeight="1" x14ac:dyDescent="0.3">
      <c r="A35" s="1"/>
      <c r="B35" s="2"/>
      <c r="C35" s="2"/>
      <c r="D35" s="3"/>
      <c r="E35" s="4"/>
      <c r="F35" s="4"/>
      <c r="G35" s="2"/>
      <c r="H35" s="2"/>
      <c r="I35" s="3"/>
      <c r="J35" s="4"/>
      <c r="K35" s="4"/>
      <c r="L35" s="6"/>
      <c r="N35" s="8"/>
      <c r="O35" s="9"/>
      <c r="P35" s="9"/>
    </row>
    <row r="36" spans="1:19" s="5" customFormat="1" ht="13.5" customHeight="1" x14ac:dyDescent="0.3">
      <c r="A36" s="1"/>
      <c r="B36" s="2"/>
      <c r="C36" s="2"/>
      <c r="D36" s="3"/>
      <c r="E36" s="4"/>
      <c r="F36" s="4"/>
      <c r="G36" s="2"/>
      <c r="H36" s="2"/>
      <c r="I36" s="3"/>
      <c r="J36" s="4"/>
      <c r="K36" s="4"/>
      <c r="L36" s="6"/>
      <c r="N36" s="8"/>
      <c r="O36" s="9"/>
      <c r="P36" s="9"/>
    </row>
    <row r="37" spans="1:19" s="5" customFormat="1" ht="13.5" customHeight="1" x14ac:dyDescent="0.2">
      <c r="A37" s="126" t="s">
        <v>15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1:19" s="5" customFormat="1" ht="13.5" customHeight="1" x14ac:dyDescent="0.3">
      <c r="A38" s="1"/>
      <c r="B38" s="2"/>
      <c r="C38" s="2"/>
      <c r="D38" s="3"/>
      <c r="E38" s="4"/>
      <c r="F38" s="4"/>
      <c r="G38" s="2"/>
      <c r="H38" s="2"/>
      <c r="I38" s="3"/>
      <c r="J38" s="4"/>
      <c r="K38" s="4"/>
      <c r="L38" s="6"/>
      <c r="N38" s="8"/>
      <c r="O38" s="9"/>
      <c r="P38" s="9"/>
    </row>
    <row r="39" spans="1:19" s="5" customFormat="1" ht="13.5" customHeight="1" x14ac:dyDescent="0.2">
      <c r="A39" s="1"/>
      <c r="B39" s="127" t="s">
        <v>10</v>
      </c>
      <c r="C39" s="127"/>
      <c r="D39" s="127"/>
      <c r="E39" s="127"/>
      <c r="F39" s="127"/>
      <c r="G39" s="127" t="s">
        <v>11</v>
      </c>
      <c r="H39" s="127"/>
      <c r="I39" s="127"/>
      <c r="J39" s="127"/>
      <c r="K39" s="127"/>
      <c r="L39" s="128" t="s">
        <v>16</v>
      </c>
      <c r="M39" s="128"/>
      <c r="N39" s="128"/>
      <c r="O39" s="128"/>
      <c r="P39" s="128"/>
    </row>
    <row r="40" spans="1:19" s="23" customFormat="1" ht="48.75" customHeight="1" x14ac:dyDescent="0.2">
      <c r="A40" s="35"/>
      <c r="B40" s="12" t="s">
        <v>6</v>
      </c>
      <c r="C40" s="12" t="s">
        <v>7</v>
      </c>
      <c r="D40" s="12" t="s">
        <v>8</v>
      </c>
      <c r="E40" s="147" t="s">
        <v>9</v>
      </c>
      <c r="F40" s="147"/>
      <c r="G40" s="12" t="s">
        <v>6</v>
      </c>
      <c r="H40" s="12" t="s">
        <v>7</v>
      </c>
      <c r="I40" s="12" t="s">
        <v>8</v>
      </c>
      <c r="J40" s="147" t="s">
        <v>9</v>
      </c>
      <c r="K40" s="147"/>
      <c r="L40" s="12" t="s">
        <v>6</v>
      </c>
      <c r="M40" s="12" t="s">
        <v>7</v>
      </c>
      <c r="N40" s="12" t="s">
        <v>8</v>
      </c>
      <c r="O40" s="147" t="s">
        <v>9</v>
      </c>
      <c r="P40" s="147"/>
    </row>
    <row r="41" spans="1:19" s="25" customFormat="1" ht="13.5" customHeight="1" x14ac:dyDescent="0.2">
      <c r="A41" s="13" t="s">
        <v>1</v>
      </c>
      <c r="B41" s="130">
        <v>22</v>
      </c>
      <c r="C41" s="131"/>
      <c r="D41" s="132"/>
      <c r="E41" s="124">
        <f>B41/96</f>
        <v>0.22916666666666666</v>
      </c>
      <c r="F41" s="125"/>
      <c r="G41" s="133">
        <v>82</v>
      </c>
      <c r="H41" s="134"/>
      <c r="I41" s="135"/>
      <c r="J41" s="124">
        <f>G41/1281</f>
        <v>6.401249024199844E-2</v>
      </c>
      <c r="K41" s="125"/>
      <c r="L41" s="133">
        <v>30</v>
      </c>
      <c r="M41" s="134"/>
      <c r="N41" s="135"/>
      <c r="O41" s="124">
        <f>L41/266</f>
        <v>0.11278195488721804</v>
      </c>
      <c r="P41" s="125"/>
      <c r="S41" s="39"/>
    </row>
    <row r="42" spans="1:19" s="25" customFormat="1" ht="13.5" customHeight="1" x14ac:dyDescent="0.2">
      <c r="A42" s="13" t="s">
        <v>0</v>
      </c>
      <c r="B42" s="13">
        <v>35</v>
      </c>
      <c r="C42" s="13">
        <v>12</v>
      </c>
      <c r="D42" s="14">
        <f t="shared" ref="D42:D47" si="12">SUM(B42:C42)</f>
        <v>47</v>
      </c>
      <c r="E42" s="124">
        <f>D42/96</f>
        <v>0.48958333333333331</v>
      </c>
      <c r="F42" s="125"/>
      <c r="G42" s="37">
        <v>447</v>
      </c>
      <c r="H42" s="37">
        <v>488</v>
      </c>
      <c r="I42" s="38">
        <f t="shared" ref="I42:I47" si="13">SUM(G42:H42)</f>
        <v>935</v>
      </c>
      <c r="J42" s="124">
        <f>I42/1281</f>
        <v>0.72989851678376272</v>
      </c>
      <c r="K42" s="125"/>
      <c r="L42" s="37">
        <v>71</v>
      </c>
      <c r="M42" s="37">
        <v>111</v>
      </c>
      <c r="N42" s="38">
        <f t="shared" ref="N42:N47" si="14">SUM(L42:M42)</f>
        <v>182</v>
      </c>
      <c r="O42" s="124">
        <f>N42/266</f>
        <v>0.68421052631578949</v>
      </c>
      <c r="P42" s="125"/>
    </row>
    <row r="43" spans="1:19" s="25" customFormat="1" ht="13.5" customHeight="1" x14ac:dyDescent="0.2">
      <c r="A43" s="13" t="s">
        <v>12</v>
      </c>
      <c r="B43" s="15">
        <v>7</v>
      </c>
      <c r="C43" s="15">
        <v>1</v>
      </c>
      <c r="D43" s="14">
        <f t="shared" si="12"/>
        <v>8</v>
      </c>
      <c r="E43" s="124">
        <f>D43/96</f>
        <v>8.3333333333333329E-2</v>
      </c>
      <c r="F43" s="125"/>
      <c r="G43" s="37">
        <v>62</v>
      </c>
      <c r="H43" s="37">
        <v>80</v>
      </c>
      <c r="I43" s="38">
        <f t="shared" si="13"/>
        <v>142</v>
      </c>
      <c r="J43" s="124">
        <f>I43/1281</f>
        <v>0.11085089773614364</v>
      </c>
      <c r="K43" s="125"/>
      <c r="L43" s="37">
        <v>10</v>
      </c>
      <c r="M43" s="37">
        <v>17</v>
      </c>
      <c r="N43" s="38">
        <f t="shared" si="14"/>
        <v>27</v>
      </c>
      <c r="O43" s="124">
        <f>N43/266</f>
        <v>0.10150375939849623</v>
      </c>
      <c r="P43" s="125"/>
    </row>
    <row r="44" spans="1:19" s="25" customFormat="1" ht="13.5" customHeight="1" x14ac:dyDescent="0.2">
      <c r="A44" s="13" t="s">
        <v>2</v>
      </c>
      <c r="B44" s="13">
        <v>14</v>
      </c>
      <c r="C44" s="13">
        <v>0</v>
      </c>
      <c r="D44" s="14">
        <f t="shared" si="12"/>
        <v>14</v>
      </c>
      <c r="E44" s="18">
        <f>D44/96</f>
        <v>0.14583333333333334</v>
      </c>
      <c r="F44" s="117">
        <f>SUM(E44:E47)</f>
        <v>0.19791666666666669</v>
      </c>
      <c r="G44" s="37">
        <v>42</v>
      </c>
      <c r="H44" s="37">
        <v>0</v>
      </c>
      <c r="I44" s="38">
        <f t="shared" si="13"/>
        <v>42</v>
      </c>
      <c r="J44" s="18">
        <f>I44/1281</f>
        <v>3.2786885245901641E-2</v>
      </c>
      <c r="K44" s="117">
        <f>SUM(J44:J47)</f>
        <v>9.5238095238095247E-2</v>
      </c>
      <c r="L44" s="37">
        <v>12</v>
      </c>
      <c r="M44" s="37">
        <v>0</v>
      </c>
      <c r="N44" s="38">
        <f t="shared" si="14"/>
        <v>12</v>
      </c>
      <c r="O44" s="18">
        <f>N44/266</f>
        <v>4.5112781954887216E-2</v>
      </c>
      <c r="P44" s="117">
        <f>SUM(O44:O47)</f>
        <v>0.10150375939849623</v>
      </c>
    </row>
    <row r="45" spans="1:19" s="25" customFormat="1" ht="13.5" customHeight="1" x14ac:dyDescent="0.2">
      <c r="A45" s="13" t="s">
        <v>3</v>
      </c>
      <c r="B45" s="13">
        <v>2</v>
      </c>
      <c r="C45" s="13">
        <v>0</v>
      </c>
      <c r="D45" s="14">
        <f t="shared" si="12"/>
        <v>2</v>
      </c>
      <c r="E45" s="18">
        <f t="shared" ref="E45:E47" si="15">D45/96</f>
        <v>2.0833333333333332E-2</v>
      </c>
      <c r="F45" s="118"/>
      <c r="G45" s="37">
        <v>25</v>
      </c>
      <c r="H45" s="37">
        <v>6</v>
      </c>
      <c r="I45" s="38">
        <f t="shared" si="13"/>
        <v>31</v>
      </c>
      <c r="J45" s="18">
        <f t="shared" ref="J45:J47" si="16">I45/1281</f>
        <v>2.4199843871975019E-2</v>
      </c>
      <c r="K45" s="118"/>
      <c r="L45" s="37">
        <v>4</v>
      </c>
      <c r="M45" s="37">
        <v>1</v>
      </c>
      <c r="N45" s="38">
        <f t="shared" si="14"/>
        <v>5</v>
      </c>
      <c r="O45" s="18">
        <f t="shared" ref="O45:O47" si="17">N45/266</f>
        <v>1.8796992481203006E-2</v>
      </c>
      <c r="P45" s="118"/>
    </row>
    <row r="46" spans="1:19" s="25" customFormat="1" ht="13.5" customHeight="1" x14ac:dyDescent="0.2">
      <c r="A46" s="13" t="s">
        <v>4</v>
      </c>
      <c r="B46" s="13">
        <v>3</v>
      </c>
      <c r="C46" s="13">
        <v>0</v>
      </c>
      <c r="D46" s="14">
        <f t="shared" si="12"/>
        <v>3</v>
      </c>
      <c r="E46" s="18">
        <f t="shared" si="15"/>
        <v>3.125E-2</v>
      </c>
      <c r="F46" s="118"/>
      <c r="G46" s="37">
        <v>34</v>
      </c>
      <c r="H46" s="37">
        <v>10</v>
      </c>
      <c r="I46" s="38">
        <f t="shared" si="13"/>
        <v>44</v>
      </c>
      <c r="J46" s="18">
        <f t="shared" si="16"/>
        <v>3.4348165495706483E-2</v>
      </c>
      <c r="K46" s="118"/>
      <c r="L46" s="37">
        <v>7</v>
      </c>
      <c r="M46" s="37">
        <v>2</v>
      </c>
      <c r="N46" s="38">
        <f t="shared" si="14"/>
        <v>9</v>
      </c>
      <c r="O46" s="18">
        <f t="shared" si="17"/>
        <v>3.3834586466165412E-2</v>
      </c>
      <c r="P46" s="118"/>
    </row>
    <row r="47" spans="1:19" s="25" customFormat="1" ht="13.5" customHeight="1" x14ac:dyDescent="0.2">
      <c r="A47" s="13" t="s">
        <v>5</v>
      </c>
      <c r="B47" s="13">
        <v>0</v>
      </c>
      <c r="C47" s="13">
        <v>0</v>
      </c>
      <c r="D47" s="14">
        <f t="shared" si="12"/>
        <v>0</v>
      </c>
      <c r="E47" s="18">
        <f t="shared" si="15"/>
        <v>0</v>
      </c>
      <c r="F47" s="119"/>
      <c r="G47" s="37">
        <v>4</v>
      </c>
      <c r="H47" s="37">
        <v>1</v>
      </c>
      <c r="I47" s="38">
        <f t="shared" si="13"/>
        <v>5</v>
      </c>
      <c r="J47" s="18">
        <f t="shared" si="16"/>
        <v>3.9032006245120999E-3</v>
      </c>
      <c r="K47" s="119"/>
      <c r="L47" s="37">
        <v>1</v>
      </c>
      <c r="M47" s="37">
        <v>0</v>
      </c>
      <c r="N47" s="38">
        <f t="shared" si="14"/>
        <v>1</v>
      </c>
      <c r="O47" s="18">
        <f t="shared" si="17"/>
        <v>3.7593984962406013E-3</v>
      </c>
      <c r="P47" s="119"/>
    </row>
    <row r="48" spans="1:19" s="25" customFormat="1" ht="13.5" customHeight="1" x14ac:dyDescent="0.2">
      <c r="A48" s="19" t="s">
        <v>8</v>
      </c>
      <c r="B48" s="20">
        <f>SUM(B42:B47)</f>
        <v>61</v>
      </c>
      <c r="C48" s="20">
        <f>SUM(C42:C47)</f>
        <v>13</v>
      </c>
      <c r="D48" s="21">
        <f>D42+D43+B41+D44+D45+D46+D47</f>
        <v>96</v>
      </c>
      <c r="E48" s="120">
        <f>D48/96</f>
        <v>1</v>
      </c>
      <c r="F48" s="121"/>
      <c r="G48" s="20">
        <f>SUM(G42:G47)</f>
        <v>614</v>
      </c>
      <c r="H48" s="20">
        <f>SUM(H42:H47)</f>
        <v>585</v>
      </c>
      <c r="I48" s="21">
        <f>I42+I43+G41+I44+I45+I46+I47</f>
        <v>1281</v>
      </c>
      <c r="J48" s="120">
        <f>I48/1281</f>
        <v>1</v>
      </c>
      <c r="K48" s="122"/>
      <c r="L48" s="20">
        <f>SUM(L42:L47)</f>
        <v>105</v>
      </c>
      <c r="M48" s="20">
        <f>SUM(M42:M47)</f>
        <v>131</v>
      </c>
      <c r="N48" s="21">
        <f>N42+N43+L41+N44+N45+N46+N47</f>
        <v>266</v>
      </c>
      <c r="O48" s="120">
        <f>N48/266</f>
        <v>1</v>
      </c>
      <c r="P48" s="122"/>
    </row>
    <row r="52" spans="14:16" ht="34.5" customHeight="1" x14ac:dyDescent="0.3">
      <c r="N52" s="146"/>
      <c r="O52" s="146"/>
      <c r="P52" s="146"/>
    </row>
    <row r="53" spans="14:16" ht="30" customHeight="1" x14ac:dyDescent="0.2"/>
  </sheetData>
  <mergeCells count="76">
    <mergeCell ref="O48:P48"/>
    <mergeCell ref="N52:P52"/>
    <mergeCell ref="A37:P37"/>
    <mergeCell ref="L41:N41"/>
    <mergeCell ref="O41:P41"/>
    <mergeCell ref="O42:P42"/>
    <mergeCell ref="O43:P43"/>
    <mergeCell ref="P44:P47"/>
    <mergeCell ref="E48:F48"/>
    <mergeCell ref="J48:K48"/>
    <mergeCell ref="E42:F42"/>
    <mergeCell ref="J42:K42"/>
    <mergeCell ref="E43:F43"/>
    <mergeCell ref="J43:K43"/>
    <mergeCell ref="F44:F47"/>
    <mergeCell ref="K44:K47"/>
    <mergeCell ref="O28:P28"/>
    <mergeCell ref="P29:P32"/>
    <mergeCell ref="O33:P33"/>
    <mergeCell ref="L39:P39"/>
    <mergeCell ref="O40:P40"/>
    <mergeCell ref="L24:P24"/>
    <mergeCell ref="O25:P25"/>
    <mergeCell ref="L26:N26"/>
    <mergeCell ref="O26:P26"/>
    <mergeCell ref="O27:P27"/>
    <mergeCell ref="J27:K27"/>
    <mergeCell ref="O13:P13"/>
    <mergeCell ref="P14:P17"/>
    <mergeCell ref="O18:P18"/>
    <mergeCell ref="A7:P7"/>
    <mergeCell ref="A22:P22"/>
    <mergeCell ref="L9:P9"/>
    <mergeCell ref="O10:P10"/>
    <mergeCell ref="L11:N11"/>
    <mergeCell ref="O11:P11"/>
    <mergeCell ref="O12:P12"/>
    <mergeCell ref="K14:K17"/>
    <mergeCell ref="E18:F18"/>
    <mergeCell ref="J18:K18"/>
    <mergeCell ref="B11:D11"/>
    <mergeCell ref="E11:F11"/>
    <mergeCell ref="J28:K28"/>
    <mergeCell ref="F29:F32"/>
    <mergeCell ref="K29:K32"/>
    <mergeCell ref="E33:F33"/>
    <mergeCell ref="J33:K33"/>
    <mergeCell ref="J41:K41"/>
    <mergeCell ref="B39:F39"/>
    <mergeCell ref="G39:K39"/>
    <mergeCell ref="E40:F40"/>
    <mergeCell ref="E13:F13"/>
    <mergeCell ref="J13:K13"/>
    <mergeCell ref="B26:D26"/>
    <mergeCell ref="E26:F26"/>
    <mergeCell ref="G26:I26"/>
    <mergeCell ref="J26:K26"/>
    <mergeCell ref="B24:F24"/>
    <mergeCell ref="G24:K24"/>
    <mergeCell ref="E25:F25"/>
    <mergeCell ref="J25:K25"/>
    <mergeCell ref="J40:K40"/>
    <mergeCell ref="E27:F27"/>
    <mergeCell ref="F14:F17"/>
    <mergeCell ref="E12:F12"/>
    <mergeCell ref="B41:D41"/>
    <mergeCell ref="E41:F41"/>
    <mergeCell ref="G41:I41"/>
    <mergeCell ref="E28:F28"/>
    <mergeCell ref="B9:F9"/>
    <mergeCell ref="G9:K9"/>
    <mergeCell ref="E10:F10"/>
    <mergeCell ref="J10:K10"/>
    <mergeCell ref="J12:K12"/>
    <mergeCell ref="J11:K11"/>
    <mergeCell ref="G11:I11"/>
  </mergeCells>
  <phoneticPr fontId="2" type="noConversion"/>
  <pageMargins left="0.59055118110236227" right="0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  <vt:lpstr>2010.g.</vt:lpstr>
      <vt:lpstr>2009.g.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Aldis Lāma</dc:creator>
  <cp:lastModifiedBy>Aldis.Lama</cp:lastModifiedBy>
  <cp:lastPrinted>2021-03-30T08:33:52Z</cp:lastPrinted>
  <dcterms:created xsi:type="dcterms:W3CDTF">2009-03-12T07:58:14Z</dcterms:created>
  <dcterms:modified xsi:type="dcterms:W3CDTF">2021-03-30T11:45:24Z</dcterms:modified>
</cp:coreProperties>
</file>