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5525" yWindow="420" windowWidth="12615" windowHeight="9240"/>
  </bookViews>
  <sheets>
    <sheet name="2012_2019" sheetId="8000" r:id="rId1"/>
    <sheet name="1995_2011" sheetId="8001" r:id="rId2"/>
  </sheets>
  <calcPr calcId="152511"/>
</workbook>
</file>

<file path=xl/calcChain.xml><?xml version="1.0" encoding="utf-8"?>
<calcChain xmlns="http://schemas.openxmlformats.org/spreadsheetml/2006/main">
  <c r="R30" i="8000" l="1"/>
  <c r="AO38" i="8000"/>
  <c r="AN38" i="8000"/>
  <c r="AO37" i="8000"/>
  <c r="AN37" i="8000"/>
  <c r="AO36" i="8000"/>
  <c r="AN36" i="8000"/>
  <c r="AO35" i="8000"/>
  <c r="AN35" i="8000"/>
  <c r="S26" i="8000"/>
  <c r="S27" i="8000"/>
  <c r="S28" i="8000"/>
  <c r="S29" i="8000"/>
  <c r="S30" i="8000"/>
  <c r="S31" i="8000"/>
  <c r="S25" i="8000"/>
  <c r="S18" i="8000"/>
  <c r="S19" i="8000"/>
  <c r="S20" i="8000"/>
  <c r="S21" i="8000"/>
  <c r="S23" i="8000"/>
  <c r="S17" i="8000"/>
  <c r="S10" i="8000"/>
  <c r="S11" i="8000"/>
  <c r="S12" i="8000"/>
  <c r="S13" i="8000"/>
  <c r="S15" i="8000"/>
  <c r="S9" i="8000"/>
  <c r="Q31" i="8000"/>
  <c r="O31" i="8000"/>
  <c r="M31" i="8000"/>
  <c r="K31" i="8000"/>
  <c r="I31" i="8000"/>
  <c r="G31" i="8000"/>
  <c r="E31" i="8000"/>
  <c r="C31" i="8000"/>
  <c r="P30" i="8000"/>
  <c r="Q30" i="8000"/>
  <c r="N30" i="8000"/>
  <c r="O30" i="8000" s="1"/>
  <c r="L30" i="8000"/>
  <c r="M30" i="8000"/>
  <c r="J30" i="8000"/>
  <c r="K30" i="8000" s="1"/>
  <c r="H30" i="8000"/>
  <c r="I30" i="8000"/>
  <c r="F30" i="8000"/>
  <c r="G30" i="8000" s="1"/>
  <c r="D30" i="8000"/>
  <c r="E30" i="8000"/>
  <c r="B30" i="8000"/>
  <c r="C30" i="8000" s="1"/>
  <c r="Q29" i="8000"/>
  <c r="O29" i="8000"/>
  <c r="M29" i="8000"/>
  <c r="K29" i="8000"/>
  <c r="I29" i="8000"/>
  <c r="G29" i="8000"/>
  <c r="E29" i="8000"/>
  <c r="C29" i="8000"/>
  <c r="Q28" i="8000"/>
  <c r="O28" i="8000"/>
  <c r="M28" i="8000"/>
  <c r="K28" i="8000"/>
  <c r="I28" i="8000"/>
  <c r="G28" i="8000"/>
  <c r="E28" i="8000"/>
  <c r="C28" i="8000"/>
  <c r="Q27" i="8000"/>
  <c r="O27" i="8000"/>
  <c r="M27" i="8000"/>
  <c r="K27" i="8000"/>
  <c r="I27" i="8000"/>
  <c r="G27" i="8000"/>
  <c r="E27" i="8000"/>
  <c r="C27" i="8000"/>
  <c r="Q26" i="8000"/>
  <c r="O26" i="8000"/>
  <c r="M26" i="8000"/>
  <c r="K26" i="8000"/>
  <c r="I26" i="8000"/>
  <c r="G26" i="8000"/>
  <c r="E26" i="8000"/>
  <c r="C26" i="8000"/>
  <c r="Q25" i="8000"/>
  <c r="O25" i="8000"/>
  <c r="M25" i="8000"/>
  <c r="K25" i="8000"/>
  <c r="I25" i="8000"/>
  <c r="G25" i="8000"/>
  <c r="E25" i="8000"/>
  <c r="C25" i="8000"/>
  <c r="Q23" i="8000"/>
  <c r="O23" i="8000"/>
  <c r="M23" i="8000"/>
  <c r="K23" i="8000"/>
  <c r="I23" i="8000"/>
  <c r="G23" i="8000"/>
  <c r="E23" i="8000"/>
  <c r="C23" i="8000"/>
  <c r="P22" i="8000"/>
  <c r="Q22" i="8000"/>
  <c r="N22" i="8000"/>
  <c r="V22" i="8000" s="1"/>
  <c r="W22" i="8000" s="1"/>
  <c r="L22" i="8000"/>
  <c r="M22" i="8000"/>
  <c r="J22" i="8000"/>
  <c r="K22" i="8000" s="1"/>
  <c r="H22" i="8000"/>
  <c r="I22" i="8000"/>
  <c r="F22" i="8000"/>
  <c r="G22" i="8000" s="1"/>
  <c r="D22" i="8000"/>
  <c r="E22" i="8000"/>
  <c r="B22" i="8000"/>
  <c r="C22" i="8000" s="1"/>
  <c r="Q21" i="8000"/>
  <c r="O21" i="8000"/>
  <c r="M21" i="8000"/>
  <c r="K21" i="8000"/>
  <c r="I21" i="8000"/>
  <c r="G21" i="8000"/>
  <c r="E21" i="8000"/>
  <c r="C21" i="8000"/>
  <c r="Q20" i="8000"/>
  <c r="O20" i="8000"/>
  <c r="M20" i="8000"/>
  <c r="K20" i="8000"/>
  <c r="I20" i="8000"/>
  <c r="G20" i="8000"/>
  <c r="E20" i="8000"/>
  <c r="C20" i="8000"/>
  <c r="Q19" i="8000"/>
  <c r="O19" i="8000"/>
  <c r="M19" i="8000"/>
  <c r="K19" i="8000"/>
  <c r="I19" i="8000"/>
  <c r="G19" i="8000"/>
  <c r="E19" i="8000"/>
  <c r="C19" i="8000"/>
  <c r="Q18" i="8000"/>
  <c r="O18" i="8000"/>
  <c r="M18" i="8000"/>
  <c r="K18" i="8000"/>
  <c r="I18" i="8000"/>
  <c r="G18" i="8000"/>
  <c r="E18" i="8000"/>
  <c r="C18" i="8000"/>
  <c r="Q17" i="8000"/>
  <c r="O17" i="8000"/>
  <c r="M17" i="8000"/>
  <c r="K17" i="8000"/>
  <c r="I17" i="8000"/>
  <c r="G17" i="8000"/>
  <c r="E17" i="8000"/>
  <c r="C17" i="8000"/>
  <c r="Q15" i="8000"/>
  <c r="O15" i="8000"/>
  <c r="M15" i="8000"/>
  <c r="K15" i="8000"/>
  <c r="I15" i="8000"/>
  <c r="G15" i="8000"/>
  <c r="P14" i="8000"/>
  <c r="Q14" i="8000" s="1"/>
  <c r="N14" i="8000"/>
  <c r="O14" i="8000"/>
  <c r="L14" i="8000"/>
  <c r="V14" i="8000" s="1"/>
  <c r="W14" i="8000" s="1"/>
  <c r="J14" i="8000"/>
  <c r="K14" i="8000"/>
  <c r="H14" i="8000"/>
  <c r="I14" i="8000" s="1"/>
  <c r="F14" i="8000"/>
  <c r="G14" i="8000"/>
  <c r="Q13" i="8000"/>
  <c r="O13" i="8000"/>
  <c r="M13" i="8000"/>
  <c r="K13" i="8000"/>
  <c r="I13" i="8000"/>
  <c r="G13" i="8000"/>
  <c r="Q12" i="8000"/>
  <c r="O12" i="8000"/>
  <c r="M12" i="8000"/>
  <c r="K12" i="8000"/>
  <c r="I12" i="8000"/>
  <c r="G12" i="8000"/>
  <c r="Q11" i="8000"/>
  <c r="O11" i="8000"/>
  <c r="M11" i="8000"/>
  <c r="K11" i="8000"/>
  <c r="I11" i="8000"/>
  <c r="G11" i="8000"/>
  <c r="Q10" i="8000"/>
  <c r="O10" i="8000"/>
  <c r="M10" i="8000"/>
  <c r="K10" i="8000"/>
  <c r="I10" i="8000"/>
  <c r="G10" i="8000"/>
  <c r="Q9" i="8000"/>
  <c r="O9" i="8000"/>
  <c r="M9" i="8000"/>
  <c r="K9" i="8000"/>
  <c r="I9" i="8000"/>
  <c r="G9" i="8000"/>
  <c r="AI32" i="8001"/>
  <c r="AI30" i="8001"/>
  <c r="AI29" i="8001"/>
  <c r="AI28" i="8001"/>
  <c r="AI27" i="8001"/>
  <c r="AI26" i="8001"/>
  <c r="AI24" i="8001"/>
  <c r="AI22" i="8001"/>
  <c r="AI21" i="8001"/>
  <c r="AI20" i="8001"/>
  <c r="AI19" i="8001"/>
  <c r="AI18" i="8001"/>
  <c r="AG24" i="8001"/>
  <c r="AG22" i="8001"/>
  <c r="AG21" i="8001"/>
  <c r="AG20" i="8001"/>
  <c r="AG19" i="8001"/>
  <c r="AG18" i="8001"/>
  <c r="AE24" i="8001"/>
  <c r="AE22" i="8001"/>
  <c r="AE21" i="8001"/>
  <c r="AE20" i="8001"/>
  <c r="AE19" i="8001"/>
  <c r="AE18" i="8001"/>
  <c r="AC24" i="8001"/>
  <c r="AC22" i="8001"/>
  <c r="AC21" i="8001"/>
  <c r="AC20" i="8001"/>
  <c r="AC19" i="8001"/>
  <c r="AC18" i="8001"/>
  <c r="AA32" i="8001"/>
  <c r="Y32" i="8001"/>
  <c r="W32" i="8001"/>
  <c r="U32" i="8001"/>
  <c r="S32" i="8001"/>
  <c r="Q32" i="8001"/>
  <c r="O32" i="8001"/>
  <c r="M32" i="8001"/>
  <c r="K32" i="8001"/>
  <c r="I32" i="8001"/>
  <c r="G32" i="8001"/>
  <c r="E32" i="8001"/>
  <c r="C32" i="8001"/>
  <c r="Z31" i="8001"/>
  <c r="AA31" i="8001" s="1"/>
  <c r="X31" i="8001"/>
  <c r="Y31" i="8001"/>
  <c r="V31" i="8001"/>
  <c r="W31" i="8001" s="1"/>
  <c r="T31" i="8001"/>
  <c r="U31" i="8001"/>
  <c r="R31" i="8001"/>
  <c r="S31" i="8001" s="1"/>
  <c r="P31" i="8001"/>
  <c r="Q31" i="8001"/>
  <c r="N31" i="8001"/>
  <c r="O31" i="8001" s="1"/>
  <c r="L31" i="8001"/>
  <c r="M31" i="8001"/>
  <c r="J31" i="8001"/>
  <c r="K31" i="8001" s="1"/>
  <c r="H31" i="8001"/>
  <c r="I31" i="8001"/>
  <c r="F31" i="8001"/>
  <c r="G31" i="8001" s="1"/>
  <c r="D31" i="8001"/>
  <c r="E31" i="8001"/>
  <c r="B31" i="8001"/>
  <c r="C31" i="8001" s="1"/>
  <c r="AA30" i="8001"/>
  <c r="AA29" i="8001"/>
  <c r="Y29" i="8001"/>
  <c r="W29" i="8001"/>
  <c r="U29" i="8001"/>
  <c r="S29" i="8001"/>
  <c r="Q29" i="8001"/>
  <c r="O29" i="8001"/>
  <c r="M29" i="8001"/>
  <c r="K29" i="8001"/>
  <c r="I29" i="8001"/>
  <c r="G29" i="8001"/>
  <c r="E29" i="8001"/>
  <c r="C29" i="8001"/>
  <c r="AA28" i="8001"/>
  <c r="Y28" i="8001"/>
  <c r="W28" i="8001"/>
  <c r="U28" i="8001"/>
  <c r="S28" i="8001"/>
  <c r="Q28" i="8001"/>
  <c r="O28" i="8001"/>
  <c r="M28" i="8001"/>
  <c r="K28" i="8001"/>
  <c r="I28" i="8001"/>
  <c r="G28" i="8001"/>
  <c r="E28" i="8001"/>
  <c r="C28" i="8001"/>
  <c r="AA27" i="8001"/>
  <c r="Y27" i="8001"/>
  <c r="W27" i="8001"/>
  <c r="U27" i="8001"/>
  <c r="S27" i="8001"/>
  <c r="Q27" i="8001"/>
  <c r="O27" i="8001"/>
  <c r="M27" i="8001"/>
  <c r="K27" i="8001"/>
  <c r="I27" i="8001"/>
  <c r="G27" i="8001"/>
  <c r="E27" i="8001"/>
  <c r="C27" i="8001"/>
  <c r="AA26" i="8001"/>
  <c r="Y26" i="8001"/>
  <c r="W26" i="8001"/>
  <c r="U26" i="8001"/>
  <c r="S26" i="8001"/>
  <c r="Q26" i="8001"/>
  <c r="O26" i="8001"/>
  <c r="M26" i="8001"/>
  <c r="K26" i="8001"/>
  <c r="I26" i="8001"/>
  <c r="G26" i="8001"/>
  <c r="E26" i="8001"/>
  <c r="C26" i="8001"/>
  <c r="AA24" i="8001"/>
  <c r="Y24" i="8001"/>
  <c r="W24" i="8001"/>
  <c r="U24" i="8001"/>
  <c r="S24" i="8001"/>
  <c r="Q24" i="8001"/>
  <c r="O24" i="8001"/>
  <c r="M24" i="8001"/>
  <c r="K24" i="8001"/>
  <c r="I24" i="8001"/>
  <c r="G24" i="8001"/>
  <c r="E24" i="8001"/>
  <c r="C24" i="8001"/>
  <c r="Z23" i="8001"/>
  <c r="AA23" i="8001" s="1"/>
  <c r="X23" i="8001"/>
  <c r="Y23" i="8001"/>
  <c r="V23" i="8001"/>
  <c r="W23" i="8001" s="1"/>
  <c r="T23" i="8001"/>
  <c r="U23" i="8001"/>
  <c r="R23" i="8001"/>
  <c r="S23" i="8001" s="1"/>
  <c r="P23" i="8001"/>
  <c r="Q23" i="8001"/>
  <c r="N23" i="8001"/>
  <c r="O23" i="8001" s="1"/>
  <c r="L23" i="8001"/>
  <c r="M23" i="8001"/>
  <c r="J23" i="8001"/>
  <c r="K23" i="8001" s="1"/>
  <c r="H23" i="8001"/>
  <c r="I23" i="8001"/>
  <c r="F23" i="8001"/>
  <c r="G23" i="8001" s="1"/>
  <c r="D23" i="8001"/>
  <c r="E23" i="8001"/>
  <c r="B23" i="8001"/>
  <c r="C23" i="8001" s="1"/>
  <c r="AA22" i="8001"/>
  <c r="AA21" i="8001"/>
  <c r="Y21" i="8001"/>
  <c r="W21" i="8001"/>
  <c r="U21" i="8001"/>
  <c r="S21" i="8001"/>
  <c r="Q21" i="8001"/>
  <c r="O21" i="8001"/>
  <c r="M21" i="8001"/>
  <c r="K21" i="8001"/>
  <c r="I21" i="8001"/>
  <c r="G21" i="8001"/>
  <c r="E21" i="8001"/>
  <c r="C21" i="8001"/>
  <c r="AA20" i="8001"/>
  <c r="Y20" i="8001"/>
  <c r="W20" i="8001"/>
  <c r="U20" i="8001"/>
  <c r="S20" i="8001"/>
  <c r="Q20" i="8001"/>
  <c r="O20" i="8001"/>
  <c r="M20" i="8001"/>
  <c r="K20" i="8001"/>
  <c r="I20" i="8001"/>
  <c r="G20" i="8001"/>
  <c r="E20" i="8001"/>
  <c r="C20" i="8001"/>
  <c r="AA19" i="8001"/>
  <c r="Y19" i="8001"/>
  <c r="W19" i="8001"/>
  <c r="U19" i="8001"/>
  <c r="S19" i="8001"/>
  <c r="Q19" i="8001"/>
  <c r="O19" i="8001"/>
  <c r="M19" i="8001"/>
  <c r="K19" i="8001"/>
  <c r="I19" i="8001"/>
  <c r="G19" i="8001"/>
  <c r="E19" i="8001"/>
  <c r="C19" i="8001"/>
  <c r="AA18" i="8001"/>
  <c r="Y18" i="8001"/>
  <c r="W18" i="8001"/>
  <c r="U18" i="8001"/>
  <c r="S18" i="8001"/>
  <c r="Q18" i="8001"/>
  <c r="O18" i="8001"/>
  <c r="M18" i="8001"/>
  <c r="K18" i="8001"/>
  <c r="I18" i="8001"/>
  <c r="G18" i="8001"/>
  <c r="E18" i="8001"/>
  <c r="C18" i="8001"/>
  <c r="AA16" i="8001"/>
  <c r="Y16" i="8001"/>
  <c r="W16" i="8001"/>
  <c r="U16" i="8001"/>
  <c r="S16" i="8001"/>
  <c r="Q16" i="8001"/>
  <c r="O16" i="8001"/>
  <c r="M16" i="8001"/>
  <c r="K16" i="8001"/>
  <c r="I16" i="8001"/>
  <c r="G16" i="8001"/>
  <c r="E16" i="8001"/>
  <c r="C16" i="8001"/>
  <c r="Z15" i="8001"/>
  <c r="X15" i="8001"/>
  <c r="Y15" i="8001"/>
  <c r="V15" i="8001"/>
  <c r="T15" i="8001"/>
  <c r="U15" i="8001" s="1"/>
  <c r="R15" i="8001"/>
  <c r="P15" i="8001"/>
  <c r="Q15" i="8001" s="1"/>
  <c r="N15" i="8001"/>
  <c r="L15" i="8001"/>
  <c r="M15" i="8001"/>
  <c r="J15" i="8001"/>
  <c r="H15" i="8001"/>
  <c r="I15" i="8001"/>
  <c r="F15" i="8001"/>
  <c r="D15" i="8001"/>
  <c r="E15" i="8001" s="1"/>
  <c r="B15" i="8001"/>
  <c r="AA14" i="8001"/>
  <c r="AA13" i="8001"/>
  <c r="Y13" i="8001"/>
  <c r="W13" i="8001"/>
  <c r="U13" i="8001"/>
  <c r="S13" i="8001"/>
  <c r="Q13" i="8001"/>
  <c r="O13" i="8001"/>
  <c r="M13" i="8001"/>
  <c r="K13" i="8001"/>
  <c r="I13" i="8001"/>
  <c r="G13" i="8001"/>
  <c r="E13" i="8001"/>
  <c r="C13" i="8001"/>
  <c r="AA12" i="8001"/>
  <c r="Y12" i="8001"/>
  <c r="W12" i="8001"/>
  <c r="U12" i="8001"/>
  <c r="S12" i="8001"/>
  <c r="Q12" i="8001"/>
  <c r="O12" i="8001"/>
  <c r="M12" i="8001"/>
  <c r="K12" i="8001"/>
  <c r="I12" i="8001"/>
  <c r="G12" i="8001"/>
  <c r="E12" i="8001"/>
  <c r="C12" i="8001"/>
  <c r="AA11" i="8001"/>
  <c r="Y11" i="8001"/>
  <c r="W11" i="8001"/>
  <c r="U11" i="8001"/>
  <c r="S11" i="8001"/>
  <c r="Q11" i="8001"/>
  <c r="O11" i="8001"/>
  <c r="M11" i="8001"/>
  <c r="K11" i="8001"/>
  <c r="I11" i="8001"/>
  <c r="G11" i="8001"/>
  <c r="E11" i="8001"/>
  <c r="C11" i="8001"/>
  <c r="AA10" i="8001"/>
  <c r="Y10" i="8001"/>
  <c r="W10" i="8001"/>
  <c r="U10" i="8001"/>
  <c r="S10" i="8001"/>
  <c r="Q10" i="8001"/>
  <c r="O10" i="8001"/>
  <c r="M10" i="8001"/>
  <c r="K10" i="8001"/>
  <c r="I10" i="8001"/>
  <c r="G10" i="8001"/>
  <c r="E10" i="8001"/>
  <c r="C10" i="8001"/>
  <c r="R22" i="8000"/>
  <c r="S22" i="8000" s="1"/>
  <c r="C15" i="8001"/>
  <c r="G15" i="8001"/>
  <c r="K15" i="8001"/>
  <c r="O15" i="8001"/>
  <c r="S15" i="8001"/>
  <c r="W15" i="8001"/>
  <c r="AA15" i="8001"/>
  <c r="R14" i="8000"/>
  <c r="S14" i="8000"/>
  <c r="V31" i="8000"/>
  <c r="W28" i="8000" s="1"/>
  <c r="V29" i="8000"/>
  <c r="V28" i="8000"/>
  <c r="V27" i="8000"/>
  <c r="W27" i="8000" s="1"/>
  <c r="V26" i="8000"/>
  <c r="V23" i="8000"/>
  <c r="W23" i="8000"/>
  <c r="V21" i="8000"/>
  <c r="W21" i="8000" s="1"/>
  <c r="V20" i="8000"/>
  <c r="V19" i="8000"/>
  <c r="V18" i="8000"/>
  <c r="V17" i="8000"/>
  <c r="V15" i="8000"/>
  <c r="W15" i="8000" s="1"/>
  <c r="V13" i="8000"/>
  <c r="V12" i="8000"/>
  <c r="W12" i="8000" s="1"/>
  <c r="W61" i="8000" s="1"/>
  <c r="V11" i="8000"/>
  <c r="V10" i="8000"/>
  <c r="V9" i="8000"/>
  <c r="W25" i="8000"/>
  <c r="W17" i="8000"/>
  <c r="W19" i="8000"/>
  <c r="W18" i="8000"/>
  <c r="W20" i="8000"/>
  <c r="W9" i="8000"/>
  <c r="W58" i="8000" s="1"/>
  <c r="W11" i="8000"/>
  <c r="W60" i="8000" s="1"/>
  <c r="W10" i="8000"/>
  <c r="W59" i="8000"/>
  <c r="W13" i="8000"/>
  <c r="W62" i="8000"/>
  <c r="AP38" i="8000"/>
  <c r="AP37" i="8000"/>
  <c r="AP36" i="8000"/>
  <c r="AP35" i="8000"/>
  <c r="W64" i="8000" l="1"/>
  <c r="W63" i="8000" s="1"/>
  <c r="Y58" i="8000"/>
  <c r="V30" i="8000"/>
  <c r="W30" i="8000" s="1"/>
  <c r="W26" i="8000"/>
  <c r="W31" i="8000"/>
  <c r="M14" i="8000"/>
  <c r="O22" i="8000"/>
  <c r="W29" i="8000"/>
</calcChain>
</file>

<file path=xl/sharedStrings.xml><?xml version="1.0" encoding="utf-8"?>
<sst xmlns="http://schemas.openxmlformats.org/spreadsheetml/2006/main" count="203" uniqueCount="66">
  <si>
    <t>Ievainoti</t>
  </si>
  <si>
    <t>Kopā</t>
  </si>
  <si>
    <t>sk.</t>
  </si>
  <si>
    <t>%</t>
  </si>
  <si>
    <t>Kopā mazaizsargātie</t>
  </si>
  <si>
    <t>Pārējie</t>
  </si>
  <si>
    <t>CSNg ar cietušajiem</t>
  </si>
  <si>
    <t xml:space="preserve"> </t>
  </si>
  <si>
    <t>CSNg AR CIETUŠAJIEM SKAITA IZMAIŅU DINAMIKA</t>
  </si>
  <si>
    <t>2007.g.</t>
  </si>
  <si>
    <t>2008.g.</t>
  </si>
  <si>
    <t>Velosipēds*</t>
  </si>
  <si>
    <t>Mopēds*</t>
  </si>
  <si>
    <t>Motocikls*</t>
  </si>
  <si>
    <t>* šo transportlīdzekļu vadītāji un pasažieri</t>
  </si>
  <si>
    <t>Velosipēds</t>
  </si>
  <si>
    <t>Mopēds</t>
  </si>
  <si>
    <t>Motocikls</t>
  </si>
  <si>
    <t>Gājējs</t>
  </si>
  <si>
    <t>Kvadricikls</t>
  </si>
  <si>
    <t>Kvadricikls*</t>
  </si>
  <si>
    <t xml:space="preserve">Bojā gājuši </t>
  </si>
  <si>
    <t>2009.g.</t>
  </si>
  <si>
    <t>2010.g.</t>
  </si>
  <si>
    <t>2011.g.</t>
  </si>
  <si>
    <t>2012.g.</t>
  </si>
  <si>
    <t>Velosipēdists</t>
  </si>
  <si>
    <t>Motociklists</t>
  </si>
  <si>
    <t>2013.g.</t>
  </si>
  <si>
    <t>Mopēdists</t>
  </si>
  <si>
    <t>2014.g.</t>
  </si>
  <si>
    <t>2015.g.</t>
  </si>
  <si>
    <t xml:space="preserve">                                                   </t>
  </si>
  <si>
    <t xml:space="preserve">              </t>
  </si>
  <si>
    <t xml:space="preserve">                                                               </t>
  </si>
  <si>
    <t>CEĻU SATIKSMES DROŠĪBAS RAKSTURLIELUMI LATVIJĀ</t>
  </si>
  <si>
    <t>1995.g.</t>
  </si>
  <si>
    <t>1996.g.</t>
  </si>
  <si>
    <t>1997.g.</t>
  </si>
  <si>
    <t>1998.g.</t>
  </si>
  <si>
    <t>1999.g.</t>
  </si>
  <si>
    <t>2000.g.</t>
  </si>
  <si>
    <t>2001.g.</t>
  </si>
  <si>
    <t>2002.g.</t>
  </si>
  <si>
    <t>2003.g.</t>
  </si>
  <si>
    <t>2004.g.</t>
  </si>
  <si>
    <t>2005.g.</t>
  </si>
  <si>
    <t>2006.g.</t>
  </si>
  <si>
    <t>Gājēji</t>
  </si>
  <si>
    <t>Velosipēdisti*</t>
  </si>
  <si>
    <t>Mopēdisti*</t>
  </si>
  <si>
    <t>Motociklisti*</t>
  </si>
  <si>
    <t>Kvadraciklisti*</t>
  </si>
  <si>
    <t>…</t>
  </si>
  <si>
    <t xml:space="preserve">Bojā gājušie </t>
  </si>
  <si>
    <t>* kopā ar šo transportlīdzekļu pasažieriem</t>
  </si>
  <si>
    <t>2016.g.</t>
  </si>
  <si>
    <t>2017.g.</t>
  </si>
  <si>
    <t>2018.g.</t>
  </si>
  <si>
    <t>CEĻU SATIKSMES NEGADĪJUMI AR MAZAIZSARGĀTAJIEM CEĻU SATIKSMES DALĪBNIEKIEM</t>
  </si>
  <si>
    <t>2019.g.</t>
  </si>
  <si>
    <t>Valsts autoceļi</t>
  </si>
  <si>
    <t>Cita vieta</t>
  </si>
  <si>
    <t>2020.g.</t>
  </si>
  <si>
    <t>2016.-2020.gvid</t>
  </si>
  <si>
    <t>CSNgsm SKAITS PĒC SATIKSMES DALĪBNIEKA STATUSA (2016. - 2020. GADU VIDĒJAIS)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</si>
</sst>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22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6"/>
      <name val="Times New Roman"/>
      <family val="1"/>
      <charset val="186"/>
    </font>
    <font>
      <sz val="9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8"/>
      <color indexed="8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Times New Roman"/>
      <family val="1"/>
      <charset val="186"/>
    </font>
    <font>
      <sz val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sz val="10"/>
      <color indexed="9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6"/>
      <color indexed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6"/>
      <color indexed="8"/>
      <name val="Times New Roman"/>
      <family val="1"/>
      <charset val="186"/>
    </font>
    <font>
      <sz val="10"/>
      <color indexed="9"/>
      <name val="Arial"/>
      <family val="2"/>
      <charset val="186"/>
    </font>
    <font>
      <sz val="8"/>
      <name val="Arial"/>
      <charset val="18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Border="1" applyAlignment="1">
      <alignment horizontal="centerContinuous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9" fontId="7" fillId="0" borderId="0" xfId="1" applyNumberFormat="1" applyFont="1" applyBorder="1"/>
    <xf numFmtId="1" fontId="7" fillId="0" borderId="0" xfId="0" applyNumberFormat="1" applyFont="1" applyBorder="1"/>
    <xf numFmtId="9" fontId="7" fillId="0" borderId="0" xfId="1" applyNumberFormat="1" applyFont="1" applyBorder="1" applyAlignment="1"/>
    <xf numFmtId="0" fontId="9" fillId="0" borderId="1" xfId="0" applyFont="1" applyBorder="1"/>
    <xf numFmtId="1" fontId="9" fillId="0" borderId="1" xfId="0" applyNumberFormat="1" applyFont="1" applyBorder="1"/>
    <xf numFmtId="9" fontId="9" fillId="0" borderId="1" xfId="1" applyNumberFormat="1" applyFont="1" applyBorder="1"/>
    <xf numFmtId="9" fontId="10" fillId="0" borderId="1" xfId="1" applyNumberFormat="1" applyFont="1" applyBorder="1"/>
    <xf numFmtId="0" fontId="9" fillId="0" borderId="0" xfId="0" applyFont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70" fontId="10" fillId="0" borderId="0" xfId="1" applyNumberFormat="1" applyFont="1" applyFill="1" applyBorder="1"/>
    <xf numFmtId="9" fontId="10" fillId="0" borderId="0" xfId="1" applyNumberFormat="1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6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9" fontId="11" fillId="0" borderId="1" xfId="1" applyNumberFormat="1" applyFont="1" applyBorder="1"/>
    <xf numFmtId="1" fontId="11" fillId="0" borderId="1" xfId="0" applyNumberFormat="1" applyFont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Continuous"/>
    </xf>
    <xf numFmtId="9" fontId="15" fillId="0" borderId="0" xfId="1" applyFont="1" applyFill="1" applyBorder="1"/>
    <xf numFmtId="0" fontId="9" fillId="0" borderId="1" xfId="0" applyFont="1" applyFill="1" applyBorder="1"/>
    <xf numFmtId="1" fontId="9" fillId="0" borderId="1" xfId="0" applyNumberFormat="1" applyFont="1" applyFill="1" applyBorder="1"/>
    <xf numFmtId="170" fontId="10" fillId="0" borderId="1" xfId="1" applyNumberFormat="1" applyFont="1" applyFill="1" applyBorder="1"/>
    <xf numFmtId="170" fontId="9" fillId="0" borderId="1" xfId="1" applyNumberFormat="1" applyFont="1" applyFill="1" applyBorder="1"/>
    <xf numFmtId="170" fontId="11" fillId="0" borderId="1" xfId="1" applyNumberFormat="1" applyFont="1" applyFill="1" applyBorder="1"/>
    <xf numFmtId="1" fontId="11" fillId="0" borderId="1" xfId="0" applyNumberFormat="1" applyFont="1" applyFill="1" applyBorder="1"/>
    <xf numFmtId="0" fontId="9" fillId="0" borderId="1" xfId="0" applyFont="1" applyFill="1" applyBorder="1" applyAlignment="1"/>
    <xf numFmtId="9" fontId="11" fillId="0" borderId="1" xfId="1" applyNumberFormat="1" applyFont="1" applyFill="1" applyBorder="1"/>
    <xf numFmtId="0" fontId="16" fillId="0" borderId="0" xfId="0" applyFont="1" applyBorder="1"/>
    <xf numFmtId="170" fontId="9" fillId="0" borderId="1" xfId="1" applyNumberFormat="1" applyFont="1" applyBorder="1"/>
    <xf numFmtId="170" fontId="10" fillId="0" borderId="1" xfId="1" applyNumberFormat="1" applyFont="1" applyBorder="1"/>
    <xf numFmtId="0" fontId="9" fillId="0" borderId="1" xfId="0" applyFont="1" applyBorder="1" applyAlignment="1">
      <alignment horizontal="right"/>
    </xf>
    <xf numFmtId="9" fontId="9" fillId="0" borderId="1" xfId="1" applyFont="1" applyBorder="1"/>
    <xf numFmtId="0" fontId="9" fillId="0" borderId="1" xfId="0" applyFont="1" applyBorder="1" applyAlignment="1"/>
    <xf numFmtId="170" fontId="9" fillId="0" borderId="1" xfId="1" applyNumberFormat="1" applyFont="1" applyBorder="1" applyAlignment="1"/>
    <xf numFmtId="1" fontId="9" fillId="0" borderId="1" xfId="0" applyNumberFormat="1" applyFont="1" applyBorder="1" applyAlignment="1"/>
    <xf numFmtId="9" fontId="9" fillId="0" borderId="1" xfId="1" applyNumberFormat="1" applyFont="1" applyBorder="1" applyAlignment="1"/>
    <xf numFmtId="0" fontId="7" fillId="0" borderId="0" xfId="0" applyFont="1" applyBorder="1"/>
    <xf numFmtId="9" fontId="7" fillId="0" borderId="0" xfId="1" applyFont="1" applyBorder="1"/>
    <xf numFmtId="10" fontId="15" fillId="0" borderId="0" xfId="0" applyNumberFormat="1" applyFont="1" applyFill="1" applyBorder="1" applyAlignment="1">
      <alignment horizontal="center"/>
    </xf>
    <xf numFmtId="0" fontId="15" fillId="0" borderId="0" xfId="0" applyFont="1" applyBorder="1"/>
    <xf numFmtId="0" fontId="16" fillId="0" borderId="0" xfId="0" applyFont="1" applyFill="1" applyBorder="1"/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5" fillId="0" borderId="7" xfId="0" applyFont="1" applyBorder="1"/>
    <xf numFmtId="0" fontId="2" fillId="0" borderId="8" xfId="0" applyFont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170" fontId="11" fillId="0" borderId="0" xfId="1" applyNumberFormat="1" applyFont="1" applyFill="1" applyBorder="1"/>
    <xf numFmtId="9" fontId="11" fillId="0" borderId="0" xfId="1" applyNumberFormat="1" applyFont="1" applyFill="1" applyBorder="1"/>
    <xf numFmtId="0" fontId="19" fillId="0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1" fontId="15" fillId="0" borderId="0" xfId="0" applyNumberFormat="1" applyFont="1" applyFill="1" applyBorder="1"/>
    <xf numFmtId="170" fontId="15" fillId="0" borderId="0" xfId="1" applyNumberFormat="1" applyFont="1" applyFill="1" applyBorder="1"/>
    <xf numFmtId="170" fontId="15" fillId="0" borderId="0" xfId="0" applyNumberFormat="1" applyFont="1" applyFill="1" applyBorder="1"/>
    <xf numFmtId="0" fontId="20" fillId="0" borderId="0" xfId="0" applyFont="1" applyFill="1" applyBorder="1"/>
    <xf numFmtId="170" fontId="20" fillId="0" borderId="0" xfId="0" applyNumberFormat="1" applyFont="1" applyFill="1" applyBorder="1"/>
    <xf numFmtId="0" fontId="20" fillId="0" borderId="0" xfId="0" applyNumberFormat="1" applyFont="1" applyFill="1" applyBorder="1"/>
    <xf numFmtId="10" fontId="15" fillId="0" borderId="0" xfId="0" applyNumberFormat="1" applyFont="1" applyFill="1" applyBorder="1"/>
    <xf numFmtId="9" fontId="15" fillId="0" borderId="0" xfId="0" applyNumberFormat="1" applyFont="1" applyFill="1" applyBorder="1"/>
    <xf numFmtId="1" fontId="2" fillId="0" borderId="0" xfId="0" applyNumberFormat="1" applyFont="1" applyFill="1" applyBorder="1"/>
    <xf numFmtId="0" fontId="17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2" borderId="1" xfId="0" applyFont="1" applyFill="1" applyBorder="1"/>
    <xf numFmtId="1" fontId="9" fillId="2" borderId="1" xfId="0" applyNumberFormat="1" applyFont="1" applyFill="1" applyBorder="1"/>
    <xf numFmtId="170" fontId="11" fillId="2" borderId="1" xfId="1" applyNumberFormat="1" applyFont="1" applyFill="1" applyBorder="1"/>
    <xf numFmtId="1" fontId="10" fillId="2" borderId="1" xfId="0" applyNumberFormat="1" applyFont="1" applyFill="1" applyBorder="1"/>
    <xf numFmtId="0" fontId="12" fillId="2" borderId="1" xfId="0" applyFont="1" applyFill="1" applyBorder="1"/>
    <xf numFmtId="1" fontId="13" fillId="2" borderId="1" xfId="0" applyNumberFormat="1" applyFont="1" applyFill="1" applyBorder="1"/>
    <xf numFmtId="170" fontId="14" fillId="2" borderId="1" xfId="1" applyNumberFormat="1" applyFont="1" applyFill="1" applyBorder="1"/>
    <xf numFmtId="170" fontId="9" fillId="2" borderId="1" xfId="1" applyNumberFormat="1" applyFont="1" applyFill="1" applyBorder="1"/>
    <xf numFmtId="0" fontId="10" fillId="2" borderId="1" xfId="0" applyFont="1" applyFill="1" applyBorder="1"/>
    <xf numFmtId="170" fontId="10" fillId="2" borderId="1" xfId="1" applyNumberFormat="1" applyFont="1" applyFill="1" applyBorder="1"/>
    <xf numFmtId="170" fontId="9" fillId="2" borderId="1" xfId="1" applyNumberFormat="1" applyFont="1" applyFill="1" applyBorder="1" applyAlignment="1"/>
    <xf numFmtId="170" fontId="13" fillId="2" borderId="1" xfId="1" applyNumberFormat="1" applyFont="1" applyFill="1" applyBorder="1"/>
    <xf numFmtId="170" fontId="12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14003834627054"/>
          <c:y val="4.8707199271323963E-2"/>
          <c:w val="0.57801492898494067"/>
          <c:h val="0.83409724469372837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7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explosion val="40"/>
            <c:spPr>
              <a:solidFill>
                <a:srgbClr val="3399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4593734293851567E-2"/>
                  <c:y val="-0.23417874135596065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Gājējs
22,5%</a:t>
                    </a:r>
                  </a:p>
                </c:rich>
              </c:tx>
              <c:spPr>
                <a:solidFill>
                  <a:srgbClr val="FFFFC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861953426034512E-2"/>
                  <c:y val="1.517132276273673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Velosipēds
17,0%</a:t>
                    </a:r>
                  </a:p>
                </c:rich>
              </c:tx>
              <c:spPr>
                <a:solidFill>
                  <a:srgbClr val="CCFFCC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660691349751493E-2"/>
                  <c:y val="3.913613538033772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Mopēds
3,3%</a:t>
                    </a:r>
                  </a:p>
                </c:rich>
              </c:tx>
              <c:spPr>
                <a:solidFill>
                  <a:srgbClr val="A0E0E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620756282529607E-2"/>
                  <c:y val="6.0172669905623394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Motocikls
6,6%</a:t>
                    </a:r>
                  </a:p>
                </c:rich>
              </c:tx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496044377431523E-2"/>
                  <c:y val="-0.15276645213868814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Kvadricikls
0,6%</a:t>
                    </a:r>
                  </a:p>
                </c:rich>
              </c:tx>
              <c:spPr>
                <a:solidFill>
                  <a:srgbClr val="339933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878148210197086E-3"/>
                  <c:y val="3.697982957609750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Cits
50,0%</a:t>
                    </a:r>
                  </a:p>
                </c:rich>
              </c:tx>
              <c:spPr>
                <a:solidFill>
                  <a:srgbClr val="FF808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'2012_2019'!$V$58:$V$63</c:f>
              <c:strCache>
                <c:ptCount val="6"/>
                <c:pt idx="0">
                  <c:v>Gājējs</c:v>
                </c:pt>
                <c:pt idx="1">
                  <c:v>Velosipēds</c:v>
                </c:pt>
                <c:pt idx="2">
                  <c:v>Mopēds</c:v>
                </c:pt>
                <c:pt idx="3">
                  <c:v>Motocikls</c:v>
                </c:pt>
                <c:pt idx="4">
                  <c:v>Kvadricikls</c:v>
                </c:pt>
                <c:pt idx="5">
                  <c:v>Pārējie</c:v>
                </c:pt>
              </c:strCache>
            </c:strRef>
          </c:cat>
          <c:val>
            <c:numRef>
              <c:f>'2012_2019'!$W$58:$W$63</c:f>
              <c:numCache>
                <c:formatCode>0.00%</c:formatCode>
                <c:ptCount val="6"/>
                <c:pt idx="0">
                  <c:v>0.2244060935336103</c:v>
                </c:pt>
                <c:pt idx="1">
                  <c:v>0.16948971982529029</c:v>
                </c:pt>
                <c:pt idx="2">
                  <c:v>3.3343986364120594E-2</c:v>
                </c:pt>
                <c:pt idx="3">
                  <c:v>6.6421646958559705E-2</c:v>
                </c:pt>
                <c:pt idx="4">
                  <c:v>6.1254927026739101E-3</c:v>
                </c:pt>
                <c:pt idx="5">
                  <c:v>0.50021306061574522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74587802076098E-2"/>
          <c:y val="4.4630404463040445E-2"/>
          <c:w val="0.89770877719352338"/>
          <c:h val="0.73500697350069732"/>
        </c:manualLayout>
      </c:layout>
      <c:lineChart>
        <c:grouping val="standard"/>
        <c:varyColors val="0"/>
        <c:ser>
          <c:idx val="0"/>
          <c:order val="0"/>
          <c:tx>
            <c:strRef>
              <c:f>'2012_2019'!$V$35</c:f>
              <c:strCache>
                <c:ptCount val="1"/>
                <c:pt idx="0">
                  <c:v>Gājējs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'2012_2019'!$W$34:$AP$34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'2012_2019'!$W$35:$AP$35</c:f>
              <c:numCache>
                <c:formatCode>0%</c:formatCode>
                <c:ptCount val="20"/>
                <c:pt idx="0">
                  <c:v>1</c:v>
                </c:pt>
                <c:pt idx="1">
                  <c:v>1.0550673696543644</c:v>
                </c:pt>
                <c:pt idx="2">
                  <c:v>1.1113063854715877</c:v>
                </c:pt>
                <c:pt idx="3">
                  <c:v>1.0222612770943176</c:v>
                </c:pt>
                <c:pt idx="4">
                  <c:v>0.90158172231985945</c:v>
                </c:pt>
                <c:pt idx="5">
                  <c:v>0.83714118336262444</c:v>
                </c:pt>
                <c:pt idx="6">
                  <c:v>0.88810779144698304</c:v>
                </c:pt>
                <c:pt idx="7">
                  <c:v>0.72290568248388987</c:v>
                </c:pt>
                <c:pt idx="8">
                  <c:v>0.53895723491505565</c:v>
                </c:pt>
                <c:pt idx="9">
                  <c:v>0.56707674282366727</c:v>
                </c:pt>
                <c:pt idx="10">
                  <c:v>0.57293497363796131</c:v>
                </c:pt>
                <c:pt idx="11">
                  <c:v>0.5588752196836555</c:v>
                </c:pt>
                <c:pt idx="12">
                  <c:v>0.56063268892794371</c:v>
                </c:pt>
                <c:pt idx="13">
                  <c:v>0.57762155828939665</c:v>
                </c:pt>
                <c:pt idx="14">
                  <c:v>0.54130052724077327</c:v>
                </c:pt>
                <c:pt idx="15">
                  <c:v>0.54481546572934969</c:v>
                </c:pt>
                <c:pt idx="16">
                  <c:v>0.5459871118922085</c:v>
                </c:pt>
                <c:pt idx="17">
                  <c:v>0.51728178090216759</c:v>
                </c:pt>
                <c:pt idx="18">
                  <c:v>0.47334504979496195</c:v>
                </c:pt>
                <c:pt idx="19">
                  <c:v>0.38664323374340948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'2012_2019'!$V$36</c:f>
              <c:strCache>
                <c:ptCount val="1"/>
                <c:pt idx="0">
                  <c:v>Velosipēdists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'2012_2019'!$W$34:$AP$34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'2012_2019'!$W$36:$AP$36</c:f>
              <c:numCache>
                <c:formatCode>0%</c:formatCode>
                <c:ptCount val="20"/>
                <c:pt idx="0">
                  <c:v>1</c:v>
                </c:pt>
                <c:pt idx="1">
                  <c:v>1.28486646884273</c:v>
                </c:pt>
                <c:pt idx="2">
                  <c:v>1.3234421364985163</c:v>
                </c:pt>
                <c:pt idx="3">
                  <c:v>1.1038575667655786</c:v>
                </c:pt>
                <c:pt idx="4">
                  <c:v>1.0504451038575668</c:v>
                </c:pt>
                <c:pt idx="5">
                  <c:v>0.90801186943620182</c:v>
                </c:pt>
                <c:pt idx="6">
                  <c:v>0.85459940652818989</c:v>
                </c:pt>
                <c:pt idx="7">
                  <c:v>0.79525222551928787</c:v>
                </c:pt>
                <c:pt idx="8">
                  <c:v>0.83382789317507422</c:v>
                </c:pt>
                <c:pt idx="9">
                  <c:v>1.0029673590504451</c:v>
                </c:pt>
                <c:pt idx="10">
                  <c:v>1.2640949554896141</c:v>
                </c:pt>
                <c:pt idx="11">
                  <c:v>1.2255192878338279</c:v>
                </c:pt>
                <c:pt idx="12">
                  <c:v>1.2937685459940653</c:v>
                </c:pt>
                <c:pt idx="13">
                  <c:v>1.4836795252225519</c:v>
                </c:pt>
                <c:pt idx="14">
                  <c:v>1.6201780415430267</c:v>
                </c:pt>
                <c:pt idx="15">
                  <c:v>1.7329376854599408</c:v>
                </c:pt>
                <c:pt idx="16">
                  <c:v>1.7744807121661721</c:v>
                </c:pt>
                <c:pt idx="17">
                  <c:v>1.9881305637982196</c:v>
                </c:pt>
                <c:pt idx="18">
                  <c:v>1.9584569732937684</c:v>
                </c:pt>
                <c:pt idx="19">
                  <c:v>1.9881305637982196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'2012_2019'!$V$37</c:f>
              <c:strCache>
                <c:ptCount val="1"/>
                <c:pt idx="0">
                  <c:v>Mopēdists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'2012_2019'!$W$34:$AP$34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'2012_2019'!$W$37:$AP$37</c:f>
              <c:numCache>
                <c:formatCode>0%</c:formatCode>
                <c:ptCount val="20"/>
                <c:pt idx="0">
                  <c:v>1</c:v>
                </c:pt>
                <c:pt idx="1">
                  <c:v>1.043010752688172</c:v>
                </c:pt>
                <c:pt idx="2">
                  <c:v>1.6559139784946237</c:v>
                </c:pt>
                <c:pt idx="3">
                  <c:v>1.1397849462365592</c:v>
                </c:pt>
                <c:pt idx="4">
                  <c:v>1.053763440860215</c:v>
                </c:pt>
                <c:pt idx="5">
                  <c:v>1.2688172043010753</c:v>
                </c:pt>
                <c:pt idx="6">
                  <c:v>1.5268817204301075</c:v>
                </c:pt>
                <c:pt idx="7">
                  <c:v>1.5698924731182795</c:v>
                </c:pt>
                <c:pt idx="8">
                  <c:v>1.118279569892473</c:v>
                </c:pt>
                <c:pt idx="9">
                  <c:v>1.3548387096774193</c:v>
                </c:pt>
                <c:pt idx="10">
                  <c:v>1.5053763440860215</c:v>
                </c:pt>
                <c:pt idx="11">
                  <c:v>1.4086021505376345</c:v>
                </c:pt>
                <c:pt idx="12">
                  <c:v>1.2365591397849462</c:v>
                </c:pt>
                <c:pt idx="13">
                  <c:v>1.3548387096774193</c:v>
                </c:pt>
                <c:pt idx="14">
                  <c:v>1.3763440860215055</c:v>
                </c:pt>
                <c:pt idx="15">
                  <c:v>1.3440860215053763</c:v>
                </c:pt>
                <c:pt idx="16">
                  <c:v>1.4516129032258065</c:v>
                </c:pt>
                <c:pt idx="17">
                  <c:v>1.3333333333333333</c:v>
                </c:pt>
                <c:pt idx="18">
                  <c:v>1.3548387096774193</c:v>
                </c:pt>
                <c:pt idx="19">
                  <c:v>1.2473118279569892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'2012_2019'!$V$38</c:f>
              <c:strCache>
                <c:ptCount val="1"/>
                <c:pt idx="0">
                  <c:v>Motociklists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'2012_2019'!$W$34:$AP$34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'2012_2019'!$W$38:$AP$38</c:f>
              <c:numCache>
                <c:formatCode>0%</c:formatCode>
                <c:ptCount val="20"/>
                <c:pt idx="0">
                  <c:v>1</c:v>
                </c:pt>
                <c:pt idx="1">
                  <c:v>1.3892617449664431</c:v>
                </c:pt>
                <c:pt idx="2">
                  <c:v>1.3557046979865772</c:v>
                </c:pt>
                <c:pt idx="3">
                  <c:v>1.2147651006711409</c:v>
                </c:pt>
                <c:pt idx="4">
                  <c:v>1.1677852348993289</c:v>
                </c:pt>
                <c:pt idx="5">
                  <c:v>1.080536912751678</c:v>
                </c:pt>
                <c:pt idx="6">
                  <c:v>1.5503355704697988</c:v>
                </c:pt>
                <c:pt idx="7">
                  <c:v>2.0134228187919465</c:v>
                </c:pt>
                <c:pt idx="8">
                  <c:v>1.4093959731543624</c:v>
                </c:pt>
                <c:pt idx="9">
                  <c:v>1.2818791946308725</c:v>
                </c:pt>
                <c:pt idx="10">
                  <c:v>1.3959731543624161</c:v>
                </c:pt>
                <c:pt idx="11">
                  <c:v>1.4496644295302012</c:v>
                </c:pt>
                <c:pt idx="12">
                  <c:v>1.5302013422818792</c:v>
                </c:pt>
                <c:pt idx="13">
                  <c:v>1.4093959731543624</c:v>
                </c:pt>
                <c:pt idx="14">
                  <c:v>1.4697986577181208</c:v>
                </c:pt>
                <c:pt idx="15">
                  <c:v>1.5771812080536913</c:v>
                </c:pt>
                <c:pt idx="16">
                  <c:v>1.4228187919463087</c:v>
                </c:pt>
                <c:pt idx="17">
                  <c:v>1.9060402684563758</c:v>
                </c:pt>
                <c:pt idx="18">
                  <c:v>1.8120805369127517</c:v>
                </c:pt>
                <c:pt idx="19">
                  <c:v>1.651006711409396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5944"/>
        <c:axId val="261567512"/>
      </c:lineChart>
      <c:catAx>
        <c:axId val="26156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61567512"/>
        <c:crossesAt val="0.1"/>
        <c:auto val="1"/>
        <c:lblAlgn val="ctr"/>
        <c:lblOffset val="100"/>
        <c:tickMarkSkip val="1"/>
        <c:noMultiLvlLbl val="0"/>
      </c:catAx>
      <c:valAx>
        <c:axId val="261567512"/>
        <c:scaling>
          <c:orientation val="minMax"/>
          <c:max val="2.2000000000000002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61565944"/>
        <c:crosses val="autoZero"/>
        <c:crossBetween val="between"/>
        <c:majorUnit val="0.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7007827725238046E-2"/>
          <c:y val="0.9107391910739191"/>
          <c:w val="0.77601522031968218"/>
          <c:h val="7.81032078103207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51</xdr:row>
      <xdr:rowOff>38100</xdr:rowOff>
    </xdr:from>
    <xdr:to>
      <xdr:col>17</xdr:col>
      <xdr:colOff>85725</xdr:colOff>
      <xdr:row>65</xdr:row>
      <xdr:rowOff>9525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34</xdr:row>
      <xdr:rowOff>19050</xdr:rowOff>
    </xdr:from>
    <xdr:to>
      <xdr:col>17</xdr:col>
      <xdr:colOff>9525</xdr:colOff>
      <xdr:row>48</xdr:row>
      <xdr:rowOff>28575</xdr:rowOff>
    </xdr:to>
    <xdr:graphicFrame macro="">
      <xdr:nvGraphicFramePr>
        <xdr:cNvPr id="102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Y72"/>
  <sheetViews>
    <sheetView tabSelected="1" workbookViewId="0">
      <selection activeCell="A32" sqref="A32"/>
    </sheetView>
  </sheetViews>
  <sheetFormatPr defaultRowHeight="12.75" x14ac:dyDescent="0.2"/>
  <cols>
    <col min="1" max="1" width="14.7109375" style="2" customWidth="1"/>
    <col min="2" max="2" width="4.140625" style="2" customWidth="1"/>
    <col min="3" max="3" width="5" style="2" customWidth="1"/>
    <col min="4" max="4" width="4.140625" style="2" customWidth="1"/>
    <col min="5" max="5" width="5" style="2" customWidth="1"/>
    <col min="6" max="6" width="4.140625" style="2" customWidth="1"/>
    <col min="7" max="7" width="5" style="2" customWidth="1"/>
    <col min="8" max="8" width="4.140625" style="2" customWidth="1"/>
    <col min="9" max="9" width="5" style="2" customWidth="1"/>
    <col min="10" max="10" width="4.140625" style="2" customWidth="1"/>
    <col min="11" max="11" width="5" style="2" customWidth="1"/>
    <col min="12" max="12" width="4.140625" style="2" customWidth="1"/>
    <col min="13" max="13" width="5" style="2" customWidth="1"/>
    <col min="14" max="14" width="4.140625" style="20" customWidth="1"/>
    <col min="15" max="15" width="5" style="20" customWidth="1"/>
    <col min="16" max="16" width="4.140625" style="20" customWidth="1"/>
    <col min="17" max="17" width="5" style="20" customWidth="1"/>
    <col min="18" max="18" width="4.140625" style="20" customWidth="1"/>
    <col min="19" max="19" width="5" style="20" customWidth="1"/>
    <col min="20" max="20" width="0.5703125" style="20" customWidth="1"/>
    <col min="21" max="21" width="8" style="49" customWidth="1"/>
    <col min="22" max="22" width="12" style="25" customWidth="1"/>
    <col min="23" max="23" width="7.5703125" style="25" customWidth="1"/>
    <col min="24" max="25" width="5.5703125" style="25" customWidth="1"/>
    <col min="26" max="26" width="7.140625" style="25" customWidth="1"/>
    <col min="27" max="44" width="5.5703125" style="25" customWidth="1"/>
    <col min="45" max="45" width="6.5703125" style="36" customWidth="1"/>
    <col min="46" max="46" width="4.5703125" style="36" customWidth="1"/>
    <col min="47" max="49" width="4.5703125" style="48" customWidth="1"/>
    <col min="50" max="50" width="4.5703125" style="36" customWidth="1"/>
    <col min="51" max="52" width="4.7109375" style="2" customWidth="1"/>
    <col min="53" max="16384" width="9.140625" style="2"/>
  </cols>
  <sheetData>
    <row r="4" spans="1:50" x14ac:dyDescent="0.2">
      <c r="A4" s="83" t="s">
        <v>59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13"/>
      <c r="U4" s="57"/>
    </row>
    <row r="5" spans="1:50" ht="10.5" customHeight="1" x14ac:dyDescent="0.2">
      <c r="F5" s="1"/>
      <c r="G5" s="1"/>
      <c r="H5" s="1"/>
      <c r="I5" s="1"/>
      <c r="J5" s="1"/>
      <c r="K5" s="1"/>
      <c r="L5" s="1"/>
      <c r="M5" s="1"/>
      <c r="N5" s="14"/>
      <c r="O5" s="14"/>
      <c r="P5" s="14"/>
      <c r="Q5" s="14"/>
      <c r="R5" s="14"/>
      <c r="S5" s="14"/>
      <c r="T5" s="14"/>
      <c r="U5" s="58"/>
      <c r="V5" s="26"/>
      <c r="W5" s="26"/>
      <c r="X5" s="26"/>
    </row>
    <row r="6" spans="1:50" ht="12" customHeight="1" x14ac:dyDescent="0.2">
      <c r="B6" s="84" t="s">
        <v>25</v>
      </c>
      <c r="C6" s="85"/>
      <c r="D6" s="84" t="s">
        <v>28</v>
      </c>
      <c r="E6" s="85"/>
      <c r="F6" s="84" t="s">
        <v>30</v>
      </c>
      <c r="G6" s="85"/>
      <c r="H6" s="84" t="s">
        <v>31</v>
      </c>
      <c r="I6" s="85"/>
      <c r="J6" s="84" t="s">
        <v>56</v>
      </c>
      <c r="K6" s="85"/>
      <c r="L6" s="84" t="s">
        <v>57</v>
      </c>
      <c r="M6" s="85"/>
      <c r="N6" s="84" t="s">
        <v>58</v>
      </c>
      <c r="O6" s="85"/>
      <c r="P6" s="76" t="s">
        <v>60</v>
      </c>
      <c r="Q6" s="76"/>
      <c r="R6" s="76" t="s">
        <v>63</v>
      </c>
      <c r="S6" s="76"/>
      <c r="T6" s="15"/>
      <c r="U6" s="59"/>
    </row>
    <row r="7" spans="1:50" ht="12" customHeight="1" x14ac:dyDescent="0.2">
      <c r="A7" s="4"/>
      <c r="B7" s="3" t="s">
        <v>2</v>
      </c>
      <c r="C7" s="3" t="s">
        <v>3</v>
      </c>
      <c r="D7" s="3" t="s">
        <v>2</v>
      </c>
      <c r="E7" s="3" t="s">
        <v>3</v>
      </c>
      <c r="F7" s="3" t="s">
        <v>2</v>
      </c>
      <c r="G7" s="3" t="s">
        <v>3</v>
      </c>
      <c r="H7" s="3" t="s">
        <v>2</v>
      </c>
      <c r="I7" s="3" t="s">
        <v>3</v>
      </c>
      <c r="J7" s="3" t="s">
        <v>2</v>
      </c>
      <c r="K7" s="3" t="s">
        <v>3</v>
      </c>
      <c r="L7" s="3" t="s">
        <v>2</v>
      </c>
      <c r="M7" s="3" t="s">
        <v>3</v>
      </c>
      <c r="N7" s="3" t="s">
        <v>2</v>
      </c>
      <c r="O7" s="3" t="s">
        <v>3</v>
      </c>
      <c r="P7" s="3" t="s">
        <v>2</v>
      </c>
      <c r="Q7" s="3" t="s">
        <v>3</v>
      </c>
      <c r="R7" s="3" t="s">
        <v>2</v>
      </c>
      <c r="S7" s="3" t="s">
        <v>3</v>
      </c>
      <c r="T7" s="15"/>
      <c r="U7" s="59"/>
      <c r="V7" s="25" t="s">
        <v>64</v>
      </c>
    </row>
    <row r="8" spans="1:50" ht="12" customHeight="1" x14ac:dyDescent="0.2">
      <c r="A8" s="77" t="s">
        <v>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9"/>
      <c r="T8" s="16"/>
      <c r="U8" s="60"/>
      <c r="Z8" s="65"/>
      <c r="AA8" s="65"/>
      <c r="AB8" s="65"/>
      <c r="AS8" s="49"/>
      <c r="AT8" s="49"/>
      <c r="AU8" s="25"/>
    </row>
    <row r="9" spans="1:50" ht="12" customHeight="1" x14ac:dyDescent="0.2">
      <c r="A9" s="28" t="s">
        <v>18</v>
      </c>
      <c r="B9" s="29">
        <v>954</v>
      </c>
      <c r="C9" s="32">
        <v>0.28409767718880286</v>
      </c>
      <c r="D9" s="33">
        <v>957</v>
      </c>
      <c r="E9" s="32">
        <v>0.27429062768701634</v>
      </c>
      <c r="F9" s="33">
        <v>986</v>
      </c>
      <c r="G9" s="32">
        <f>F9/3728</f>
        <v>0.26448497854077252</v>
      </c>
      <c r="H9" s="33">
        <v>924</v>
      </c>
      <c r="I9" s="32">
        <f t="shared" ref="I9:I15" si="0">H9/3692</f>
        <v>0.2502708559046587</v>
      </c>
      <c r="J9" s="33">
        <v>930</v>
      </c>
      <c r="K9" s="32">
        <f t="shared" ref="K9:K15" si="1">J9/3792</f>
        <v>0.24525316455696203</v>
      </c>
      <c r="L9" s="33">
        <v>932</v>
      </c>
      <c r="M9" s="32">
        <f>L9/3875</f>
        <v>0.24051612903225805</v>
      </c>
      <c r="N9" s="33">
        <v>883</v>
      </c>
      <c r="O9" s="32">
        <f>N9/3975</f>
        <v>0.22213836477987423</v>
      </c>
      <c r="P9" s="33">
        <v>808</v>
      </c>
      <c r="Q9" s="32">
        <f>P9/3729</f>
        <v>0.21668007508715473</v>
      </c>
      <c r="R9" s="33">
        <v>660</v>
      </c>
      <c r="S9" s="32">
        <f>R9/3403</f>
        <v>0.1939465177784308</v>
      </c>
      <c r="T9" s="17"/>
      <c r="U9" s="61"/>
      <c r="V9" s="66">
        <f>AVERAGE(R9,L9,N9,P9,J9)</f>
        <v>842.6</v>
      </c>
      <c r="W9" s="67">
        <f>V9/V15</f>
        <v>0.2244060935336103</v>
      </c>
      <c r="X9" s="68"/>
      <c r="Z9" s="69"/>
      <c r="AA9" s="70"/>
      <c r="AB9" s="71"/>
      <c r="AS9" s="49"/>
      <c r="AT9" s="49"/>
      <c r="AU9" s="25"/>
      <c r="AV9" s="48" t="s">
        <v>61</v>
      </c>
      <c r="AW9" s="48" t="s">
        <v>62</v>
      </c>
      <c r="AX9" s="36" t="s">
        <v>1</v>
      </c>
    </row>
    <row r="10" spans="1:50" ht="12" customHeight="1" x14ac:dyDescent="0.2">
      <c r="A10" s="28" t="s">
        <v>15</v>
      </c>
      <c r="B10" s="29">
        <v>413</v>
      </c>
      <c r="C10" s="32">
        <v>0.12298987492555093</v>
      </c>
      <c r="D10" s="33">
        <v>436</v>
      </c>
      <c r="E10" s="32">
        <v>0.12496417311550588</v>
      </c>
      <c r="F10" s="33">
        <v>500</v>
      </c>
      <c r="G10" s="32">
        <f t="shared" ref="G10:G15" si="2">F10/3728</f>
        <v>0.13412017167381973</v>
      </c>
      <c r="H10" s="33">
        <v>546</v>
      </c>
      <c r="I10" s="32">
        <f t="shared" si="0"/>
        <v>0.14788732394366197</v>
      </c>
      <c r="J10" s="33">
        <v>584</v>
      </c>
      <c r="K10" s="32">
        <f t="shared" si="1"/>
        <v>0.15400843881856541</v>
      </c>
      <c r="L10" s="33">
        <v>598</v>
      </c>
      <c r="M10" s="32">
        <f t="shared" ref="M10:M15" si="3">L10/3875</f>
        <v>0.1543225806451613</v>
      </c>
      <c r="N10" s="33">
        <v>670</v>
      </c>
      <c r="O10" s="32">
        <f t="shared" ref="O10:O15" si="4">N10/3975</f>
        <v>0.16855345911949685</v>
      </c>
      <c r="P10" s="33">
        <v>660</v>
      </c>
      <c r="Q10" s="32">
        <f t="shared" ref="Q10:Q15" si="5">P10/3729</f>
        <v>0.17699115044247787</v>
      </c>
      <c r="R10" s="33">
        <v>670</v>
      </c>
      <c r="S10" s="32">
        <f t="shared" ref="S10:S15" si="6">R10/3403</f>
        <v>0.1968851013811343</v>
      </c>
      <c r="T10" s="17"/>
      <c r="U10" s="61"/>
      <c r="V10" s="66">
        <f t="shared" ref="V10:V15" si="7">AVERAGE(R10,L10,N10,P10,J10)</f>
        <v>636.4</v>
      </c>
      <c r="W10" s="67">
        <f>V10/V15</f>
        <v>0.16948971982529029</v>
      </c>
      <c r="Z10" s="70"/>
      <c r="AA10" s="71"/>
      <c r="AB10" s="71"/>
      <c r="AS10" s="49"/>
      <c r="AT10" s="49"/>
      <c r="AU10" s="25"/>
      <c r="AV10" s="48">
        <v>5</v>
      </c>
      <c r="AW10" s="48">
        <v>3</v>
      </c>
      <c r="AX10" s="36">
        <v>16</v>
      </c>
    </row>
    <row r="11" spans="1:50" ht="12" customHeight="1" x14ac:dyDescent="0.2">
      <c r="A11" s="28" t="s">
        <v>16</v>
      </c>
      <c r="B11" s="29">
        <v>131</v>
      </c>
      <c r="C11" s="32">
        <v>3.901131625967838E-2</v>
      </c>
      <c r="D11" s="33">
        <v>115</v>
      </c>
      <c r="E11" s="32">
        <v>3.296073373459444E-2</v>
      </c>
      <c r="F11" s="33">
        <v>126</v>
      </c>
      <c r="G11" s="32">
        <f t="shared" si="2"/>
        <v>3.3798283261802578E-2</v>
      </c>
      <c r="H11" s="33">
        <v>128</v>
      </c>
      <c r="I11" s="32">
        <f t="shared" si="0"/>
        <v>3.4669555796316358E-2</v>
      </c>
      <c r="J11" s="33">
        <v>125</v>
      </c>
      <c r="K11" s="32">
        <f t="shared" si="1"/>
        <v>3.2964135021097046E-2</v>
      </c>
      <c r="L11" s="33">
        <v>135</v>
      </c>
      <c r="M11" s="32">
        <f t="shared" si="3"/>
        <v>3.4838709677419352E-2</v>
      </c>
      <c r="N11" s="33">
        <v>124</v>
      </c>
      <c r="O11" s="32">
        <f t="shared" si="4"/>
        <v>3.1194968553459119E-2</v>
      </c>
      <c r="P11" s="33">
        <v>126</v>
      </c>
      <c r="Q11" s="32">
        <f t="shared" si="5"/>
        <v>3.3789219629927592E-2</v>
      </c>
      <c r="R11" s="33">
        <v>116</v>
      </c>
      <c r="S11" s="32">
        <f t="shared" si="6"/>
        <v>3.4087569791360565E-2</v>
      </c>
      <c r="T11" s="17"/>
      <c r="U11" s="61"/>
      <c r="V11" s="66">
        <f t="shared" si="7"/>
        <v>125.2</v>
      </c>
      <c r="W11" s="67">
        <f>V11/V15</f>
        <v>3.3343986364120594E-2</v>
      </c>
      <c r="Z11" s="69"/>
      <c r="AA11" s="71"/>
      <c r="AB11" s="71"/>
      <c r="AE11" s="67"/>
      <c r="AS11" s="49"/>
      <c r="AT11" s="49"/>
      <c r="AU11" s="25"/>
      <c r="AV11" s="48">
        <v>11</v>
      </c>
      <c r="AW11" s="48">
        <v>7</v>
      </c>
      <c r="AX11" s="36">
        <v>39</v>
      </c>
    </row>
    <row r="12" spans="1:50" ht="12" customHeight="1" x14ac:dyDescent="0.2">
      <c r="A12" s="28" t="s">
        <v>17</v>
      </c>
      <c r="B12" s="29">
        <v>216</v>
      </c>
      <c r="C12" s="32">
        <v>6.432400238237046E-2</v>
      </c>
      <c r="D12" s="33">
        <v>228</v>
      </c>
      <c r="E12" s="32">
        <v>6.5348237317282884E-2</v>
      </c>
      <c r="F12" s="33">
        <v>210</v>
      </c>
      <c r="G12" s="32">
        <f t="shared" si="2"/>
        <v>5.6330472103004292E-2</v>
      </c>
      <c r="H12" s="33">
        <v>219</v>
      </c>
      <c r="I12" s="32">
        <f t="shared" si="0"/>
        <v>5.9317443120260022E-2</v>
      </c>
      <c r="J12" s="33">
        <v>235</v>
      </c>
      <c r="K12" s="32">
        <f t="shared" si="1"/>
        <v>6.1972573839662447E-2</v>
      </c>
      <c r="L12" s="33">
        <v>212</v>
      </c>
      <c r="M12" s="32">
        <f t="shared" si="3"/>
        <v>5.4709677419354841E-2</v>
      </c>
      <c r="N12" s="33">
        <v>284</v>
      </c>
      <c r="O12" s="32">
        <f t="shared" si="4"/>
        <v>7.1446540880503145E-2</v>
      </c>
      <c r="P12" s="33">
        <v>270</v>
      </c>
      <c r="Q12" s="32">
        <f t="shared" si="5"/>
        <v>7.2405470635559133E-2</v>
      </c>
      <c r="R12" s="33">
        <v>246</v>
      </c>
      <c r="S12" s="32">
        <f t="shared" si="6"/>
        <v>7.2289156626506021E-2</v>
      </c>
      <c r="T12" s="17"/>
      <c r="U12" s="61"/>
      <c r="V12" s="66">
        <f t="shared" si="7"/>
        <v>249.4</v>
      </c>
      <c r="W12" s="67">
        <f>V12/V15</f>
        <v>6.6421646958559705E-2</v>
      </c>
      <c r="Z12" s="69"/>
      <c r="AA12" s="71"/>
      <c r="AB12" s="71"/>
      <c r="AE12" s="67"/>
      <c r="AS12" s="49"/>
      <c r="AT12" s="49"/>
      <c r="AU12" s="25"/>
      <c r="AV12" s="48">
        <v>2</v>
      </c>
      <c r="AW12" s="48">
        <v>5</v>
      </c>
      <c r="AX12" s="36">
        <v>8</v>
      </c>
    </row>
    <row r="13" spans="1:50" ht="12" customHeight="1" x14ac:dyDescent="0.2">
      <c r="A13" s="28" t="s">
        <v>19</v>
      </c>
      <c r="B13" s="29">
        <v>19</v>
      </c>
      <c r="C13" s="32">
        <v>5.658129839189994E-3</v>
      </c>
      <c r="D13" s="33">
        <v>16</v>
      </c>
      <c r="E13" s="32">
        <v>4.5858412152479221E-3</v>
      </c>
      <c r="F13" s="33">
        <v>17</v>
      </c>
      <c r="G13" s="32">
        <f t="shared" si="2"/>
        <v>4.5600858369098714E-3</v>
      </c>
      <c r="H13" s="33">
        <v>17</v>
      </c>
      <c r="I13" s="32">
        <f t="shared" si="0"/>
        <v>4.6045503791982663E-3</v>
      </c>
      <c r="J13" s="33">
        <v>25</v>
      </c>
      <c r="K13" s="32">
        <f t="shared" si="1"/>
        <v>6.5928270042194094E-3</v>
      </c>
      <c r="L13" s="33">
        <v>19</v>
      </c>
      <c r="M13" s="32">
        <f t="shared" si="3"/>
        <v>4.9032258064516127E-3</v>
      </c>
      <c r="N13" s="33">
        <v>22</v>
      </c>
      <c r="O13" s="32">
        <f t="shared" si="4"/>
        <v>5.5345911949685536E-3</v>
      </c>
      <c r="P13" s="33">
        <v>20</v>
      </c>
      <c r="Q13" s="32">
        <f t="shared" si="5"/>
        <v>5.3633681952266025E-3</v>
      </c>
      <c r="R13" s="33">
        <v>29</v>
      </c>
      <c r="S13" s="32">
        <f t="shared" si="6"/>
        <v>8.5218924478401414E-3</v>
      </c>
      <c r="T13" s="17"/>
      <c r="U13" s="61"/>
      <c r="V13" s="66">
        <f t="shared" si="7"/>
        <v>23</v>
      </c>
      <c r="W13" s="67">
        <f>V13/V15</f>
        <v>6.1254927026739101E-3</v>
      </c>
      <c r="Z13" s="69"/>
      <c r="AA13" s="71"/>
      <c r="AB13" s="71"/>
      <c r="AS13" s="49"/>
      <c r="AT13" s="49"/>
      <c r="AU13" s="25"/>
      <c r="AV13" s="48">
        <v>18</v>
      </c>
      <c r="AW13" s="48">
        <v>15</v>
      </c>
      <c r="AX13" s="36">
        <v>63</v>
      </c>
    </row>
    <row r="14" spans="1:50" ht="12" customHeight="1" x14ac:dyDescent="0.2">
      <c r="A14" s="95" t="s">
        <v>4</v>
      </c>
      <c r="B14" s="96">
        <v>1733</v>
      </c>
      <c r="C14" s="97">
        <v>0.51608100059559259</v>
      </c>
      <c r="D14" s="98">
        <v>1752</v>
      </c>
      <c r="E14" s="97">
        <v>0.50214961306964745</v>
      </c>
      <c r="F14" s="98">
        <f>SUM(F9:F13)</f>
        <v>1839</v>
      </c>
      <c r="G14" s="97">
        <f t="shared" si="2"/>
        <v>0.49329399141630903</v>
      </c>
      <c r="H14" s="98">
        <f>SUM(H9:H13)</f>
        <v>1834</v>
      </c>
      <c r="I14" s="97">
        <f t="shared" si="0"/>
        <v>0.49674972914409532</v>
      </c>
      <c r="J14" s="98">
        <f>SUM(J9:J13)</f>
        <v>1899</v>
      </c>
      <c r="K14" s="97">
        <f t="shared" si="1"/>
        <v>0.50079113924050633</v>
      </c>
      <c r="L14" s="98">
        <f>SUM(L9:L13)</f>
        <v>1896</v>
      </c>
      <c r="M14" s="97">
        <f t="shared" si="3"/>
        <v>0.48929032258064514</v>
      </c>
      <c r="N14" s="98">
        <f>SUM(N9:N13)</f>
        <v>1983</v>
      </c>
      <c r="O14" s="97">
        <f t="shared" si="4"/>
        <v>0.49886792452830186</v>
      </c>
      <c r="P14" s="98">
        <f>SUM(P9:P13)</f>
        <v>1884</v>
      </c>
      <c r="Q14" s="97">
        <f t="shared" si="5"/>
        <v>0.50522928399034595</v>
      </c>
      <c r="R14" s="98">
        <f>SUM(R9:R13)</f>
        <v>1721</v>
      </c>
      <c r="S14" s="97">
        <f t="shared" si="6"/>
        <v>0.50573023802527184</v>
      </c>
      <c r="T14" s="17"/>
      <c r="U14" s="61"/>
      <c r="V14" s="66">
        <f t="shared" si="7"/>
        <v>1876.6</v>
      </c>
      <c r="W14" s="67">
        <f>V14/V15</f>
        <v>0.49978693938425478</v>
      </c>
      <c r="Y14" s="68"/>
      <c r="Z14" s="69"/>
      <c r="AA14" s="71"/>
      <c r="AB14" s="71"/>
      <c r="AS14" s="49"/>
      <c r="AT14" s="49"/>
      <c r="AU14" s="25"/>
    </row>
    <row r="15" spans="1:50" ht="12" customHeight="1" x14ac:dyDescent="0.2">
      <c r="A15" s="8" t="s">
        <v>1</v>
      </c>
      <c r="B15" s="9">
        <v>3358</v>
      </c>
      <c r="C15" s="23">
        <v>1</v>
      </c>
      <c r="D15" s="24">
        <v>3489</v>
      </c>
      <c r="E15" s="23">
        <v>1</v>
      </c>
      <c r="F15" s="24">
        <v>3728</v>
      </c>
      <c r="G15" s="23">
        <f t="shared" si="2"/>
        <v>1</v>
      </c>
      <c r="H15" s="24">
        <v>3692</v>
      </c>
      <c r="I15" s="35">
        <f t="shared" si="0"/>
        <v>1</v>
      </c>
      <c r="J15" s="24">
        <v>3792</v>
      </c>
      <c r="K15" s="35">
        <f t="shared" si="1"/>
        <v>1</v>
      </c>
      <c r="L15" s="24">
        <v>3875</v>
      </c>
      <c r="M15" s="35">
        <f t="shared" si="3"/>
        <v>1</v>
      </c>
      <c r="N15" s="24">
        <v>3975</v>
      </c>
      <c r="O15" s="35">
        <f t="shared" si="4"/>
        <v>1</v>
      </c>
      <c r="P15" s="24">
        <v>3729</v>
      </c>
      <c r="Q15" s="35">
        <f t="shared" si="5"/>
        <v>1</v>
      </c>
      <c r="R15" s="24">
        <v>3403</v>
      </c>
      <c r="S15" s="35">
        <f t="shared" si="6"/>
        <v>1</v>
      </c>
      <c r="T15" s="18"/>
      <c r="U15" s="62"/>
      <c r="V15" s="66">
        <f t="shared" si="7"/>
        <v>3754.8</v>
      </c>
      <c r="W15" s="67">
        <f>V15/V15</f>
        <v>1</v>
      </c>
      <c r="Z15" s="67"/>
      <c r="AS15" s="49"/>
      <c r="AT15" s="49"/>
      <c r="AU15" s="25"/>
    </row>
    <row r="16" spans="1:50" ht="12" customHeight="1" x14ac:dyDescent="0.2">
      <c r="A16" s="80" t="s">
        <v>21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2"/>
      <c r="T16" s="19"/>
      <c r="W16" s="68"/>
      <c r="Z16" s="67"/>
    </row>
    <row r="17" spans="1:26" ht="12" customHeight="1" x14ac:dyDescent="0.2">
      <c r="A17" s="34" t="s">
        <v>18</v>
      </c>
      <c r="B17" s="33">
        <v>62</v>
      </c>
      <c r="C17" s="32">
        <f>B17/177</f>
        <v>0.35028248587570621</v>
      </c>
      <c r="D17" s="33">
        <v>70</v>
      </c>
      <c r="E17" s="32">
        <f>D17/179</f>
        <v>0.39106145251396646</v>
      </c>
      <c r="F17" s="33">
        <v>71</v>
      </c>
      <c r="G17" s="32">
        <f>F17/212</f>
        <v>0.33490566037735847</v>
      </c>
      <c r="H17" s="33">
        <v>63</v>
      </c>
      <c r="I17" s="32">
        <f t="shared" ref="I17:I23" si="8">H17/188</f>
        <v>0.33510638297872342</v>
      </c>
      <c r="J17" s="33">
        <v>55</v>
      </c>
      <c r="K17" s="32">
        <f>J17/158</f>
        <v>0.34810126582278483</v>
      </c>
      <c r="L17" s="33">
        <v>51</v>
      </c>
      <c r="M17" s="32">
        <f>L17/136</f>
        <v>0.375</v>
      </c>
      <c r="N17" s="33">
        <v>50</v>
      </c>
      <c r="O17" s="32">
        <f t="shared" ref="O17:O23" si="9">N17/148</f>
        <v>0.33783783783783783</v>
      </c>
      <c r="P17" s="33">
        <v>40</v>
      </c>
      <c r="Q17" s="32">
        <f>P17/132</f>
        <v>0.30303030303030304</v>
      </c>
      <c r="R17" s="33">
        <v>43</v>
      </c>
      <c r="S17" s="32">
        <f>R17/139</f>
        <v>0.30935251798561153</v>
      </c>
      <c r="T17" s="17"/>
      <c r="U17" s="61"/>
      <c r="V17" s="66">
        <f>AVERAGE(R17,L17,N17,P17,J17)</f>
        <v>47.8</v>
      </c>
      <c r="W17" s="67">
        <f>V17/V23</f>
        <v>0.33520336605890605</v>
      </c>
      <c r="X17" s="66"/>
      <c r="Z17" s="67"/>
    </row>
    <row r="18" spans="1:26" ht="12" customHeight="1" x14ac:dyDescent="0.2">
      <c r="A18" s="28" t="s">
        <v>11</v>
      </c>
      <c r="B18" s="33">
        <v>18</v>
      </c>
      <c r="C18" s="32">
        <f t="shared" ref="C18:C23" si="10">B18/177</f>
        <v>0.10169491525423729</v>
      </c>
      <c r="D18" s="33">
        <v>13</v>
      </c>
      <c r="E18" s="32">
        <f t="shared" ref="E18:E23" si="11">D18/179</f>
        <v>7.2625698324022353E-2</v>
      </c>
      <c r="F18" s="33">
        <v>16</v>
      </c>
      <c r="G18" s="32">
        <f t="shared" ref="G18:G23" si="12">F18/212</f>
        <v>7.5471698113207544E-2</v>
      </c>
      <c r="H18" s="33">
        <v>9</v>
      </c>
      <c r="I18" s="32">
        <f t="shared" si="8"/>
        <v>4.7872340425531915E-2</v>
      </c>
      <c r="J18" s="33">
        <v>7</v>
      </c>
      <c r="K18" s="32">
        <f t="shared" ref="K18:K23" si="13">J18/158</f>
        <v>4.4303797468354431E-2</v>
      </c>
      <c r="L18" s="33">
        <v>11</v>
      </c>
      <c r="M18" s="32">
        <f t="shared" ref="M18:M23" si="14">L18/136</f>
        <v>8.0882352941176475E-2</v>
      </c>
      <c r="N18" s="33">
        <v>9</v>
      </c>
      <c r="O18" s="32">
        <f t="shared" si="9"/>
        <v>6.0810810810810814E-2</v>
      </c>
      <c r="P18" s="33">
        <v>9</v>
      </c>
      <c r="Q18" s="32">
        <f t="shared" ref="Q18:Q23" si="15">P18/132</f>
        <v>6.8181818181818177E-2</v>
      </c>
      <c r="R18" s="33">
        <v>17</v>
      </c>
      <c r="S18" s="32">
        <f t="shared" ref="S18:S23" si="16">R18/139</f>
        <v>0.1223021582733813</v>
      </c>
      <c r="T18" s="17"/>
      <c r="U18" s="61"/>
      <c r="V18" s="66">
        <f t="shared" ref="V18:V23" si="17">AVERAGE(R18,L18,N18,P18,J18)</f>
        <v>10.6</v>
      </c>
      <c r="W18" s="67">
        <f>V18/V23</f>
        <v>7.4333800841514724E-2</v>
      </c>
      <c r="Z18" s="67"/>
    </row>
    <row r="19" spans="1:26" ht="12" customHeight="1" x14ac:dyDescent="0.2">
      <c r="A19" s="28" t="s">
        <v>12</v>
      </c>
      <c r="B19" s="33">
        <v>3</v>
      </c>
      <c r="C19" s="32">
        <f t="shared" si="10"/>
        <v>1.6949152542372881E-2</v>
      </c>
      <c r="D19" s="33">
        <v>3</v>
      </c>
      <c r="E19" s="32">
        <f t="shared" si="11"/>
        <v>1.6759776536312849E-2</v>
      </c>
      <c r="F19" s="33">
        <v>6</v>
      </c>
      <c r="G19" s="32">
        <f t="shared" si="12"/>
        <v>2.8301886792452831E-2</v>
      </c>
      <c r="H19" s="33">
        <v>6</v>
      </c>
      <c r="I19" s="32">
        <f t="shared" si="8"/>
        <v>3.1914893617021274E-2</v>
      </c>
      <c r="J19" s="33">
        <v>6</v>
      </c>
      <c r="K19" s="32">
        <f t="shared" si="13"/>
        <v>3.7974683544303799E-2</v>
      </c>
      <c r="L19" s="33">
        <v>6</v>
      </c>
      <c r="M19" s="32">
        <f t="shared" si="14"/>
        <v>4.4117647058823532E-2</v>
      </c>
      <c r="N19" s="33">
        <v>4</v>
      </c>
      <c r="O19" s="32">
        <f t="shared" si="9"/>
        <v>2.7027027027027029E-2</v>
      </c>
      <c r="P19" s="33">
        <v>1</v>
      </c>
      <c r="Q19" s="32">
        <f t="shared" si="15"/>
        <v>7.575757575757576E-3</v>
      </c>
      <c r="R19" s="33">
        <v>2</v>
      </c>
      <c r="S19" s="32">
        <f t="shared" si="16"/>
        <v>1.4388489208633094E-2</v>
      </c>
      <c r="T19" s="17"/>
      <c r="U19" s="61"/>
      <c r="V19" s="66">
        <f t="shared" si="17"/>
        <v>3.8</v>
      </c>
      <c r="W19" s="67">
        <f>V19/V23</f>
        <v>2.6647966339410939E-2</v>
      </c>
      <c r="Z19" s="67"/>
    </row>
    <row r="20" spans="1:26" ht="12" customHeight="1" x14ac:dyDescent="0.2">
      <c r="A20" s="28" t="s">
        <v>13</v>
      </c>
      <c r="B20" s="33">
        <v>7</v>
      </c>
      <c r="C20" s="32">
        <f t="shared" si="10"/>
        <v>3.954802259887006E-2</v>
      </c>
      <c r="D20" s="33">
        <v>10</v>
      </c>
      <c r="E20" s="32">
        <f t="shared" si="11"/>
        <v>5.5865921787709494E-2</v>
      </c>
      <c r="F20" s="33">
        <v>10</v>
      </c>
      <c r="G20" s="32">
        <f t="shared" si="12"/>
        <v>4.716981132075472E-2</v>
      </c>
      <c r="H20" s="33">
        <v>7</v>
      </c>
      <c r="I20" s="32">
        <f t="shared" si="8"/>
        <v>3.7234042553191488E-2</v>
      </c>
      <c r="J20" s="33">
        <v>12</v>
      </c>
      <c r="K20" s="32">
        <f t="shared" si="13"/>
        <v>7.5949367088607597E-2</v>
      </c>
      <c r="L20" s="33">
        <v>1</v>
      </c>
      <c r="M20" s="32">
        <f t="shared" si="14"/>
        <v>7.3529411764705881E-3</v>
      </c>
      <c r="N20" s="33">
        <v>6</v>
      </c>
      <c r="O20" s="32">
        <f t="shared" si="9"/>
        <v>4.0540540540540543E-2</v>
      </c>
      <c r="P20" s="33">
        <v>1</v>
      </c>
      <c r="Q20" s="32">
        <f t="shared" si="15"/>
        <v>7.575757575757576E-3</v>
      </c>
      <c r="R20" s="33">
        <v>6</v>
      </c>
      <c r="S20" s="32">
        <f t="shared" si="16"/>
        <v>4.3165467625899283E-2</v>
      </c>
      <c r="T20" s="17"/>
      <c r="U20" s="61"/>
      <c r="V20" s="66">
        <f t="shared" si="17"/>
        <v>5.2</v>
      </c>
      <c r="W20" s="67">
        <f>V20/V23</f>
        <v>3.6465638148667608E-2</v>
      </c>
      <c r="Z20" s="67"/>
    </row>
    <row r="21" spans="1:26" ht="12" customHeight="1" x14ac:dyDescent="0.2">
      <c r="A21" s="28" t="s">
        <v>20</v>
      </c>
      <c r="B21" s="33">
        <v>1</v>
      </c>
      <c r="C21" s="32">
        <f t="shared" si="10"/>
        <v>5.6497175141242938E-3</v>
      </c>
      <c r="D21" s="33">
        <v>0</v>
      </c>
      <c r="E21" s="32">
        <f t="shared" si="11"/>
        <v>0</v>
      </c>
      <c r="F21" s="33">
        <v>0</v>
      </c>
      <c r="G21" s="32">
        <f t="shared" si="12"/>
        <v>0</v>
      </c>
      <c r="H21" s="33">
        <v>1</v>
      </c>
      <c r="I21" s="32">
        <f t="shared" si="8"/>
        <v>5.3191489361702126E-3</v>
      </c>
      <c r="J21" s="33">
        <v>1</v>
      </c>
      <c r="K21" s="32">
        <f t="shared" si="13"/>
        <v>6.3291139240506328E-3</v>
      </c>
      <c r="L21" s="33">
        <v>0</v>
      </c>
      <c r="M21" s="32">
        <f t="shared" si="14"/>
        <v>0</v>
      </c>
      <c r="N21" s="33">
        <v>2</v>
      </c>
      <c r="O21" s="32">
        <f t="shared" si="9"/>
        <v>1.3513513513513514E-2</v>
      </c>
      <c r="P21" s="33">
        <v>2</v>
      </c>
      <c r="Q21" s="32">
        <f t="shared" si="15"/>
        <v>1.5151515151515152E-2</v>
      </c>
      <c r="R21" s="33">
        <v>1</v>
      </c>
      <c r="S21" s="32">
        <f t="shared" si="16"/>
        <v>7.1942446043165471E-3</v>
      </c>
      <c r="T21" s="17"/>
      <c r="U21" s="61"/>
      <c r="V21" s="66">
        <f t="shared" si="17"/>
        <v>1.2</v>
      </c>
      <c r="W21" s="67">
        <f>V21/V23</f>
        <v>8.4151472650771386E-3</v>
      </c>
      <c r="Z21" s="67"/>
    </row>
    <row r="22" spans="1:26" ht="12" customHeight="1" x14ac:dyDescent="0.2">
      <c r="A22" s="95" t="s">
        <v>4</v>
      </c>
      <c r="B22" s="98">
        <f>SUM(B17:B21)</f>
        <v>91</v>
      </c>
      <c r="C22" s="97">
        <f t="shared" si="10"/>
        <v>0.51412429378531077</v>
      </c>
      <c r="D22" s="98">
        <f>SUM(D17:D21)</f>
        <v>96</v>
      </c>
      <c r="E22" s="97">
        <f t="shared" si="11"/>
        <v>0.53631284916201116</v>
      </c>
      <c r="F22" s="98">
        <f>SUM(F17:F21)</f>
        <v>103</v>
      </c>
      <c r="G22" s="97">
        <f t="shared" si="12"/>
        <v>0.48584905660377359</v>
      </c>
      <c r="H22" s="98">
        <f>SUM(H17:H21)</f>
        <v>86</v>
      </c>
      <c r="I22" s="97">
        <f t="shared" si="8"/>
        <v>0.45744680851063829</v>
      </c>
      <c r="J22" s="98">
        <f>SUM(J17:J21)</f>
        <v>81</v>
      </c>
      <c r="K22" s="97">
        <f t="shared" si="13"/>
        <v>0.51265822784810122</v>
      </c>
      <c r="L22" s="98">
        <f>SUM(L17:L21)</f>
        <v>69</v>
      </c>
      <c r="M22" s="97">
        <f t="shared" si="14"/>
        <v>0.50735294117647056</v>
      </c>
      <c r="N22" s="98">
        <f>SUM(N17:N21)</f>
        <v>71</v>
      </c>
      <c r="O22" s="97">
        <f t="shared" si="9"/>
        <v>0.47972972972972971</v>
      </c>
      <c r="P22" s="98">
        <f>SUM(P17:P21)</f>
        <v>53</v>
      </c>
      <c r="Q22" s="97">
        <f t="shared" si="15"/>
        <v>0.40151515151515149</v>
      </c>
      <c r="R22" s="98">
        <f>SUM(R17:R21)</f>
        <v>69</v>
      </c>
      <c r="S22" s="97">
        <f t="shared" si="16"/>
        <v>0.49640287769784175</v>
      </c>
      <c r="T22" s="17"/>
      <c r="U22" s="61"/>
      <c r="V22" s="66">
        <f t="shared" si="17"/>
        <v>68.599999999999994</v>
      </c>
      <c r="W22" s="67">
        <f>V22/V23</f>
        <v>0.4810659186535764</v>
      </c>
      <c r="Z22" s="67"/>
    </row>
    <row r="23" spans="1:26" ht="12" customHeight="1" x14ac:dyDescent="0.2">
      <c r="A23" s="8" t="s">
        <v>1</v>
      </c>
      <c r="B23" s="24">
        <v>177</v>
      </c>
      <c r="C23" s="23">
        <f t="shared" si="10"/>
        <v>1</v>
      </c>
      <c r="D23" s="24">
        <v>179</v>
      </c>
      <c r="E23" s="23">
        <f t="shared" si="11"/>
        <v>1</v>
      </c>
      <c r="F23" s="24">
        <v>212</v>
      </c>
      <c r="G23" s="23">
        <f t="shared" si="12"/>
        <v>1</v>
      </c>
      <c r="H23" s="24">
        <v>188</v>
      </c>
      <c r="I23" s="35">
        <f t="shared" si="8"/>
        <v>1</v>
      </c>
      <c r="J23" s="24">
        <v>158</v>
      </c>
      <c r="K23" s="35">
        <f t="shared" si="13"/>
        <v>1</v>
      </c>
      <c r="L23" s="24">
        <v>136</v>
      </c>
      <c r="M23" s="35">
        <f t="shared" si="14"/>
        <v>1</v>
      </c>
      <c r="N23" s="24">
        <v>148</v>
      </c>
      <c r="O23" s="35">
        <f t="shared" si="9"/>
        <v>1</v>
      </c>
      <c r="P23" s="24">
        <v>132</v>
      </c>
      <c r="Q23" s="35">
        <f t="shared" si="15"/>
        <v>1</v>
      </c>
      <c r="R23" s="24">
        <v>139</v>
      </c>
      <c r="S23" s="35">
        <f t="shared" si="16"/>
        <v>1</v>
      </c>
      <c r="T23" s="18"/>
      <c r="U23" s="62"/>
      <c r="V23" s="66">
        <f t="shared" si="17"/>
        <v>142.6</v>
      </c>
      <c r="W23" s="67">
        <f>V23/V23</f>
        <v>1</v>
      </c>
      <c r="Z23" s="67"/>
    </row>
    <row r="24" spans="1:26" ht="12" customHeight="1" x14ac:dyDescent="0.2">
      <c r="A24" s="80" t="s">
        <v>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2"/>
      <c r="Z24" s="67"/>
    </row>
    <row r="25" spans="1:26" ht="12" customHeight="1" x14ac:dyDescent="0.2">
      <c r="A25" s="28" t="s">
        <v>18</v>
      </c>
      <c r="B25" s="33">
        <v>918</v>
      </c>
      <c r="C25" s="32">
        <f>B25/4179</f>
        <v>0.21966977745872218</v>
      </c>
      <c r="D25" s="33">
        <v>921</v>
      </c>
      <c r="E25" s="32">
        <f>D25/4338</f>
        <v>0.21230982019363762</v>
      </c>
      <c r="F25" s="33">
        <v>943</v>
      </c>
      <c r="G25" s="32">
        <f>F25/4603</f>
        <v>0.20486639148381491</v>
      </c>
      <c r="H25" s="33">
        <v>881</v>
      </c>
      <c r="I25" s="32">
        <f t="shared" ref="I25:I31" si="18">H25/4566</f>
        <v>0.19294787560227772</v>
      </c>
      <c r="J25" s="33">
        <v>896</v>
      </c>
      <c r="K25" s="32">
        <f>J25/4648</f>
        <v>0.19277108433734941</v>
      </c>
      <c r="L25" s="33">
        <v>899</v>
      </c>
      <c r="M25" s="32">
        <f>L25/4824</f>
        <v>0.18635986733001658</v>
      </c>
      <c r="N25" s="33">
        <v>869</v>
      </c>
      <c r="O25" s="32">
        <f>N25/4789</f>
        <v>0.18145750678638548</v>
      </c>
      <c r="P25" s="33">
        <v>794</v>
      </c>
      <c r="Q25" s="32">
        <f>P25/4559</f>
        <v>0.17416100021934636</v>
      </c>
      <c r="R25" s="33">
        <v>639</v>
      </c>
      <c r="S25" s="32">
        <f>R25/4059</f>
        <v>0.1574279379157428</v>
      </c>
      <c r="T25" s="17"/>
      <c r="U25" s="61"/>
      <c r="V25" s="74"/>
      <c r="W25" s="67">
        <f>V25/V31</f>
        <v>0</v>
      </c>
      <c r="Z25" s="67"/>
    </row>
    <row r="26" spans="1:26" ht="12" customHeight="1" x14ac:dyDescent="0.2">
      <c r="A26" s="28" t="s">
        <v>11</v>
      </c>
      <c r="B26" s="33">
        <v>401</v>
      </c>
      <c r="C26" s="32">
        <f t="shared" ref="C26:C31" si="19">B26/4179</f>
        <v>9.5955970327829626E-2</v>
      </c>
      <c r="D26" s="33">
        <v>439</v>
      </c>
      <c r="E26" s="32">
        <f t="shared" ref="E26:E31" si="20">D26/4338</f>
        <v>0.10119870908252651</v>
      </c>
      <c r="F26" s="33">
        <v>511</v>
      </c>
      <c r="G26" s="32">
        <f t="shared" ref="G26:G31" si="21">F26/4603</f>
        <v>0.11101455572452748</v>
      </c>
      <c r="H26" s="33">
        <v>556</v>
      </c>
      <c r="I26" s="32">
        <f t="shared" si="18"/>
        <v>0.12176960140166447</v>
      </c>
      <c r="J26" s="33">
        <v>588</v>
      </c>
      <c r="K26" s="32">
        <f t="shared" ref="K26:K31" si="22">J26/4648</f>
        <v>0.12650602409638553</v>
      </c>
      <c r="L26" s="33">
        <v>554</v>
      </c>
      <c r="M26" s="32">
        <f t="shared" ref="M26:M31" si="23">L26/4824</f>
        <v>0.11484245439469321</v>
      </c>
      <c r="N26" s="33">
        <v>626</v>
      </c>
      <c r="O26" s="32">
        <f t="shared" ref="O26:O31" si="24">N26/4789</f>
        <v>0.13071622468156191</v>
      </c>
      <c r="P26" s="33">
        <v>613</v>
      </c>
      <c r="Q26" s="32">
        <f t="shared" ref="Q26:Q31" si="25">P26/4559</f>
        <v>0.13445931125246766</v>
      </c>
      <c r="R26" s="33">
        <v>664</v>
      </c>
      <c r="S26" s="32">
        <f t="shared" ref="S26:S31" si="26">R26/4059</f>
        <v>0.16358709041635872</v>
      </c>
      <c r="T26" s="17"/>
      <c r="U26" s="61"/>
      <c r="V26" s="66">
        <f t="shared" ref="V26:V31" si="27">AVERAGE(R26,L26,N26,P26,J26)</f>
        <v>609</v>
      </c>
      <c r="W26" s="67">
        <f>V26/V31</f>
        <v>0.13309148127103457</v>
      </c>
      <c r="Z26" s="67"/>
    </row>
    <row r="27" spans="1:26" ht="12" customHeight="1" x14ac:dyDescent="0.2">
      <c r="A27" s="28" t="s">
        <v>12</v>
      </c>
      <c r="B27" s="33">
        <v>150</v>
      </c>
      <c r="C27" s="32">
        <f t="shared" si="19"/>
        <v>3.5893754486719311E-2</v>
      </c>
      <c r="D27" s="33">
        <v>130</v>
      </c>
      <c r="E27" s="32">
        <f t="shared" si="20"/>
        <v>2.9967727063162749E-2</v>
      </c>
      <c r="F27" s="33">
        <v>135</v>
      </c>
      <c r="G27" s="32">
        <f t="shared" si="21"/>
        <v>2.9328698674777318E-2</v>
      </c>
      <c r="H27" s="33">
        <v>145</v>
      </c>
      <c r="I27" s="32">
        <f t="shared" si="18"/>
        <v>3.175646079719667E-2</v>
      </c>
      <c r="J27" s="33">
        <v>127</v>
      </c>
      <c r="K27" s="32">
        <f t="shared" si="22"/>
        <v>2.7323580034423409E-2</v>
      </c>
      <c r="L27" s="33">
        <v>141</v>
      </c>
      <c r="M27" s="32">
        <f t="shared" si="23"/>
        <v>2.9228855721393034E-2</v>
      </c>
      <c r="N27" s="33">
        <v>122</v>
      </c>
      <c r="O27" s="32">
        <f t="shared" si="24"/>
        <v>2.5475046982668614E-2</v>
      </c>
      <c r="P27" s="33">
        <v>130</v>
      </c>
      <c r="Q27" s="32">
        <f t="shared" si="25"/>
        <v>2.8515025224830008E-2</v>
      </c>
      <c r="R27" s="33">
        <v>122</v>
      </c>
      <c r="S27" s="32">
        <f t="shared" si="26"/>
        <v>3.0056664203005668E-2</v>
      </c>
      <c r="T27" s="17"/>
      <c r="U27" s="61"/>
      <c r="V27" s="66">
        <f t="shared" si="27"/>
        <v>128.4</v>
      </c>
      <c r="W27" s="67">
        <f>V27/V31</f>
        <v>2.8060666987193495E-2</v>
      </c>
      <c r="Z27" s="67"/>
    </row>
    <row r="28" spans="1:26" ht="12" customHeight="1" x14ac:dyDescent="0.2">
      <c r="A28" s="28" t="s">
        <v>13</v>
      </c>
      <c r="B28" s="33">
        <v>231</v>
      </c>
      <c r="C28" s="32">
        <f t="shared" si="19"/>
        <v>5.5276381909547742E-2</v>
      </c>
      <c r="D28" s="33">
        <v>247</v>
      </c>
      <c r="E28" s="32">
        <f t="shared" si="20"/>
        <v>5.693868142000922E-2</v>
      </c>
      <c r="F28" s="33">
        <v>233</v>
      </c>
      <c r="G28" s="32">
        <f t="shared" si="21"/>
        <v>5.0619161416467523E-2</v>
      </c>
      <c r="H28" s="33">
        <v>227</v>
      </c>
      <c r="I28" s="32">
        <f t="shared" si="18"/>
        <v>4.9715286903197549E-2</v>
      </c>
      <c r="J28" s="33">
        <v>232</v>
      </c>
      <c r="K28" s="32">
        <f t="shared" si="22"/>
        <v>4.9913941480206538E-2</v>
      </c>
      <c r="L28" s="33">
        <v>213</v>
      </c>
      <c r="M28" s="32">
        <f t="shared" si="23"/>
        <v>4.4154228855721393E-2</v>
      </c>
      <c r="N28" s="33">
        <v>289</v>
      </c>
      <c r="O28" s="32">
        <f t="shared" si="24"/>
        <v>6.0346627688452704E-2</v>
      </c>
      <c r="P28" s="33">
        <v>284</v>
      </c>
      <c r="Q28" s="32">
        <f t="shared" si="25"/>
        <v>6.2294362798859401E-2</v>
      </c>
      <c r="R28" s="33">
        <v>245</v>
      </c>
      <c r="S28" s="32">
        <f t="shared" si="26"/>
        <v>6.0359694506035969E-2</v>
      </c>
      <c r="T28" s="17"/>
      <c r="U28" s="61"/>
      <c r="V28" s="66">
        <f t="shared" si="27"/>
        <v>252.6</v>
      </c>
      <c r="W28" s="67">
        <f>V28/V31</f>
        <v>5.5203461689759162E-2</v>
      </c>
      <c r="Z28" s="67"/>
    </row>
    <row r="29" spans="1:26" ht="12" customHeight="1" x14ac:dyDescent="0.2">
      <c r="A29" s="28" t="s">
        <v>20</v>
      </c>
      <c r="B29" s="33">
        <v>21</v>
      </c>
      <c r="C29" s="32">
        <f t="shared" si="19"/>
        <v>5.0251256281407036E-3</v>
      </c>
      <c r="D29" s="33">
        <v>16</v>
      </c>
      <c r="E29" s="32">
        <f t="shared" si="20"/>
        <v>3.6883356385431073E-3</v>
      </c>
      <c r="F29" s="33">
        <v>20</v>
      </c>
      <c r="G29" s="32">
        <f t="shared" si="21"/>
        <v>4.3449923962633067E-3</v>
      </c>
      <c r="H29" s="33">
        <v>20</v>
      </c>
      <c r="I29" s="32">
        <f t="shared" si="18"/>
        <v>4.3802014892685062E-3</v>
      </c>
      <c r="J29" s="33">
        <v>26</v>
      </c>
      <c r="K29" s="32">
        <f t="shared" si="22"/>
        <v>5.5938037865748708E-3</v>
      </c>
      <c r="L29" s="33">
        <v>22</v>
      </c>
      <c r="M29" s="32">
        <f t="shared" si="23"/>
        <v>4.5605306799336651E-3</v>
      </c>
      <c r="N29" s="33">
        <v>21</v>
      </c>
      <c r="O29" s="32">
        <f t="shared" si="24"/>
        <v>4.3850490707872209E-3</v>
      </c>
      <c r="P29" s="33">
        <v>22</v>
      </c>
      <c r="Q29" s="32">
        <f t="shared" si="25"/>
        <v>4.8256196534327703E-3</v>
      </c>
      <c r="R29" s="33">
        <v>31</v>
      </c>
      <c r="S29" s="32">
        <f t="shared" si="26"/>
        <v>7.6373491007637349E-3</v>
      </c>
      <c r="T29" s="17"/>
      <c r="U29" s="61"/>
      <c r="V29" s="66">
        <f t="shared" si="27"/>
        <v>24.4</v>
      </c>
      <c r="W29" s="67">
        <f>V29/V31</f>
        <v>5.332400891647362E-3</v>
      </c>
      <c r="Z29" s="67"/>
    </row>
    <row r="30" spans="1:26" ht="12" customHeight="1" x14ac:dyDescent="0.2">
      <c r="A30" s="99" t="s">
        <v>4</v>
      </c>
      <c r="B30" s="100">
        <f>SUM(B25:B29)</f>
        <v>1721</v>
      </c>
      <c r="C30" s="101">
        <f t="shared" si="19"/>
        <v>0.41182100981095954</v>
      </c>
      <c r="D30" s="100">
        <f>SUM(D25:D29)</f>
        <v>1753</v>
      </c>
      <c r="E30" s="97">
        <f t="shared" si="20"/>
        <v>0.40410327339787921</v>
      </c>
      <c r="F30" s="100">
        <f>SUM(F25:F29)</f>
        <v>1842</v>
      </c>
      <c r="G30" s="97">
        <f t="shared" si="21"/>
        <v>0.40017379969585054</v>
      </c>
      <c r="H30" s="100">
        <f>SUM(H25:H29)</f>
        <v>1829</v>
      </c>
      <c r="I30" s="97">
        <f t="shared" si="18"/>
        <v>0.40056942619360492</v>
      </c>
      <c r="J30" s="100">
        <f>SUM(J25:J29)</f>
        <v>1869</v>
      </c>
      <c r="K30" s="97">
        <f t="shared" si="22"/>
        <v>0.40210843373493976</v>
      </c>
      <c r="L30" s="100">
        <f>SUM(L25:L29)</f>
        <v>1829</v>
      </c>
      <c r="M30" s="97">
        <f t="shared" si="23"/>
        <v>0.37914593698175786</v>
      </c>
      <c r="N30" s="100">
        <f>SUM(N25:N29)</f>
        <v>1927</v>
      </c>
      <c r="O30" s="97">
        <f t="shared" si="24"/>
        <v>0.40238045520985594</v>
      </c>
      <c r="P30" s="100">
        <f>SUM(P25:P29)</f>
        <v>1843</v>
      </c>
      <c r="Q30" s="97">
        <f t="shared" si="25"/>
        <v>0.40425531914893614</v>
      </c>
      <c r="R30" s="100">
        <f>SUM(R25:R29)</f>
        <v>1701</v>
      </c>
      <c r="S30" s="97">
        <f t="shared" si="26"/>
        <v>0.41906873614190687</v>
      </c>
      <c r="T30" s="17"/>
      <c r="U30" s="61"/>
      <c r="V30" s="66">
        <f t="shared" si="27"/>
        <v>1833.8</v>
      </c>
      <c r="W30" s="67">
        <f>V30/V31</f>
        <v>0.4007605227501202</v>
      </c>
      <c r="Z30" s="67"/>
    </row>
    <row r="31" spans="1:26" ht="12" customHeight="1" x14ac:dyDescent="0.2">
      <c r="A31" s="8" t="s">
        <v>1</v>
      </c>
      <c r="B31" s="24">
        <v>4179</v>
      </c>
      <c r="C31" s="23">
        <f t="shared" si="19"/>
        <v>1</v>
      </c>
      <c r="D31" s="24">
        <v>4338</v>
      </c>
      <c r="E31" s="23">
        <f t="shared" si="20"/>
        <v>1</v>
      </c>
      <c r="F31" s="24">
        <v>4603</v>
      </c>
      <c r="G31" s="23">
        <f t="shared" si="21"/>
        <v>1</v>
      </c>
      <c r="H31" s="24">
        <v>4566</v>
      </c>
      <c r="I31" s="23">
        <f t="shared" si="18"/>
        <v>1</v>
      </c>
      <c r="J31" s="24">
        <v>4648</v>
      </c>
      <c r="K31" s="35">
        <f t="shared" si="22"/>
        <v>1</v>
      </c>
      <c r="L31" s="24">
        <v>4824</v>
      </c>
      <c r="M31" s="35">
        <f t="shared" si="23"/>
        <v>1</v>
      </c>
      <c r="N31" s="24">
        <v>4789</v>
      </c>
      <c r="O31" s="35">
        <f t="shared" si="24"/>
        <v>1</v>
      </c>
      <c r="P31" s="24">
        <v>4559</v>
      </c>
      <c r="Q31" s="35">
        <f t="shared" si="25"/>
        <v>1</v>
      </c>
      <c r="R31" s="24">
        <v>4059</v>
      </c>
      <c r="S31" s="35">
        <f t="shared" si="26"/>
        <v>1</v>
      </c>
      <c r="T31" s="18"/>
      <c r="U31" s="62"/>
      <c r="V31" s="66">
        <f t="shared" si="27"/>
        <v>4575.8</v>
      </c>
      <c r="W31" s="67">
        <f>V31/V31</f>
        <v>1</v>
      </c>
    </row>
    <row r="32" spans="1:26" ht="12.75" customHeight="1" x14ac:dyDescent="0.2">
      <c r="A32" s="12" t="s">
        <v>14</v>
      </c>
      <c r="B32" s="6"/>
      <c r="C32" s="5"/>
      <c r="D32" s="6"/>
      <c r="E32" s="7"/>
      <c r="F32" s="6"/>
      <c r="G32" s="5"/>
    </row>
    <row r="33" spans="1:51" ht="12.75" customHeight="1" x14ac:dyDescent="0.2"/>
    <row r="34" spans="1:51" ht="12.75" customHeight="1" x14ac:dyDescent="0.2">
      <c r="A34" s="83" t="s">
        <v>8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13"/>
      <c r="S34" s="13"/>
      <c r="T34" s="13"/>
      <c r="U34" s="57"/>
      <c r="W34" s="25">
        <v>2001</v>
      </c>
      <c r="X34" s="25">
        <v>2002</v>
      </c>
      <c r="Y34" s="25">
        <v>2003</v>
      </c>
      <c r="Z34" s="25">
        <v>2004</v>
      </c>
      <c r="AA34" s="25">
        <v>2005</v>
      </c>
      <c r="AB34" s="25">
        <v>2006</v>
      </c>
      <c r="AC34" s="25">
        <v>2007</v>
      </c>
      <c r="AD34" s="25">
        <v>2008</v>
      </c>
      <c r="AE34" s="25">
        <v>2009</v>
      </c>
      <c r="AF34" s="25">
        <v>2010</v>
      </c>
      <c r="AG34" s="25">
        <v>2011</v>
      </c>
      <c r="AH34" s="25">
        <v>2012</v>
      </c>
      <c r="AI34" s="25">
        <v>2013</v>
      </c>
      <c r="AJ34" s="25">
        <v>2014</v>
      </c>
      <c r="AK34" s="25">
        <v>2015</v>
      </c>
      <c r="AL34" s="25">
        <v>2016</v>
      </c>
      <c r="AM34" s="25">
        <v>2017</v>
      </c>
      <c r="AN34" s="25">
        <v>2018</v>
      </c>
      <c r="AO34" s="25">
        <v>2019</v>
      </c>
      <c r="AP34" s="25">
        <v>2020</v>
      </c>
      <c r="AU34" s="36"/>
      <c r="AX34" s="48"/>
      <c r="AY34" s="36"/>
    </row>
    <row r="35" spans="1:51" x14ac:dyDescent="0.2">
      <c r="V35" s="25" t="s">
        <v>18</v>
      </c>
      <c r="W35" s="27">
        <v>1</v>
      </c>
      <c r="X35" s="27">
        <v>1.0550673696543644</v>
      </c>
      <c r="Y35" s="27">
        <v>1.1113063854715877</v>
      </c>
      <c r="Z35" s="27">
        <v>1.0222612770943176</v>
      </c>
      <c r="AA35" s="27">
        <v>0.90158172231985945</v>
      </c>
      <c r="AB35" s="27">
        <v>0.83714118336262444</v>
      </c>
      <c r="AC35" s="27">
        <v>0.88810779144698304</v>
      </c>
      <c r="AD35" s="27">
        <v>0.72290568248388987</v>
      </c>
      <c r="AE35" s="27">
        <v>0.53895723491505565</v>
      </c>
      <c r="AF35" s="27">
        <v>0.56707674282366727</v>
      </c>
      <c r="AG35" s="27">
        <v>0.57293497363796131</v>
      </c>
      <c r="AH35" s="27">
        <v>0.5588752196836555</v>
      </c>
      <c r="AI35" s="27">
        <v>0.56063268892794371</v>
      </c>
      <c r="AJ35" s="27">
        <v>0.57762155828939665</v>
      </c>
      <c r="AK35" s="27">
        <v>0.54130052724077327</v>
      </c>
      <c r="AL35" s="27">
        <v>0.54481546572934969</v>
      </c>
      <c r="AM35" s="27">
        <v>0.5459871118922085</v>
      </c>
      <c r="AN35" s="27">
        <f>N9/1707</f>
        <v>0.51728178090216759</v>
      </c>
      <c r="AO35" s="27">
        <f>P9/1707</f>
        <v>0.47334504979496195</v>
      </c>
      <c r="AP35" s="27">
        <f>R9/1707</f>
        <v>0.38664323374340948</v>
      </c>
      <c r="AQ35" s="27"/>
      <c r="AU35" s="36"/>
      <c r="AX35" s="48"/>
      <c r="AY35" s="36"/>
    </row>
    <row r="36" spans="1:51" x14ac:dyDescent="0.2">
      <c r="V36" s="25" t="s">
        <v>26</v>
      </c>
      <c r="W36" s="27">
        <v>1</v>
      </c>
      <c r="X36" s="27">
        <v>1.28486646884273</v>
      </c>
      <c r="Y36" s="27">
        <v>1.3234421364985163</v>
      </c>
      <c r="Z36" s="27">
        <v>1.1038575667655786</v>
      </c>
      <c r="AA36" s="27">
        <v>1.0504451038575668</v>
      </c>
      <c r="AB36" s="27">
        <v>0.90801186943620182</v>
      </c>
      <c r="AC36" s="27">
        <v>0.85459940652818989</v>
      </c>
      <c r="AD36" s="27">
        <v>0.79525222551928787</v>
      </c>
      <c r="AE36" s="27">
        <v>0.83382789317507422</v>
      </c>
      <c r="AF36" s="27">
        <v>1.0029673590504451</v>
      </c>
      <c r="AG36" s="27">
        <v>1.2640949554896141</v>
      </c>
      <c r="AH36" s="27">
        <v>1.2255192878338279</v>
      </c>
      <c r="AI36" s="27">
        <v>1.2937685459940653</v>
      </c>
      <c r="AJ36" s="27">
        <v>1.4836795252225519</v>
      </c>
      <c r="AK36" s="27">
        <v>1.6201780415430267</v>
      </c>
      <c r="AL36" s="27">
        <v>1.7329376854599408</v>
      </c>
      <c r="AM36" s="27">
        <v>1.7744807121661721</v>
      </c>
      <c r="AN36" s="27">
        <f>N10/337</f>
        <v>1.9881305637982196</v>
      </c>
      <c r="AO36" s="27">
        <f>P10/337</f>
        <v>1.9584569732937684</v>
      </c>
      <c r="AP36" s="27">
        <f>R10/337</f>
        <v>1.9881305637982196</v>
      </c>
      <c r="AU36" s="36"/>
      <c r="AX36" s="48"/>
      <c r="AY36" s="36"/>
    </row>
    <row r="37" spans="1:51" x14ac:dyDescent="0.2">
      <c r="V37" s="25" t="s">
        <v>29</v>
      </c>
      <c r="W37" s="27">
        <v>1</v>
      </c>
      <c r="X37" s="27">
        <v>1.043010752688172</v>
      </c>
      <c r="Y37" s="27">
        <v>1.6559139784946237</v>
      </c>
      <c r="Z37" s="27">
        <v>1.1397849462365592</v>
      </c>
      <c r="AA37" s="27">
        <v>1.053763440860215</v>
      </c>
      <c r="AB37" s="27">
        <v>1.2688172043010753</v>
      </c>
      <c r="AC37" s="27">
        <v>1.5268817204301075</v>
      </c>
      <c r="AD37" s="27">
        <v>1.5698924731182795</v>
      </c>
      <c r="AE37" s="27">
        <v>1.118279569892473</v>
      </c>
      <c r="AF37" s="27">
        <v>1.3548387096774193</v>
      </c>
      <c r="AG37" s="27">
        <v>1.5053763440860215</v>
      </c>
      <c r="AH37" s="27">
        <v>1.4086021505376345</v>
      </c>
      <c r="AI37" s="27">
        <v>1.2365591397849462</v>
      </c>
      <c r="AJ37" s="27">
        <v>1.3548387096774193</v>
      </c>
      <c r="AK37" s="27">
        <v>1.3763440860215055</v>
      </c>
      <c r="AL37" s="27">
        <v>1.3440860215053763</v>
      </c>
      <c r="AM37" s="27">
        <v>1.4516129032258065</v>
      </c>
      <c r="AN37" s="27">
        <f>N11/93</f>
        <v>1.3333333333333333</v>
      </c>
      <c r="AO37" s="27">
        <f>P11/93</f>
        <v>1.3548387096774193</v>
      </c>
      <c r="AP37" s="27">
        <f>R11/93</f>
        <v>1.2473118279569892</v>
      </c>
      <c r="AU37" s="36"/>
      <c r="AX37" s="48"/>
      <c r="AY37" s="36"/>
    </row>
    <row r="38" spans="1:51" x14ac:dyDescent="0.2">
      <c r="V38" s="25" t="s">
        <v>27</v>
      </c>
      <c r="W38" s="27">
        <v>1</v>
      </c>
      <c r="X38" s="27">
        <v>1.3892617449664431</v>
      </c>
      <c r="Y38" s="27">
        <v>1.3557046979865772</v>
      </c>
      <c r="Z38" s="27">
        <v>1.2147651006711409</v>
      </c>
      <c r="AA38" s="27">
        <v>1.1677852348993289</v>
      </c>
      <c r="AB38" s="27">
        <v>1.080536912751678</v>
      </c>
      <c r="AC38" s="27">
        <v>1.5503355704697988</v>
      </c>
      <c r="AD38" s="27">
        <v>2.0134228187919465</v>
      </c>
      <c r="AE38" s="27">
        <v>1.4093959731543624</v>
      </c>
      <c r="AF38" s="27">
        <v>1.2818791946308725</v>
      </c>
      <c r="AG38" s="27">
        <v>1.3959731543624161</v>
      </c>
      <c r="AH38" s="27">
        <v>1.4496644295302012</v>
      </c>
      <c r="AI38" s="27">
        <v>1.5302013422818792</v>
      </c>
      <c r="AJ38" s="27">
        <v>1.4093959731543624</v>
      </c>
      <c r="AK38" s="27">
        <v>1.4697986577181208</v>
      </c>
      <c r="AL38" s="27">
        <v>1.5771812080536913</v>
      </c>
      <c r="AM38" s="27">
        <v>1.4228187919463087</v>
      </c>
      <c r="AN38" s="27">
        <f>N12/149</f>
        <v>1.9060402684563758</v>
      </c>
      <c r="AO38" s="27">
        <f>P12/149</f>
        <v>1.8120805369127517</v>
      </c>
      <c r="AP38" s="27">
        <f>R12/149</f>
        <v>1.651006711409396</v>
      </c>
      <c r="AU38" s="36"/>
      <c r="AX38" s="48"/>
      <c r="AY38" s="36"/>
    </row>
    <row r="40" spans="1:51" x14ac:dyDescent="0.2"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</row>
    <row r="41" spans="1:51" x14ac:dyDescent="0.2"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1:51" x14ac:dyDescent="0.2"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1:51" x14ac:dyDescent="0.2">
      <c r="AP43" s="27"/>
      <c r="AQ43" s="27"/>
      <c r="AR43" s="27"/>
    </row>
    <row r="51" spans="1:26" x14ac:dyDescent="0.2">
      <c r="A51" s="86" t="s">
        <v>65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13"/>
      <c r="U51" s="57"/>
    </row>
    <row r="52" spans="1:26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13"/>
      <c r="S52" s="13"/>
      <c r="T52" s="13"/>
      <c r="U52" s="57"/>
    </row>
    <row r="58" spans="1:26" x14ac:dyDescent="0.2">
      <c r="V58" s="25" t="s">
        <v>18</v>
      </c>
      <c r="W58" s="72">
        <f>W9</f>
        <v>0.2244060935336103</v>
      </c>
      <c r="Y58" s="87">
        <f>SUM(W58:W63)</f>
        <v>1</v>
      </c>
      <c r="Z58" s="87"/>
    </row>
    <row r="59" spans="1:26" x14ac:dyDescent="0.2">
      <c r="V59" s="25" t="s">
        <v>15</v>
      </c>
      <c r="W59" s="72">
        <f>W10</f>
        <v>0.16948971982529029</v>
      </c>
    </row>
    <row r="60" spans="1:26" x14ac:dyDescent="0.2">
      <c r="V60" s="25" t="s">
        <v>16</v>
      </c>
      <c r="W60" s="72">
        <f>W11</f>
        <v>3.3343986364120594E-2</v>
      </c>
    </row>
    <row r="61" spans="1:26" x14ac:dyDescent="0.2">
      <c r="V61" s="25" t="s">
        <v>17</v>
      </c>
      <c r="W61" s="72">
        <f>W12</f>
        <v>6.6421646958559705E-2</v>
      </c>
    </row>
    <row r="62" spans="1:26" x14ac:dyDescent="0.2">
      <c r="V62" s="25" t="s">
        <v>19</v>
      </c>
      <c r="W62" s="72">
        <f>W13</f>
        <v>6.1254927026739101E-3</v>
      </c>
    </row>
    <row r="63" spans="1:26" x14ac:dyDescent="0.2">
      <c r="V63" s="25" t="s">
        <v>5</v>
      </c>
      <c r="W63" s="72">
        <f>1-W64</f>
        <v>0.50021306061574522</v>
      </c>
    </row>
    <row r="64" spans="1:26" x14ac:dyDescent="0.2">
      <c r="W64" s="72">
        <f>SUM(W58:W62)</f>
        <v>0.49978693938425478</v>
      </c>
    </row>
    <row r="65" spans="1:23" x14ac:dyDescent="0.2">
      <c r="W65" s="73"/>
    </row>
    <row r="66" spans="1:23" ht="35.25" customHeight="1" x14ac:dyDescent="0.3">
      <c r="L66" s="75">
        <v>15</v>
      </c>
      <c r="M66" s="75"/>
      <c r="N66" s="75"/>
      <c r="O66" s="75"/>
      <c r="P66" s="75"/>
      <c r="Q66" s="75"/>
      <c r="R66" s="75"/>
      <c r="S66" s="75"/>
      <c r="T66" s="75"/>
      <c r="U66" s="63"/>
    </row>
    <row r="67" spans="1:23" ht="9.75" customHeight="1" x14ac:dyDescent="0.2"/>
    <row r="68" spans="1:23" ht="9.75" customHeight="1" x14ac:dyDescent="0.2"/>
    <row r="69" spans="1:23" ht="19.5" customHeight="1" x14ac:dyDescent="0.3">
      <c r="R69" s="21"/>
      <c r="S69" s="21"/>
      <c r="T69" s="21"/>
      <c r="U69" s="64"/>
    </row>
    <row r="70" spans="1:23" x14ac:dyDescent="0.2">
      <c r="A70" s="2" t="s">
        <v>7</v>
      </c>
      <c r="C70" s="2" t="s">
        <v>7</v>
      </c>
    </row>
    <row r="72" spans="1:23" x14ac:dyDescent="0.2">
      <c r="C72" s="2" t="s">
        <v>7</v>
      </c>
    </row>
  </sheetData>
  <mergeCells count="17">
    <mergeCell ref="L6:M6"/>
    <mergeCell ref="A4:S4"/>
    <mergeCell ref="Y58:Z58"/>
    <mergeCell ref="F6:G6"/>
    <mergeCell ref="D6:E6"/>
    <mergeCell ref="H6:I6"/>
    <mergeCell ref="J6:K6"/>
    <mergeCell ref="L66:T66"/>
    <mergeCell ref="R6:S6"/>
    <mergeCell ref="A8:S8"/>
    <mergeCell ref="A16:S16"/>
    <mergeCell ref="A24:S24"/>
    <mergeCell ref="A34:Q34"/>
    <mergeCell ref="N6:O6"/>
    <mergeCell ref="P6:Q6"/>
    <mergeCell ref="B6:C6"/>
    <mergeCell ref="A51:S51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workbookViewId="0">
      <selection activeCell="A31" sqref="A31:AI31"/>
    </sheetView>
  </sheetViews>
  <sheetFormatPr defaultColWidth="4.5703125" defaultRowHeight="12.75" x14ac:dyDescent="0.2"/>
  <cols>
    <col min="1" max="1" width="14.28515625" style="2" customWidth="1"/>
    <col min="2" max="23" width="5" style="2" customWidth="1"/>
    <col min="24" max="29" width="5" style="20" customWidth="1"/>
    <col min="30" max="31" width="5.5703125" style="25" customWidth="1"/>
    <col min="32" max="35" width="5.5703125" style="2" customWidth="1"/>
    <col min="36" max="211" width="9.140625" style="2" customWidth="1"/>
    <col min="212" max="212" width="14.140625" style="2" customWidth="1"/>
    <col min="213" max="220" width="0" style="2" hidden="1" customWidth="1"/>
    <col min="221" max="221" width="4.140625" style="2" customWidth="1"/>
    <col min="222" max="222" width="5" style="2" customWidth="1"/>
    <col min="223" max="223" width="4.140625" style="2" customWidth="1"/>
    <col min="224" max="224" width="5" style="2" customWidth="1"/>
    <col min="225" max="225" width="4.140625" style="2" customWidth="1"/>
    <col min="226" max="226" width="5" style="2" customWidth="1"/>
    <col min="227" max="227" width="4.140625" style="2" customWidth="1"/>
    <col min="228" max="228" width="5" style="2" customWidth="1"/>
    <col min="229" max="229" width="4.140625" style="2" customWidth="1"/>
    <col min="230" max="230" width="5" style="2" customWidth="1"/>
    <col min="231" max="231" width="4.140625" style="2" customWidth="1"/>
    <col min="232" max="232" width="5" style="2" customWidth="1"/>
    <col min="233" max="233" width="4.140625" style="2" customWidth="1"/>
    <col min="234" max="234" width="5" style="2" customWidth="1"/>
    <col min="235" max="235" width="4.140625" style="2" customWidth="1"/>
    <col min="236" max="236" width="5" style="2" customWidth="1"/>
    <col min="237" max="237" width="4.140625" style="2" customWidth="1"/>
    <col min="238" max="238" width="5" style="2" customWidth="1"/>
    <col min="239" max="239" width="1.140625" style="2" customWidth="1"/>
    <col min="240" max="240" width="4.140625" style="2" customWidth="1"/>
    <col min="241" max="241" width="8" style="2" customWidth="1"/>
    <col min="242" max="242" width="7.5703125" style="2" customWidth="1"/>
    <col min="243" max="244" width="5.5703125" style="2" customWidth="1"/>
    <col min="245" max="245" width="5.42578125" style="2" customWidth="1"/>
    <col min="246" max="253" width="5.5703125" style="2" customWidth="1"/>
    <col min="254" max="254" width="6.5703125" style="2" customWidth="1"/>
    <col min="255" max="16384" width="4.5703125" style="2"/>
  </cols>
  <sheetData>
    <row r="1" spans="1:35" x14ac:dyDescent="0.2">
      <c r="B1" s="2" t="s">
        <v>32</v>
      </c>
      <c r="G1" s="2" t="s">
        <v>33</v>
      </c>
    </row>
    <row r="2" spans="1:35" x14ac:dyDescent="0.2">
      <c r="J2" s="2" t="s">
        <v>34</v>
      </c>
    </row>
    <row r="5" spans="1:35" x14ac:dyDescent="0.2">
      <c r="A5" s="83" t="s">
        <v>35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13"/>
      <c r="AC5" s="13"/>
    </row>
    <row r="6" spans="1:35" ht="10.5" customHeight="1" x14ac:dyDescent="0.2">
      <c r="P6" s="1"/>
      <c r="Q6" s="1"/>
      <c r="R6" s="1"/>
      <c r="S6" s="1"/>
      <c r="T6" s="1"/>
      <c r="U6" s="1"/>
      <c r="V6" s="1"/>
      <c r="W6" s="1"/>
      <c r="X6" s="14"/>
      <c r="Y6" s="14"/>
      <c r="Z6" s="14"/>
      <c r="AA6" s="14"/>
      <c r="AB6" s="14"/>
      <c r="AC6" s="14"/>
      <c r="AD6" s="26"/>
    </row>
    <row r="7" spans="1:35" ht="12" customHeight="1" x14ac:dyDescent="0.2">
      <c r="A7" s="54"/>
      <c r="B7" s="76" t="s">
        <v>36</v>
      </c>
      <c r="C7" s="76"/>
      <c r="D7" s="76" t="s">
        <v>37</v>
      </c>
      <c r="E7" s="76"/>
      <c r="F7" s="76" t="s">
        <v>38</v>
      </c>
      <c r="G7" s="76"/>
      <c r="H7" s="84" t="s">
        <v>39</v>
      </c>
      <c r="I7" s="85"/>
      <c r="J7" s="84" t="s">
        <v>40</v>
      </c>
      <c r="K7" s="85"/>
      <c r="L7" s="76" t="s">
        <v>41</v>
      </c>
      <c r="M7" s="76"/>
      <c r="N7" s="76" t="s">
        <v>42</v>
      </c>
      <c r="O7" s="76"/>
      <c r="P7" s="76" t="s">
        <v>43</v>
      </c>
      <c r="Q7" s="76"/>
      <c r="R7" s="76" t="s">
        <v>44</v>
      </c>
      <c r="S7" s="76"/>
      <c r="T7" s="76" t="s">
        <v>45</v>
      </c>
      <c r="U7" s="76"/>
      <c r="V7" s="76" t="s">
        <v>46</v>
      </c>
      <c r="W7" s="76"/>
      <c r="X7" s="76" t="s">
        <v>47</v>
      </c>
      <c r="Y7" s="76"/>
      <c r="Z7" s="76" t="s">
        <v>9</v>
      </c>
      <c r="AA7" s="76"/>
      <c r="AB7" s="84" t="s">
        <v>10</v>
      </c>
      <c r="AC7" s="85"/>
      <c r="AD7" s="84" t="s">
        <v>22</v>
      </c>
      <c r="AE7" s="85"/>
      <c r="AF7" s="84" t="s">
        <v>23</v>
      </c>
      <c r="AG7" s="85"/>
      <c r="AH7" s="84" t="s">
        <v>24</v>
      </c>
      <c r="AI7" s="85"/>
    </row>
    <row r="8" spans="1:35" ht="12" customHeight="1" x14ac:dyDescent="0.2">
      <c r="A8" s="55"/>
      <c r="B8" s="3" t="s">
        <v>2</v>
      </c>
      <c r="C8" s="3" t="s">
        <v>3</v>
      </c>
      <c r="D8" s="3" t="s">
        <v>2</v>
      </c>
      <c r="E8" s="3" t="s">
        <v>3</v>
      </c>
      <c r="F8" s="3" t="s">
        <v>2</v>
      </c>
      <c r="G8" s="3" t="s">
        <v>3</v>
      </c>
      <c r="H8" s="3" t="s">
        <v>2</v>
      </c>
      <c r="I8" s="3" t="s">
        <v>3</v>
      </c>
      <c r="J8" s="3" t="s">
        <v>2</v>
      </c>
      <c r="K8" s="3" t="s">
        <v>3</v>
      </c>
      <c r="L8" s="3" t="s">
        <v>2</v>
      </c>
      <c r="M8" s="3" t="s">
        <v>3</v>
      </c>
      <c r="N8" s="3" t="s">
        <v>2</v>
      </c>
      <c r="O8" s="3" t="s">
        <v>3</v>
      </c>
      <c r="P8" s="3" t="s">
        <v>2</v>
      </c>
      <c r="Q8" s="3" t="s">
        <v>3</v>
      </c>
      <c r="R8" s="3" t="s">
        <v>2</v>
      </c>
      <c r="S8" s="3" t="s">
        <v>3</v>
      </c>
      <c r="T8" s="3" t="s">
        <v>2</v>
      </c>
      <c r="U8" s="3" t="s">
        <v>3</v>
      </c>
      <c r="V8" s="3" t="s">
        <v>2</v>
      </c>
      <c r="W8" s="3" t="s">
        <v>3</v>
      </c>
      <c r="X8" s="3" t="s">
        <v>2</v>
      </c>
      <c r="Y8" s="3" t="s">
        <v>3</v>
      </c>
      <c r="Z8" s="3" t="s">
        <v>2</v>
      </c>
      <c r="AA8" s="3" t="s">
        <v>3</v>
      </c>
      <c r="AB8" s="3" t="s">
        <v>2</v>
      </c>
      <c r="AC8" s="3" t="s">
        <v>3</v>
      </c>
      <c r="AD8" s="3" t="s">
        <v>2</v>
      </c>
      <c r="AE8" s="3" t="s">
        <v>3</v>
      </c>
      <c r="AF8" s="3" t="s">
        <v>2</v>
      </c>
      <c r="AG8" s="3" t="s">
        <v>3</v>
      </c>
      <c r="AH8" s="3" t="s">
        <v>2</v>
      </c>
      <c r="AI8" s="3" t="s">
        <v>3</v>
      </c>
    </row>
    <row r="9" spans="1:35" ht="12" customHeight="1" x14ac:dyDescent="0.2">
      <c r="A9" s="89" t="s">
        <v>6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1"/>
    </row>
    <row r="10" spans="1:35" ht="12" customHeight="1" x14ac:dyDescent="0.2">
      <c r="A10" s="8" t="s">
        <v>48</v>
      </c>
      <c r="B10" s="8">
        <v>1511</v>
      </c>
      <c r="C10" s="37">
        <f t="shared" ref="C10:C16" si="0">B10/4056</f>
        <v>0.37253451676528598</v>
      </c>
      <c r="D10" s="8">
        <v>1532</v>
      </c>
      <c r="E10" s="37">
        <f t="shared" ref="E10:E16" si="1">D10/3711</f>
        <v>0.41282673133926168</v>
      </c>
      <c r="F10" s="8">
        <v>1520</v>
      </c>
      <c r="G10" s="37">
        <f t="shared" ref="G10:G16" si="2">F10/3925</f>
        <v>0.38726114649681531</v>
      </c>
      <c r="H10" s="8">
        <v>1753</v>
      </c>
      <c r="I10" s="37">
        <f t="shared" ref="I10:I16" si="3">H10/4540</f>
        <v>0.38612334801762116</v>
      </c>
      <c r="J10" s="8">
        <v>1704</v>
      </c>
      <c r="K10" s="37">
        <f t="shared" ref="K10:K16" si="4">J10/4442</f>
        <v>0.3836109860423233</v>
      </c>
      <c r="L10" s="9">
        <v>1724</v>
      </c>
      <c r="M10" s="37">
        <f t="shared" ref="M10:M16" si="5">L10/4482</f>
        <v>0.3846497099509148</v>
      </c>
      <c r="N10" s="9">
        <v>1707</v>
      </c>
      <c r="O10" s="37">
        <f t="shared" ref="O10:O16" si="6">N10/4766</f>
        <v>0.35816198069660093</v>
      </c>
      <c r="P10" s="9">
        <v>1801</v>
      </c>
      <c r="Q10" s="37">
        <f t="shared" ref="Q10:Q16" si="7">P10/5083</f>
        <v>0.35431831595514462</v>
      </c>
      <c r="R10" s="9">
        <v>1897</v>
      </c>
      <c r="S10" s="38">
        <f t="shared" ref="S10:S16" si="8">R10/5379</f>
        <v>0.35266778211563488</v>
      </c>
      <c r="T10" s="9">
        <v>1745</v>
      </c>
      <c r="U10" s="38">
        <f t="shared" ref="U10:U16" si="9">T10/5081</f>
        <v>0.3434363314308207</v>
      </c>
      <c r="V10" s="9">
        <v>1539</v>
      </c>
      <c r="W10" s="38">
        <f t="shared" ref="W10:W16" si="10">V10/4466</f>
        <v>0.34460367218987908</v>
      </c>
      <c r="X10" s="9">
        <v>1429</v>
      </c>
      <c r="Y10" s="38">
        <f>X10/4302</f>
        <v>0.33217108321710831</v>
      </c>
      <c r="Z10" s="9">
        <v>1516</v>
      </c>
      <c r="AA10" s="38">
        <f>Z10/4781</f>
        <v>0.31708847521439032</v>
      </c>
      <c r="AB10" s="29">
        <v>1234</v>
      </c>
      <c r="AC10" s="30">
        <v>0.29408960915157295</v>
      </c>
      <c r="AD10" s="29">
        <v>920</v>
      </c>
      <c r="AE10" s="30">
        <v>0.29113924050632911</v>
      </c>
      <c r="AF10" s="29">
        <v>968</v>
      </c>
      <c r="AG10" s="31">
        <v>0.30316316943313498</v>
      </c>
      <c r="AH10" s="29">
        <v>978</v>
      </c>
      <c r="AI10" s="31">
        <v>0.28883638511518017</v>
      </c>
    </row>
    <row r="11" spans="1:35" ht="12" customHeight="1" x14ac:dyDescent="0.2">
      <c r="A11" s="8" t="s">
        <v>49</v>
      </c>
      <c r="B11" s="8">
        <v>214</v>
      </c>
      <c r="C11" s="37">
        <f t="shared" si="0"/>
        <v>5.2761341222879683E-2</v>
      </c>
      <c r="D11" s="8">
        <v>199</v>
      </c>
      <c r="E11" s="37">
        <f t="shared" si="1"/>
        <v>5.3624360010778763E-2</v>
      </c>
      <c r="F11" s="8">
        <v>179</v>
      </c>
      <c r="G11" s="37">
        <f t="shared" si="2"/>
        <v>4.5605095541401276E-2</v>
      </c>
      <c r="H11" s="8">
        <v>245</v>
      </c>
      <c r="I11" s="37">
        <f t="shared" si="3"/>
        <v>5.3964757709251104E-2</v>
      </c>
      <c r="J11" s="8">
        <v>268</v>
      </c>
      <c r="K11" s="37">
        <f t="shared" si="4"/>
        <v>6.0333183250787931E-2</v>
      </c>
      <c r="L11" s="9">
        <v>327</v>
      </c>
      <c r="M11" s="37">
        <f t="shared" si="5"/>
        <v>7.2958500669344048E-2</v>
      </c>
      <c r="N11" s="9">
        <v>337</v>
      </c>
      <c r="O11" s="37">
        <f t="shared" si="6"/>
        <v>7.0709190096516994E-2</v>
      </c>
      <c r="P11" s="9">
        <v>433</v>
      </c>
      <c r="Q11" s="37">
        <f t="shared" si="7"/>
        <v>8.5185913830415114E-2</v>
      </c>
      <c r="R11" s="9">
        <v>446</v>
      </c>
      <c r="S11" s="38">
        <f t="shared" si="8"/>
        <v>8.2915039970254692E-2</v>
      </c>
      <c r="T11" s="9">
        <v>372</v>
      </c>
      <c r="U11" s="38">
        <f t="shared" si="9"/>
        <v>7.3213934264908478E-2</v>
      </c>
      <c r="V11" s="9">
        <v>354</v>
      </c>
      <c r="W11" s="38">
        <f t="shared" si="10"/>
        <v>7.9265562024182709E-2</v>
      </c>
      <c r="X11" s="9">
        <v>306</v>
      </c>
      <c r="Y11" s="38">
        <f>X11/4302</f>
        <v>7.1129707112970716E-2</v>
      </c>
      <c r="Z11" s="9">
        <v>288</v>
      </c>
      <c r="AA11" s="38">
        <f t="shared" ref="AA11:AA16" si="11">Z11/4781</f>
        <v>6.0238443840200794E-2</v>
      </c>
      <c r="AB11" s="29">
        <v>268</v>
      </c>
      <c r="AC11" s="30">
        <v>6.3870352716873219E-2</v>
      </c>
      <c r="AD11" s="29">
        <v>281</v>
      </c>
      <c r="AE11" s="30">
        <v>8.8924050632911394E-2</v>
      </c>
      <c r="AF11" s="29">
        <v>338</v>
      </c>
      <c r="AG11" s="31">
        <v>0.10585656122768557</v>
      </c>
      <c r="AH11" s="29">
        <v>426</v>
      </c>
      <c r="AI11" s="31">
        <v>0.125812167749557</v>
      </c>
    </row>
    <row r="12" spans="1:35" ht="12" customHeight="1" x14ac:dyDescent="0.2">
      <c r="A12" s="8" t="s">
        <v>50</v>
      </c>
      <c r="B12" s="8">
        <v>125</v>
      </c>
      <c r="C12" s="37">
        <f t="shared" si="0"/>
        <v>3.0818540433925051E-2</v>
      </c>
      <c r="D12" s="8">
        <v>110</v>
      </c>
      <c r="E12" s="37">
        <f t="shared" si="1"/>
        <v>2.9641606036108867E-2</v>
      </c>
      <c r="F12" s="8">
        <v>84</v>
      </c>
      <c r="G12" s="37">
        <f t="shared" si="2"/>
        <v>2.1401273885350319E-2</v>
      </c>
      <c r="H12" s="8">
        <v>99</v>
      </c>
      <c r="I12" s="37">
        <f t="shared" si="3"/>
        <v>2.1806167400881059E-2</v>
      </c>
      <c r="J12" s="8">
        <v>68</v>
      </c>
      <c r="K12" s="37">
        <f t="shared" si="4"/>
        <v>1.5308419630796939E-2</v>
      </c>
      <c r="L12" s="9">
        <v>100</v>
      </c>
      <c r="M12" s="37">
        <f t="shared" si="5"/>
        <v>2.2311468094600623E-2</v>
      </c>
      <c r="N12" s="9">
        <v>93</v>
      </c>
      <c r="O12" s="37">
        <f t="shared" si="6"/>
        <v>1.9513218631976501E-2</v>
      </c>
      <c r="P12" s="9">
        <v>97</v>
      </c>
      <c r="Q12" s="37">
        <f t="shared" si="7"/>
        <v>1.908321857170962E-2</v>
      </c>
      <c r="R12" s="9">
        <v>154</v>
      </c>
      <c r="S12" s="38">
        <f t="shared" si="8"/>
        <v>2.8629856850715747E-2</v>
      </c>
      <c r="T12" s="9">
        <v>106</v>
      </c>
      <c r="U12" s="38">
        <f t="shared" si="9"/>
        <v>2.0862035032473924E-2</v>
      </c>
      <c r="V12" s="9">
        <v>98</v>
      </c>
      <c r="W12" s="38">
        <f t="shared" si="10"/>
        <v>2.1943573667711599E-2</v>
      </c>
      <c r="X12" s="9">
        <v>118</v>
      </c>
      <c r="Y12" s="38">
        <f>X12/4302</f>
        <v>2.7429102742910275E-2</v>
      </c>
      <c r="Z12" s="9">
        <v>142</v>
      </c>
      <c r="AA12" s="38">
        <f t="shared" si="11"/>
        <v>2.9700899393432335E-2</v>
      </c>
      <c r="AB12" s="29">
        <v>146</v>
      </c>
      <c r="AC12" s="30">
        <v>3.4795042897998091E-2</v>
      </c>
      <c r="AD12" s="29">
        <v>104</v>
      </c>
      <c r="AE12" s="30">
        <v>3.2911392405063293E-2</v>
      </c>
      <c r="AF12" s="29">
        <v>126</v>
      </c>
      <c r="AG12" s="31">
        <v>3.9461321641089883E-2</v>
      </c>
      <c r="AH12" s="29">
        <v>140</v>
      </c>
      <c r="AI12" s="31">
        <v>4.1346721795629059E-2</v>
      </c>
    </row>
    <row r="13" spans="1:35" ht="12" customHeight="1" x14ac:dyDescent="0.2">
      <c r="A13" s="8" t="s">
        <v>51</v>
      </c>
      <c r="B13" s="8">
        <v>214</v>
      </c>
      <c r="C13" s="37">
        <f t="shared" si="0"/>
        <v>5.2761341222879683E-2</v>
      </c>
      <c r="D13" s="8">
        <v>262</v>
      </c>
      <c r="E13" s="37">
        <f t="shared" si="1"/>
        <v>7.0600916195095662E-2</v>
      </c>
      <c r="F13" s="8">
        <v>215</v>
      </c>
      <c r="G13" s="37">
        <f t="shared" si="2"/>
        <v>5.4777070063694269E-2</v>
      </c>
      <c r="H13" s="8">
        <v>233</v>
      </c>
      <c r="I13" s="37">
        <f t="shared" si="3"/>
        <v>5.1321585903083701E-2</v>
      </c>
      <c r="J13" s="8">
        <v>182</v>
      </c>
      <c r="K13" s="37">
        <f t="shared" si="4"/>
        <v>4.0972534894191809E-2</v>
      </c>
      <c r="L13" s="9">
        <v>160</v>
      </c>
      <c r="M13" s="37">
        <f t="shared" si="5"/>
        <v>3.5698348951361002E-2</v>
      </c>
      <c r="N13" s="9">
        <v>149</v>
      </c>
      <c r="O13" s="37">
        <f t="shared" si="6"/>
        <v>3.1263113722198907E-2</v>
      </c>
      <c r="P13" s="9">
        <v>207</v>
      </c>
      <c r="Q13" s="37">
        <f t="shared" si="7"/>
        <v>4.072398190045249E-2</v>
      </c>
      <c r="R13" s="9">
        <v>202</v>
      </c>
      <c r="S13" s="38">
        <f t="shared" si="8"/>
        <v>3.7553448596393382E-2</v>
      </c>
      <c r="T13" s="9">
        <v>181</v>
      </c>
      <c r="U13" s="38">
        <f t="shared" si="9"/>
        <v>3.5622908876205471E-2</v>
      </c>
      <c r="V13" s="9">
        <v>174</v>
      </c>
      <c r="W13" s="38">
        <f t="shared" si="10"/>
        <v>3.896103896103896E-2</v>
      </c>
      <c r="X13" s="9">
        <v>161</v>
      </c>
      <c r="Y13" s="38">
        <f>X13/4302</f>
        <v>3.7424453742445372E-2</v>
      </c>
      <c r="Z13" s="9">
        <v>231</v>
      </c>
      <c r="AA13" s="38">
        <f t="shared" si="11"/>
        <v>4.8316251830161056E-2</v>
      </c>
      <c r="AB13" s="29">
        <v>300</v>
      </c>
      <c r="AC13" s="30">
        <v>7.1496663489037174E-2</v>
      </c>
      <c r="AD13" s="29">
        <v>210</v>
      </c>
      <c r="AE13" s="30">
        <v>6.6455696202531639E-2</v>
      </c>
      <c r="AF13" s="29">
        <v>191</v>
      </c>
      <c r="AG13" s="31">
        <v>5.9818352646414032E-2</v>
      </c>
      <c r="AH13" s="29">
        <v>208</v>
      </c>
      <c r="AI13" s="31">
        <v>6.1429415239220318E-2</v>
      </c>
    </row>
    <row r="14" spans="1:35" ht="12" customHeight="1" x14ac:dyDescent="0.2">
      <c r="A14" s="8" t="s">
        <v>52</v>
      </c>
      <c r="B14" s="8"/>
      <c r="C14" s="37"/>
      <c r="D14" s="8"/>
      <c r="E14" s="37"/>
      <c r="F14" s="8"/>
      <c r="G14" s="37"/>
      <c r="H14" s="8"/>
      <c r="I14" s="37"/>
      <c r="J14" s="39" t="s">
        <v>53</v>
      </c>
      <c r="K14" s="39" t="s">
        <v>53</v>
      </c>
      <c r="L14" s="39" t="s">
        <v>53</v>
      </c>
      <c r="M14" s="39" t="s">
        <v>53</v>
      </c>
      <c r="N14" s="39" t="s">
        <v>53</v>
      </c>
      <c r="O14" s="39" t="s">
        <v>53</v>
      </c>
      <c r="P14" s="39" t="s">
        <v>53</v>
      </c>
      <c r="Q14" s="39" t="s">
        <v>53</v>
      </c>
      <c r="R14" s="39" t="s">
        <v>53</v>
      </c>
      <c r="S14" s="39" t="s">
        <v>53</v>
      </c>
      <c r="T14" s="39" t="s">
        <v>53</v>
      </c>
      <c r="U14" s="39" t="s">
        <v>53</v>
      </c>
      <c r="V14" s="39" t="s">
        <v>53</v>
      </c>
      <c r="W14" s="39" t="s">
        <v>53</v>
      </c>
      <c r="X14" s="39" t="s">
        <v>53</v>
      </c>
      <c r="Y14" s="39" t="s">
        <v>53</v>
      </c>
      <c r="Z14" s="9">
        <v>15</v>
      </c>
      <c r="AA14" s="38">
        <f t="shared" si="11"/>
        <v>3.1374189500104582E-3</v>
      </c>
      <c r="AB14" s="29">
        <v>15</v>
      </c>
      <c r="AC14" s="30">
        <v>3.5748331744518591E-3</v>
      </c>
      <c r="AD14" s="29">
        <v>21</v>
      </c>
      <c r="AE14" s="30">
        <v>6.6455696202531644E-3</v>
      </c>
      <c r="AF14" s="29">
        <v>16</v>
      </c>
      <c r="AG14" s="31">
        <v>5.0109614782336363E-3</v>
      </c>
      <c r="AH14" s="29">
        <v>17</v>
      </c>
      <c r="AI14" s="31">
        <v>5.0206733608978149E-3</v>
      </c>
    </row>
    <row r="15" spans="1:35" ht="12" customHeight="1" x14ac:dyDescent="0.2">
      <c r="A15" s="95" t="s">
        <v>4</v>
      </c>
      <c r="B15" s="95">
        <f>SUM(B10:B13)</f>
        <v>2064</v>
      </c>
      <c r="C15" s="102">
        <f t="shared" si="0"/>
        <v>0.50887573964497046</v>
      </c>
      <c r="D15" s="95">
        <f>SUM(D10:D13)</f>
        <v>2103</v>
      </c>
      <c r="E15" s="102">
        <f t="shared" si="1"/>
        <v>0.56669361358124493</v>
      </c>
      <c r="F15" s="95">
        <f>SUM(F10:F13)</f>
        <v>1998</v>
      </c>
      <c r="G15" s="102">
        <f t="shared" si="2"/>
        <v>0.5090445859872611</v>
      </c>
      <c r="H15" s="95">
        <f>SUM(H10:H13)</f>
        <v>2330</v>
      </c>
      <c r="I15" s="102">
        <f t="shared" si="3"/>
        <v>0.513215859030837</v>
      </c>
      <c r="J15" s="95">
        <f>SUM(J10:J13)</f>
        <v>2222</v>
      </c>
      <c r="K15" s="102">
        <f t="shared" si="4"/>
        <v>0.50022512381809991</v>
      </c>
      <c r="L15" s="103">
        <f>SUM(L10:L13)</f>
        <v>2311</v>
      </c>
      <c r="M15" s="104">
        <f t="shared" si="5"/>
        <v>0.51561802766622045</v>
      </c>
      <c r="N15" s="103">
        <f>SUM(N10:N13)</f>
        <v>2286</v>
      </c>
      <c r="O15" s="102">
        <f t="shared" si="6"/>
        <v>0.47964750314729332</v>
      </c>
      <c r="P15" s="103">
        <f>SUM(P10:P13)</f>
        <v>2538</v>
      </c>
      <c r="Q15" s="102">
        <f t="shared" si="7"/>
        <v>0.49931143025772184</v>
      </c>
      <c r="R15" s="103">
        <f>SUM(R10:R13)</f>
        <v>2699</v>
      </c>
      <c r="S15" s="104">
        <f t="shared" si="8"/>
        <v>0.50176612753299865</v>
      </c>
      <c r="T15" s="103">
        <f>SUM(T10:T13)</f>
        <v>2404</v>
      </c>
      <c r="U15" s="104">
        <f t="shared" si="9"/>
        <v>0.47313520960440858</v>
      </c>
      <c r="V15" s="103">
        <f>SUM(V10:V13)</f>
        <v>2165</v>
      </c>
      <c r="W15" s="104">
        <f t="shared" si="10"/>
        <v>0.48477384684281238</v>
      </c>
      <c r="X15" s="103">
        <f>SUM(X10:X13)</f>
        <v>2014</v>
      </c>
      <c r="Y15" s="104">
        <f>X15/4302</f>
        <v>0.46815434681543466</v>
      </c>
      <c r="Z15" s="98">
        <f>SUM(Z10:Z14)</f>
        <v>2192</v>
      </c>
      <c r="AA15" s="104">
        <f t="shared" si="11"/>
        <v>0.45848148922819493</v>
      </c>
      <c r="AB15" s="98">
        <v>1963</v>
      </c>
      <c r="AC15" s="104">
        <v>0.46782650142993326</v>
      </c>
      <c r="AD15" s="98">
        <v>1536</v>
      </c>
      <c r="AE15" s="104">
        <v>0.48607594936708859</v>
      </c>
      <c r="AF15" s="96">
        <v>1639</v>
      </c>
      <c r="AG15" s="102">
        <v>0.51331036642655814</v>
      </c>
      <c r="AH15" s="96">
        <v>1769</v>
      </c>
      <c r="AI15" s="102">
        <v>0.5224453632604843</v>
      </c>
    </row>
    <row r="16" spans="1:35" ht="12" customHeight="1" x14ac:dyDescent="0.2">
      <c r="A16" s="8" t="s">
        <v>1</v>
      </c>
      <c r="B16" s="8">
        <v>4056</v>
      </c>
      <c r="C16" s="10">
        <f t="shared" si="0"/>
        <v>1</v>
      </c>
      <c r="D16" s="8">
        <v>3711</v>
      </c>
      <c r="E16" s="40">
        <f t="shared" si="1"/>
        <v>1</v>
      </c>
      <c r="F16" s="8">
        <v>3925</v>
      </c>
      <c r="G16" s="40">
        <f t="shared" si="2"/>
        <v>1</v>
      </c>
      <c r="H16" s="8">
        <v>4540</v>
      </c>
      <c r="I16" s="40">
        <f t="shared" si="3"/>
        <v>1</v>
      </c>
      <c r="J16" s="8">
        <v>4442</v>
      </c>
      <c r="K16" s="40">
        <f t="shared" si="4"/>
        <v>1</v>
      </c>
      <c r="L16" s="9">
        <v>4482</v>
      </c>
      <c r="M16" s="10">
        <f t="shared" si="5"/>
        <v>1</v>
      </c>
      <c r="N16" s="9">
        <v>4766</v>
      </c>
      <c r="O16" s="10">
        <f t="shared" si="6"/>
        <v>1</v>
      </c>
      <c r="P16" s="9">
        <v>5083</v>
      </c>
      <c r="Q16" s="10">
        <f t="shared" si="7"/>
        <v>1</v>
      </c>
      <c r="R16" s="9">
        <v>5379</v>
      </c>
      <c r="S16" s="11">
        <f t="shared" si="8"/>
        <v>1</v>
      </c>
      <c r="T16" s="9">
        <v>5081</v>
      </c>
      <c r="U16" s="11">
        <f t="shared" si="9"/>
        <v>1</v>
      </c>
      <c r="V16" s="9">
        <v>4466</v>
      </c>
      <c r="W16" s="11">
        <f t="shared" si="10"/>
        <v>1</v>
      </c>
      <c r="X16" s="9">
        <v>4302</v>
      </c>
      <c r="Y16" s="11">
        <f>X16/4302</f>
        <v>1</v>
      </c>
      <c r="Z16" s="9">
        <v>4781</v>
      </c>
      <c r="AA16" s="11">
        <f t="shared" si="11"/>
        <v>1</v>
      </c>
      <c r="AB16" s="9">
        <v>4196</v>
      </c>
      <c r="AC16" s="11">
        <v>1</v>
      </c>
      <c r="AD16" s="9">
        <v>3160</v>
      </c>
      <c r="AE16" s="11">
        <v>1</v>
      </c>
      <c r="AF16" s="9">
        <v>3193</v>
      </c>
      <c r="AG16" s="10">
        <v>1</v>
      </c>
      <c r="AH16" s="9">
        <v>3386</v>
      </c>
      <c r="AI16" s="10">
        <v>1</v>
      </c>
    </row>
    <row r="17" spans="1:35" ht="12" customHeight="1" x14ac:dyDescent="0.2">
      <c r="A17" s="50" t="s">
        <v>54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2"/>
      <c r="AH17" s="53"/>
      <c r="AI17" s="56"/>
    </row>
    <row r="18" spans="1:35" ht="12" customHeight="1" x14ac:dyDescent="0.2">
      <c r="A18" s="41" t="s">
        <v>48</v>
      </c>
      <c r="B18" s="41">
        <v>185</v>
      </c>
      <c r="C18" s="42">
        <f t="shared" ref="C18:C24" si="12">B18/611</f>
        <v>0.30278232405891981</v>
      </c>
      <c r="D18" s="41">
        <v>195</v>
      </c>
      <c r="E18" s="42">
        <f t="shared" ref="E18:E24" si="13">D18/550</f>
        <v>0.35454545454545455</v>
      </c>
      <c r="F18" s="41">
        <v>171</v>
      </c>
      <c r="G18" s="42">
        <f t="shared" ref="G18:G24" si="14">F18/525</f>
        <v>0.32571428571428573</v>
      </c>
      <c r="H18" s="41">
        <v>210</v>
      </c>
      <c r="I18" s="42">
        <f t="shared" ref="I18:I24" si="15">H18/627</f>
        <v>0.3349282296650718</v>
      </c>
      <c r="J18" s="41">
        <v>202</v>
      </c>
      <c r="K18" s="42">
        <f t="shared" ref="K18:K24" si="16">J18/604</f>
        <v>0.33443708609271522</v>
      </c>
      <c r="L18" s="43">
        <v>233</v>
      </c>
      <c r="M18" s="42">
        <f t="shared" ref="M18:M24" si="17">L18/588</f>
        <v>0.39625850340136054</v>
      </c>
      <c r="N18" s="43">
        <v>186</v>
      </c>
      <c r="O18" s="42">
        <f t="shared" ref="O18:O24" si="18">N18/517</f>
        <v>0.35976789168278528</v>
      </c>
      <c r="P18" s="9">
        <v>181</v>
      </c>
      <c r="Q18" s="37">
        <f t="shared" ref="Q18:Q24" si="19">P18/518</f>
        <v>0.34942084942084944</v>
      </c>
      <c r="R18" s="9">
        <v>181</v>
      </c>
      <c r="S18" s="38">
        <f t="shared" ref="S18:S24" si="20">R18/493</f>
        <v>0.36713995943204869</v>
      </c>
      <c r="T18" s="9">
        <v>197</v>
      </c>
      <c r="U18" s="38">
        <f t="shared" ref="U18:U24" si="21">T18/516</f>
        <v>0.38178294573643412</v>
      </c>
      <c r="V18" s="9">
        <v>173</v>
      </c>
      <c r="W18" s="38">
        <f t="shared" ref="W18:W24" si="22">V18/442</f>
        <v>0.39140271493212669</v>
      </c>
      <c r="X18" s="9">
        <v>152</v>
      </c>
      <c r="Y18" s="38">
        <f t="shared" ref="Y18:Y24" si="23">X18/407</f>
        <v>0.37346437346437344</v>
      </c>
      <c r="Z18" s="9">
        <v>158</v>
      </c>
      <c r="AA18" s="38">
        <f t="shared" ref="AA18:AA24" si="24">Z18/419</f>
        <v>0.37708830548926014</v>
      </c>
      <c r="AB18" s="29">
        <v>105</v>
      </c>
      <c r="AC18" s="30">
        <f>AB18/316</f>
        <v>0.33227848101265822</v>
      </c>
      <c r="AD18" s="29">
        <v>82</v>
      </c>
      <c r="AE18" s="31">
        <f>AD18/254</f>
        <v>0.32283464566929132</v>
      </c>
      <c r="AF18" s="29">
        <v>79</v>
      </c>
      <c r="AG18" s="31">
        <f>AF18/218</f>
        <v>0.36238532110091742</v>
      </c>
      <c r="AH18" s="29">
        <v>60</v>
      </c>
      <c r="AI18" s="31">
        <f>AH18/179</f>
        <v>0.33519553072625696</v>
      </c>
    </row>
    <row r="19" spans="1:35" ht="12" customHeight="1" x14ac:dyDescent="0.2">
      <c r="A19" s="8" t="s">
        <v>49</v>
      </c>
      <c r="B19" s="41">
        <v>40</v>
      </c>
      <c r="C19" s="42">
        <f t="shared" si="12"/>
        <v>6.5466448445171854E-2</v>
      </c>
      <c r="D19" s="41">
        <v>30</v>
      </c>
      <c r="E19" s="42">
        <f t="shared" si="13"/>
        <v>5.4545454545454543E-2</v>
      </c>
      <c r="F19" s="41">
        <v>17</v>
      </c>
      <c r="G19" s="42">
        <f t="shared" si="14"/>
        <v>3.2380952380952378E-2</v>
      </c>
      <c r="H19" s="41">
        <v>32</v>
      </c>
      <c r="I19" s="42">
        <f t="shared" si="15"/>
        <v>5.1036682615629984E-2</v>
      </c>
      <c r="J19" s="41">
        <v>26</v>
      </c>
      <c r="K19" s="42">
        <f t="shared" si="16"/>
        <v>4.3046357615894038E-2</v>
      </c>
      <c r="L19" s="43">
        <v>48</v>
      </c>
      <c r="M19" s="42">
        <f t="shared" si="17"/>
        <v>8.1632653061224483E-2</v>
      </c>
      <c r="N19" s="43">
        <v>40</v>
      </c>
      <c r="O19" s="42">
        <f t="shared" si="18"/>
        <v>7.7369439071566737E-2</v>
      </c>
      <c r="P19" s="9">
        <v>31</v>
      </c>
      <c r="Q19" s="37">
        <f t="shared" si="19"/>
        <v>5.9845559845559844E-2</v>
      </c>
      <c r="R19" s="9">
        <v>40</v>
      </c>
      <c r="S19" s="38">
        <f t="shared" si="20"/>
        <v>8.1135902636916835E-2</v>
      </c>
      <c r="T19" s="9">
        <v>30</v>
      </c>
      <c r="U19" s="38">
        <f t="shared" si="21"/>
        <v>5.8139534883720929E-2</v>
      </c>
      <c r="V19" s="9">
        <v>31</v>
      </c>
      <c r="W19" s="38">
        <f t="shared" si="22"/>
        <v>7.0135746606334842E-2</v>
      </c>
      <c r="X19" s="9">
        <v>33</v>
      </c>
      <c r="Y19" s="38">
        <f t="shared" si="23"/>
        <v>8.1081081081081086E-2</v>
      </c>
      <c r="Z19" s="9">
        <v>18</v>
      </c>
      <c r="AA19" s="38">
        <f t="shared" si="24"/>
        <v>4.2959427207637228E-2</v>
      </c>
      <c r="AB19" s="29">
        <v>15</v>
      </c>
      <c r="AC19" s="30">
        <f>AB19/316</f>
        <v>4.746835443037975E-2</v>
      </c>
      <c r="AD19" s="29">
        <v>26</v>
      </c>
      <c r="AE19" s="31">
        <f>AD19/254</f>
        <v>0.10236220472440945</v>
      </c>
      <c r="AF19" s="29">
        <v>13</v>
      </c>
      <c r="AG19" s="31">
        <f>AF19/218</f>
        <v>5.9633027522935783E-2</v>
      </c>
      <c r="AH19" s="29">
        <v>15</v>
      </c>
      <c r="AI19" s="31">
        <f>AH19/179</f>
        <v>8.3798882681564241E-2</v>
      </c>
    </row>
    <row r="20" spans="1:35" ht="12" customHeight="1" x14ac:dyDescent="0.2">
      <c r="A20" s="8" t="s">
        <v>50</v>
      </c>
      <c r="B20" s="41">
        <v>11</v>
      </c>
      <c r="C20" s="42">
        <f t="shared" si="12"/>
        <v>1.8003273322422259E-2</v>
      </c>
      <c r="D20" s="41">
        <v>11</v>
      </c>
      <c r="E20" s="42">
        <f t="shared" si="13"/>
        <v>0.02</v>
      </c>
      <c r="F20" s="41">
        <v>7</v>
      </c>
      <c r="G20" s="42">
        <f t="shared" si="14"/>
        <v>1.3333333333333334E-2</v>
      </c>
      <c r="H20" s="41">
        <v>11</v>
      </c>
      <c r="I20" s="42">
        <f t="shared" si="15"/>
        <v>1.7543859649122806E-2</v>
      </c>
      <c r="J20" s="41">
        <v>6</v>
      </c>
      <c r="K20" s="42">
        <f t="shared" si="16"/>
        <v>9.9337748344370865E-3</v>
      </c>
      <c r="L20" s="43">
        <v>7</v>
      </c>
      <c r="M20" s="42">
        <f t="shared" si="17"/>
        <v>1.1904761904761904E-2</v>
      </c>
      <c r="N20" s="43">
        <v>7</v>
      </c>
      <c r="O20" s="42">
        <f t="shared" si="18"/>
        <v>1.3539651837524178E-2</v>
      </c>
      <c r="P20" s="9">
        <v>10</v>
      </c>
      <c r="Q20" s="37">
        <f t="shared" si="19"/>
        <v>1.9305019305019305E-2</v>
      </c>
      <c r="R20" s="9">
        <v>6</v>
      </c>
      <c r="S20" s="38">
        <f t="shared" si="20"/>
        <v>1.2170385395537525E-2</v>
      </c>
      <c r="T20" s="9">
        <v>4</v>
      </c>
      <c r="U20" s="38">
        <f t="shared" si="21"/>
        <v>7.7519379844961239E-3</v>
      </c>
      <c r="V20" s="9">
        <v>5</v>
      </c>
      <c r="W20" s="38">
        <f t="shared" si="22"/>
        <v>1.1312217194570135E-2</v>
      </c>
      <c r="X20" s="9">
        <v>7</v>
      </c>
      <c r="Y20" s="38">
        <f t="shared" si="23"/>
        <v>1.7199017199017199E-2</v>
      </c>
      <c r="Z20" s="9">
        <v>4</v>
      </c>
      <c r="AA20" s="38">
        <f t="shared" si="24"/>
        <v>9.5465393794749408E-3</v>
      </c>
      <c r="AB20" s="29">
        <v>3</v>
      </c>
      <c r="AC20" s="30">
        <f>AB20/316</f>
        <v>9.4936708860759497E-3</v>
      </c>
      <c r="AD20" s="29">
        <v>1</v>
      </c>
      <c r="AE20" s="31">
        <f>AD20/254</f>
        <v>3.937007874015748E-3</v>
      </c>
      <c r="AF20" s="29">
        <v>4</v>
      </c>
      <c r="AG20" s="31">
        <f>AF20/218</f>
        <v>1.834862385321101E-2</v>
      </c>
      <c r="AH20" s="29">
        <v>5</v>
      </c>
      <c r="AI20" s="31">
        <f>AH20/179</f>
        <v>2.7932960893854747E-2</v>
      </c>
    </row>
    <row r="21" spans="1:35" ht="12" customHeight="1" x14ac:dyDescent="0.2">
      <c r="A21" s="8" t="s">
        <v>51</v>
      </c>
      <c r="B21" s="41">
        <v>26</v>
      </c>
      <c r="C21" s="42">
        <f t="shared" si="12"/>
        <v>4.2553191489361701E-2</v>
      </c>
      <c r="D21" s="41">
        <v>31</v>
      </c>
      <c r="E21" s="42">
        <f t="shared" si="13"/>
        <v>5.6363636363636366E-2</v>
      </c>
      <c r="F21" s="41">
        <v>23</v>
      </c>
      <c r="G21" s="42">
        <f t="shared" si="14"/>
        <v>4.3809523809523812E-2</v>
      </c>
      <c r="H21" s="41">
        <v>16</v>
      </c>
      <c r="I21" s="42">
        <f t="shared" si="15"/>
        <v>2.5518341307814992E-2</v>
      </c>
      <c r="J21" s="41">
        <v>21</v>
      </c>
      <c r="K21" s="42">
        <f t="shared" si="16"/>
        <v>3.4768211920529798E-2</v>
      </c>
      <c r="L21" s="43">
        <v>9</v>
      </c>
      <c r="M21" s="42">
        <f t="shared" si="17"/>
        <v>1.5306122448979591E-2</v>
      </c>
      <c r="N21" s="43">
        <v>12</v>
      </c>
      <c r="O21" s="42">
        <f t="shared" si="18"/>
        <v>2.321083172147002E-2</v>
      </c>
      <c r="P21" s="9">
        <v>20</v>
      </c>
      <c r="Q21" s="37">
        <f t="shared" si="19"/>
        <v>3.8610038610038609E-2</v>
      </c>
      <c r="R21" s="9">
        <v>15</v>
      </c>
      <c r="S21" s="38">
        <f t="shared" si="20"/>
        <v>3.0425963488843813E-2</v>
      </c>
      <c r="T21" s="9">
        <v>21</v>
      </c>
      <c r="U21" s="38">
        <f t="shared" si="21"/>
        <v>4.0697674418604654E-2</v>
      </c>
      <c r="V21" s="9">
        <v>11</v>
      </c>
      <c r="W21" s="38">
        <f t="shared" si="22"/>
        <v>2.4886877828054297E-2</v>
      </c>
      <c r="X21" s="9">
        <v>10</v>
      </c>
      <c r="Y21" s="38">
        <f t="shared" si="23"/>
        <v>2.4570024570024569E-2</v>
      </c>
      <c r="Z21" s="9">
        <v>10</v>
      </c>
      <c r="AA21" s="38">
        <f t="shared" si="24"/>
        <v>2.386634844868735E-2</v>
      </c>
      <c r="AB21" s="29">
        <v>14</v>
      </c>
      <c r="AC21" s="30">
        <f>AB21/316</f>
        <v>4.4303797468354431E-2</v>
      </c>
      <c r="AD21" s="29">
        <v>10</v>
      </c>
      <c r="AE21" s="31">
        <f>AD21/254</f>
        <v>3.937007874015748E-2</v>
      </c>
      <c r="AF21" s="29">
        <v>17</v>
      </c>
      <c r="AG21" s="31">
        <f>AF21/218</f>
        <v>7.7981651376146793E-2</v>
      </c>
      <c r="AH21" s="29">
        <v>7</v>
      </c>
      <c r="AI21" s="31">
        <f>AH21/179</f>
        <v>3.9106145251396648E-2</v>
      </c>
    </row>
    <row r="22" spans="1:35" ht="12" customHeight="1" x14ac:dyDescent="0.2">
      <c r="A22" s="8" t="s">
        <v>52</v>
      </c>
      <c r="B22" s="8"/>
      <c r="C22" s="37"/>
      <c r="D22" s="8"/>
      <c r="E22" s="37"/>
      <c r="F22" s="8"/>
      <c r="G22" s="37"/>
      <c r="H22" s="8"/>
      <c r="I22" s="37"/>
      <c r="J22" s="39" t="s">
        <v>53</v>
      </c>
      <c r="K22" s="39" t="s">
        <v>53</v>
      </c>
      <c r="L22" s="39" t="s">
        <v>53</v>
      </c>
      <c r="M22" s="39" t="s">
        <v>53</v>
      </c>
      <c r="N22" s="39" t="s">
        <v>53</v>
      </c>
      <c r="O22" s="39" t="s">
        <v>53</v>
      </c>
      <c r="P22" s="39" t="s">
        <v>53</v>
      </c>
      <c r="Q22" s="39" t="s">
        <v>53</v>
      </c>
      <c r="R22" s="39" t="s">
        <v>53</v>
      </c>
      <c r="S22" s="39" t="s">
        <v>53</v>
      </c>
      <c r="T22" s="39" t="s">
        <v>53</v>
      </c>
      <c r="U22" s="39" t="s">
        <v>53</v>
      </c>
      <c r="V22" s="39" t="s">
        <v>53</v>
      </c>
      <c r="W22" s="39" t="s">
        <v>53</v>
      </c>
      <c r="X22" s="39" t="s">
        <v>53</v>
      </c>
      <c r="Y22" s="39" t="s">
        <v>53</v>
      </c>
      <c r="Z22" s="9">
        <v>3</v>
      </c>
      <c r="AA22" s="38">
        <f t="shared" si="24"/>
        <v>7.1599045346062056E-3</v>
      </c>
      <c r="AB22" s="29">
        <v>1</v>
      </c>
      <c r="AC22" s="30">
        <f>AB22/316</f>
        <v>3.1645569620253164E-3</v>
      </c>
      <c r="AD22" s="29">
        <v>3</v>
      </c>
      <c r="AE22" s="31">
        <f>AD22/254</f>
        <v>1.1811023622047244E-2</v>
      </c>
      <c r="AF22" s="29">
        <v>1</v>
      </c>
      <c r="AG22" s="31">
        <f>AF22/218</f>
        <v>4.5871559633027525E-3</v>
      </c>
      <c r="AH22" s="29">
        <v>1</v>
      </c>
      <c r="AI22" s="31">
        <f>AH22/179</f>
        <v>5.5865921787709499E-3</v>
      </c>
    </row>
    <row r="23" spans="1:35" ht="12" customHeight="1" x14ac:dyDescent="0.2">
      <c r="A23" s="95" t="s">
        <v>4</v>
      </c>
      <c r="B23" s="95">
        <f>SUM(B18:B21)</f>
        <v>262</v>
      </c>
      <c r="C23" s="102">
        <f t="shared" si="12"/>
        <v>0.42880523731587561</v>
      </c>
      <c r="D23" s="95">
        <f>SUM(D18:D21)</f>
        <v>267</v>
      </c>
      <c r="E23" s="102">
        <f t="shared" si="13"/>
        <v>0.48545454545454547</v>
      </c>
      <c r="F23" s="95">
        <f>SUM(F18:F21)</f>
        <v>218</v>
      </c>
      <c r="G23" s="102">
        <f t="shared" si="14"/>
        <v>0.41523809523809524</v>
      </c>
      <c r="H23" s="95">
        <f>SUM(H18:H21)</f>
        <v>269</v>
      </c>
      <c r="I23" s="102">
        <f t="shared" si="15"/>
        <v>0.42902711323763953</v>
      </c>
      <c r="J23" s="95">
        <f>SUM(J18:J21)</f>
        <v>255</v>
      </c>
      <c r="K23" s="102">
        <f t="shared" si="16"/>
        <v>0.42218543046357615</v>
      </c>
      <c r="L23" s="95">
        <f>SUM(L18:L21)</f>
        <v>297</v>
      </c>
      <c r="M23" s="102">
        <f t="shared" si="17"/>
        <v>0.50510204081632648</v>
      </c>
      <c r="N23" s="95">
        <f>SUM(N18:N21)</f>
        <v>245</v>
      </c>
      <c r="O23" s="105">
        <f t="shared" si="18"/>
        <v>0.4738878143133462</v>
      </c>
      <c r="P23" s="95">
        <f>SUM(P18:P21)</f>
        <v>242</v>
      </c>
      <c r="Q23" s="102">
        <f t="shared" si="19"/>
        <v>0.46718146718146719</v>
      </c>
      <c r="R23" s="103">
        <f>SUM(R18:R21)</f>
        <v>242</v>
      </c>
      <c r="S23" s="104">
        <f t="shared" si="20"/>
        <v>0.49087221095334688</v>
      </c>
      <c r="T23" s="103">
        <f>SUM(T18:T21)</f>
        <v>252</v>
      </c>
      <c r="U23" s="104">
        <f t="shared" si="21"/>
        <v>0.48837209302325579</v>
      </c>
      <c r="V23" s="103">
        <f>SUM(V18:V21)</f>
        <v>220</v>
      </c>
      <c r="W23" s="104">
        <f t="shared" si="22"/>
        <v>0.49773755656108598</v>
      </c>
      <c r="X23" s="103">
        <f>SUM(X18:X21)</f>
        <v>202</v>
      </c>
      <c r="Y23" s="104">
        <f t="shared" si="23"/>
        <v>0.49631449631449631</v>
      </c>
      <c r="Z23" s="98">
        <f>SUM(Z18:Z22)</f>
        <v>193</v>
      </c>
      <c r="AA23" s="104">
        <f t="shared" si="24"/>
        <v>0.46062052505966589</v>
      </c>
      <c r="AB23" s="98">
        <v>138</v>
      </c>
      <c r="AC23" s="104">
        <v>0.43670886075949367</v>
      </c>
      <c r="AD23" s="98">
        <v>122</v>
      </c>
      <c r="AE23" s="102">
        <v>0.48031496062992124</v>
      </c>
      <c r="AF23" s="98">
        <v>114</v>
      </c>
      <c r="AG23" s="102">
        <v>0.52293577981651373</v>
      </c>
      <c r="AH23" s="98">
        <v>88</v>
      </c>
      <c r="AI23" s="102">
        <v>0.49162011173184356</v>
      </c>
    </row>
    <row r="24" spans="1:35" ht="12" customHeight="1" x14ac:dyDescent="0.2">
      <c r="A24" s="8" t="s">
        <v>1</v>
      </c>
      <c r="B24" s="8">
        <v>611</v>
      </c>
      <c r="C24" s="10">
        <f t="shared" si="12"/>
        <v>1</v>
      </c>
      <c r="D24" s="8">
        <v>550</v>
      </c>
      <c r="E24" s="40">
        <f t="shared" si="13"/>
        <v>1</v>
      </c>
      <c r="F24" s="8">
        <v>525</v>
      </c>
      <c r="G24" s="40">
        <f t="shared" si="14"/>
        <v>1</v>
      </c>
      <c r="H24" s="8">
        <v>627</v>
      </c>
      <c r="I24" s="40">
        <f t="shared" si="15"/>
        <v>1</v>
      </c>
      <c r="J24" s="8">
        <v>604</v>
      </c>
      <c r="K24" s="40">
        <f t="shared" si="16"/>
        <v>1</v>
      </c>
      <c r="L24" s="9">
        <v>588</v>
      </c>
      <c r="M24" s="10">
        <f t="shared" si="17"/>
        <v>1</v>
      </c>
      <c r="N24" s="9">
        <v>517</v>
      </c>
      <c r="O24" s="44">
        <f t="shared" si="18"/>
        <v>1</v>
      </c>
      <c r="P24" s="9">
        <v>518</v>
      </c>
      <c r="Q24" s="10">
        <f t="shared" si="19"/>
        <v>1</v>
      </c>
      <c r="R24" s="9">
        <v>493</v>
      </c>
      <c r="S24" s="11">
        <f t="shared" si="20"/>
        <v>1</v>
      </c>
      <c r="T24" s="9">
        <v>516</v>
      </c>
      <c r="U24" s="11">
        <f t="shared" si="21"/>
        <v>1</v>
      </c>
      <c r="V24" s="9">
        <v>442</v>
      </c>
      <c r="W24" s="11">
        <f t="shared" si="22"/>
        <v>1</v>
      </c>
      <c r="X24" s="9">
        <v>407</v>
      </c>
      <c r="Y24" s="11">
        <f t="shared" si="23"/>
        <v>1</v>
      </c>
      <c r="Z24" s="9">
        <v>419</v>
      </c>
      <c r="AA24" s="11">
        <f t="shared" si="24"/>
        <v>1</v>
      </c>
      <c r="AB24" s="9">
        <v>316</v>
      </c>
      <c r="AC24" s="11">
        <f>AB24/316</f>
        <v>1</v>
      </c>
      <c r="AD24" s="9">
        <v>254</v>
      </c>
      <c r="AE24" s="10">
        <f>AD24/254</f>
        <v>1</v>
      </c>
      <c r="AF24" s="9">
        <v>218</v>
      </c>
      <c r="AG24" s="10">
        <f>AF24/218</f>
        <v>1</v>
      </c>
      <c r="AH24" s="9">
        <v>179</v>
      </c>
      <c r="AI24" s="10">
        <f>AH24/179</f>
        <v>1</v>
      </c>
    </row>
    <row r="25" spans="1:35" ht="12" customHeight="1" x14ac:dyDescent="0.2">
      <c r="A25" s="92" t="s">
        <v>0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4"/>
    </row>
    <row r="26" spans="1:35" ht="12" customHeight="1" x14ac:dyDescent="0.2">
      <c r="A26" s="8" t="s">
        <v>48</v>
      </c>
      <c r="B26" s="8">
        <v>1434</v>
      </c>
      <c r="C26" s="37">
        <f t="shared" ref="C26:C32" si="25">B26/4903</f>
        <v>0.29247399551295128</v>
      </c>
      <c r="D26" s="8">
        <v>1409</v>
      </c>
      <c r="E26" s="37">
        <f t="shared" ref="E26:E32" si="26">D26/4324</f>
        <v>0.32585568917668828</v>
      </c>
      <c r="F26" s="8">
        <v>1400</v>
      </c>
      <c r="G26" s="37">
        <f t="shared" ref="G26:G32" si="27">F26/4674</f>
        <v>0.29952931108258452</v>
      </c>
      <c r="H26" s="8">
        <v>1618</v>
      </c>
      <c r="I26" s="37">
        <f t="shared" ref="I26:I32" si="28">H26/5414</f>
        <v>0.29885482083487253</v>
      </c>
      <c r="J26" s="8">
        <v>1543</v>
      </c>
      <c r="K26" s="37">
        <f t="shared" ref="K26:K32" si="29">J26/5244</f>
        <v>0.29424103737604884</v>
      </c>
      <c r="L26" s="9">
        <v>1550</v>
      </c>
      <c r="M26" s="37">
        <f t="shared" ref="M26:M32" si="30">L26/5449</f>
        <v>0.28445586346118557</v>
      </c>
      <c r="N26" s="43">
        <v>1657</v>
      </c>
      <c r="O26" s="42">
        <f t="shared" ref="O26:O32" si="31">N26/5852</f>
        <v>0.28315105946684893</v>
      </c>
      <c r="P26" s="9">
        <v>1698</v>
      </c>
      <c r="Q26" s="37">
        <f t="shared" ref="Q26:Q32" si="32">P26/6300</f>
        <v>0.2695238095238095</v>
      </c>
      <c r="R26" s="9">
        <v>1790</v>
      </c>
      <c r="S26" s="38">
        <f t="shared" ref="S26:S32" si="33">R26/6639</f>
        <v>0.26961891851182407</v>
      </c>
      <c r="T26" s="9">
        <v>1622</v>
      </c>
      <c r="U26" s="38">
        <f t="shared" ref="U26:U32" si="34">T26/6416</f>
        <v>0.25280548628428928</v>
      </c>
      <c r="V26" s="9">
        <v>1446</v>
      </c>
      <c r="W26" s="38">
        <f t="shared" ref="W26:W32" si="35">V26/5600</f>
        <v>0.25821428571428573</v>
      </c>
      <c r="X26" s="9">
        <v>1360</v>
      </c>
      <c r="Y26" s="38">
        <f t="shared" ref="Y26:Y32" si="36">X26/5404</f>
        <v>0.25166543301258326</v>
      </c>
      <c r="Z26" s="9">
        <v>1405</v>
      </c>
      <c r="AA26" s="38">
        <f t="shared" ref="AA26:AA32" si="37">Z26/6088</f>
        <v>0.23078186596583442</v>
      </c>
      <c r="AB26" s="29">
        <v>1178</v>
      </c>
      <c r="AC26" s="30">
        <v>0.21782544378698224</v>
      </c>
      <c r="AD26" s="29">
        <v>873</v>
      </c>
      <c r="AE26" s="30">
        <v>0.22213740458015266</v>
      </c>
      <c r="AF26" s="29">
        <v>931</v>
      </c>
      <c r="AG26" s="31">
        <v>0.23141933880188914</v>
      </c>
      <c r="AH26" s="29">
        <v>936</v>
      </c>
      <c r="AI26" s="31">
        <f>AH26/4224</f>
        <v>0.22159090909090909</v>
      </c>
    </row>
    <row r="27" spans="1:35" ht="12" customHeight="1" x14ac:dyDescent="0.2">
      <c r="A27" s="8" t="s">
        <v>49</v>
      </c>
      <c r="B27" s="8">
        <v>178</v>
      </c>
      <c r="C27" s="37">
        <f t="shared" si="25"/>
        <v>3.6304303487660616E-2</v>
      </c>
      <c r="D27" s="8">
        <v>171</v>
      </c>
      <c r="E27" s="37">
        <f t="shared" si="26"/>
        <v>3.9546716003700279E-2</v>
      </c>
      <c r="F27" s="8">
        <v>160</v>
      </c>
      <c r="G27" s="37">
        <f t="shared" si="27"/>
        <v>3.4231921266581089E-2</v>
      </c>
      <c r="H27" s="8">
        <v>208</v>
      </c>
      <c r="I27" s="37">
        <f t="shared" si="28"/>
        <v>3.8418913926856299E-2</v>
      </c>
      <c r="J27" s="8">
        <v>245</v>
      </c>
      <c r="K27" s="37">
        <f t="shared" si="29"/>
        <v>4.6720061022120521E-2</v>
      </c>
      <c r="L27" s="9">
        <v>280</v>
      </c>
      <c r="M27" s="37">
        <f t="shared" si="30"/>
        <v>5.1385575334923841E-2</v>
      </c>
      <c r="N27" s="43">
        <v>311</v>
      </c>
      <c r="O27" s="42">
        <f t="shared" si="31"/>
        <v>5.3144224196855779E-2</v>
      </c>
      <c r="P27" s="9">
        <v>412</v>
      </c>
      <c r="Q27" s="37">
        <f t="shared" si="32"/>
        <v>6.5396825396825398E-2</v>
      </c>
      <c r="R27" s="9">
        <v>410</v>
      </c>
      <c r="S27" s="38">
        <f t="shared" si="33"/>
        <v>6.1756288597680377E-2</v>
      </c>
      <c r="T27" s="9">
        <v>345</v>
      </c>
      <c r="U27" s="38">
        <f t="shared" si="34"/>
        <v>5.3771820448877808E-2</v>
      </c>
      <c r="V27" s="9">
        <v>330</v>
      </c>
      <c r="W27" s="38">
        <f t="shared" si="35"/>
        <v>5.8928571428571427E-2</v>
      </c>
      <c r="X27" s="9">
        <v>278</v>
      </c>
      <c r="Y27" s="38">
        <f t="shared" si="36"/>
        <v>5.1443375277572166E-2</v>
      </c>
      <c r="Z27" s="9">
        <v>273</v>
      </c>
      <c r="AA27" s="38">
        <f t="shared" si="37"/>
        <v>4.4842312746386337E-2</v>
      </c>
      <c r="AB27" s="29">
        <v>262</v>
      </c>
      <c r="AC27" s="30">
        <v>4.8446745562130175E-2</v>
      </c>
      <c r="AD27" s="29">
        <v>261</v>
      </c>
      <c r="AE27" s="30">
        <v>6.6412213740458012E-2</v>
      </c>
      <c r="AF27" s="29">
        <v>328</v>
      </c>
      <c r="AG27" s="31">
        <v>8.1531195625155359E-2</v>
      </c>
      <c r="AH27" s="29">
        <v>420</v>
      </c>
      <c r="AI27" s="31">
        <f>AH27/4224</f>
        <v>9.9431818181818177E-2</v>
      </c>
    </row>
    <row r="28" spans="1:35" ht="12" customHeight="1" x14ac:dyDescent="0.2">
      <c r="A28" s="8" t="s">
        <v>50</v>
      </c>
      <c r="B28" s="8">
        <v>92</v>
      </c>
      <c r="C28" s="37">
        <f t="shared" si="25"/>
        <v>1.8764022027330206E-2</v>
      </c>
      <c r="D28" s="8">
        <v>91</v>
      </c>
      <c r="E28" s="37">
        <f t="shared" si="26"/>
        <v>2.1045328399629974E-2</v>
      </c>
      <c r="F28" s="8">
        <v>71</v>
      </c>
      <c r="G28" s="37">
        <f t="shared" si="27"/>
        <v>1.5190415062045357E-2</v>
      </c>
      <c r="H28" s="8">
        <v>76</v>
      </c>
      <c r="I28" s="37">
        <f t="shared" si="28"/>
        <v>1.4037680088659032E-2</v>
      </c>
      <c r="J28" s="8">
        <v>67</v>
      </c>
      <c r="K28" s="37">
        <f t="shared" si="29"/>
        <v>1.2776506483600306E-2</v>
      </c>
      <c r="L28" s="9">
        <v>93</v>
      </c>
      <c r="M28" s="37">
        <f t="shared" si="30"/>
        <v>1.7067351807671133E-2</v>
      </c>
      <c r="N28" s="43">
        <v>86</v>
      </c>
      <c r="O28" s="42">
        <f t="shared" si="31"/>
        <v>1.469583048530417E-2</v>
      </c>
      <c r="P28" s="9">
        <v>98</v>
      </c>
      <c r="Q28" s="37">
        <f t="shared" si="32"/>
        <v>1.5555555555555555E-2</v>
      </c>
      <c r="R28" s="9">
        <v>171</v>
      </c>
      <c r="S28" s="38">
        <f t="shared" si="33"/>
        <v>2.5756891098056935E-2</v>
      </c>
      <c r="T28" s="9">
        <v>112</v>
      </c>
      <c r="U28" s="38">
        <f t="shared" si="34"/>
        <v>1.7456359102244388E-2</v>
      </c>
      <c r="V28" s="9">
        <v>101</v>
      </c>
      <c r="W28" s="38">
        <f t="shared" si="35"/>
        <v>1.8035714285714287E-2</v>
      </c>
      <c r="X28" s="9">
        <v>127</v>
      </c>
      <c r="Y28" s="38">
        <f t="shared" si="36"/>
        <v>2.3501110288675055E-2</v>
      </c>
      <c r="Z28" s="9">
        <v>155</v>
      </c>
      <c r="AA28" s="38">
        <f t="shared" si="37"/>
        <v>2.5459921156373192E-2</v>
      </c>
      <c r="AB28" s="29">
        <v>148</v>
      </c>
      <c r="AC28" s="30">
        <v>2.7366863905325445E-2</v>
      </c>
      <c r="AD28" s="29">
        <v>118</v>
      </c>
      <c r="AE28" s="30">
        <v>3.0025445292620866E-2</v>
      </c>
      <c r="AF28" s="29">
        <v>139</v>
      </c>
      <c r="AG28" s="31">
        <v>3.4551329853343277E-2</v>
      </c>
      <c r="AH28" s="29">
        <v>141</v>
      </c>
      <c r="AI28" s="31">
        <f>AH28/4224</f>
        <v>3.3380681818181816E-2</v>
      </c>
    </row>
    <row r="29" spans="1:35" ht="12" customHeight="1" x14ac:dyDescent="0.2">
      <c r="A29" s="8" t="s">
        <v>51</v>
      </c>
      <c r="B29" s="8">
        <v>170</v>
      </c>
      <c r="C29" s="37">
        <f t="shared" si="25"/>
        <v>3.4672649398327551E-2</v>
      </c>
      <c r="D29" s="8">
        <v>176</v>
      </c>
      <c r="E29" s="37">
        <f t="shared" si="26"/>
        <v>4.0703052728954671E-2</v>
      </c>
      <c r="F29" s="8">
        <v>149</v>
      </c>
      <c r="G29" s="37">
        <f t="shared" si="27"/>
        <v>3.1878476679503637E-2</v>
      </c>
      <c r="H29" s="8">
        <v>175</v>
      </c>
      <c r="I29" s="37">
        <f t="shared" si="28"/>
        <v>3.2323605467306983E-2</v>
      </c>
      <c r="J29" s="8">
        <v>221</v>
      </c>
      <c r="K29" s="37">
        <f t="shared" si="29"/>
        <v>4.214340198321892E-2</v>
      </c>
      <c r="L29" s="9">
        <v>154</v>
      </c>
      <c r="M29" s="37">
        <f t="shared" si="30"/>
        <v>2.8262066434208113E-2</v>
      </c>
      <c r="N29" s="43">
        <v>141</v>
      </c>
      <c r="O29" s="42">
        <f t="shared" si="31"/>
        <v>2.4094326725905672E-2</v>
      </c>
      <c r="P29" s="9">
        <v>223</v>
      </c>
      <c r="Q29" s="37">
        <f t="shared" si="32"/>
        <v>3.5396825396825399E-2</v>
      </c>
      <c r="R29" s="9">
        <v>229</v>
      </c>
      <c r="S29" s="38">
        <f t="shared" si="33"/>
        <v>3.44931465582166E-2</v>
      </c>
      <c r="T29" s="9">
        <v>187</v>
      </c>
      <c r="U29" s="38">
        <f t="shared" si="34"/>
        <v>2.9145885286783042E-2</v>
      </c>
      <c r="V29" s="9">
        <v>194</v>
      </c>
      <c r="W29" s="38">
        <f t="shared" si="35"/>
        <v>3.4642857142857142E-2</v>
      </c>
      <c r="X29" s="9">
        <v>176</v>
      </c>
      <c r="Y29" s="38">
        <f t="shared" si="36"/>
        <v>3.256846780162842E-2</v>
      </c>
      <c r="Z29" s="9">
        <v>249</v>
      </c>
      <c r="AA29" s="38">
        <f t="shared" si="37"/>
        <v>4.0900131406044676E-2</v>
      </c>
      <c r="AB29" s="29">
        <v>296</v>
      </c>
      <c r="AC29" s="30">
        <v>5.473372781065089E-2</v>
      </c>
      <c r="AD29" s="29">
        <v>236</v>
      </c>
      <c r="AE29" s="30">
        <v>6.0050890585241733E-2</v>
      </c>
      <c r="AF29" s="29">
        <v>200</v>
      </c>
      <c r="AG29" s="31">
        <v>4.9714143673875215E-2</v>
      </c>
      <c r="AH29" s="29">
        <v>216</v>
      </c>
      <c r="AI29" s="31">
        <f>AH29/4224</f>
        <v>5.113636363636364E-2</v>
      </c>
    </row>
    <row r="30" spans="1:35" ht="12" customHeight="1" x14ac:dyDescent="0.2">
      <c r="A30" s="8" t="s">
        <v>52</v>
      </c>
      <c r="B30" s="8"/>
      <c r="C30" s="37"/>
      <c r="D30" s="8"/>
      <c r="E30" s="37"/>
      <c r="F30" s="8"/>
      <c r="G30" s="37"/>
      <c r="H30" s="8"/>
      <c r="I30" s="37"/>
      <c r="J30" s="39" t="s">
        <v>53</v>
      </c>
      <c r="K30" s="39" t="s">
        <v>53</v>
      </c>
      <c r="L30" s="39" t="s">
        <v>53</v>
      </c>
      <c r="M30" s="39" t="s">
        <v>53</v>
      </c>
      <c r="N30" s="39" t="s">
        <v>53</v>
      </c>
      <c r="O30" s="39" t="s">
        <v>53</v>
      </c>
      <c r="P30" s="39" t="s">
        <v>53</v>
      </c>
      <c r="Q30" s="39" t="s">
        <v>53</v>
      </c>
      <c r="R30" s="39" t="s">
        <v>53</v>
      </c>
      <c r="S30" s="39" t="s">
        <v>53</v>
      </c>
      <c r="T30" s="39" t="s">
        <v>53</v>
      </c>
      <c r="U30" s="39" t="s">
        <v>53</v>
      </c>
      <c r="V30" s="39" t="s">
        <v>53</v>
      </c>
      <c r="W30" s="39" t="s">
        <v>53</v>
      </c>
      <c r="X30" s="39" t="s">
        <v>53</v>
      </c>
      <c r="Y30" s="39" t="s">
        <v>53</v>
      </c>
      <c r="Z30" s="9">
        <v>18</v>
      </c>
      <c r="AA30" s="38">
        <f t="shared" si="37"/>
        <v>2.956636005256242E-3</v>
      </c>
      <c r="AB30" s="29">
        <v>14</v>
      </c>
      <c r="AC30" s="30">
        <v>2.5887573964497044E-3</v>
      </c>
      <c r="AD30" s="29">
        <v>23</v>
      </c>
      <c r="AE30" s="30">
        <v>5.8524173027989825E-3</v>
      </c>
      <c r="AF30" s="29">
        <v>16</v>
      </c>
      <c r="AG30" s="31">
        <v>3.9771314939100171E-3</v>
      </c>
      <c r="AH30" s="29">
        <v>17</v>
      </c>
      <c r="AI30" s="31">
        <f>AH30/4224</f>
        <v>4.024621212121212E-3</v>
      </c>
    </row>
    <row r="31" spans="1:35" ht="12" customHeight="1" x14ac:dyDescent="0.2">
      <c r="A31" s="95" t="s">
        <v>4</v>
      </c>
      <c r="B31" s="95">
        <f>SUM(B26:B29)</f>
        <v>1874</v>
      </c>
      <c r="C31" s="102">
        <f t="shared" si="25"/>
        <v>0.38221497042626962</v>
      </c>
      <c r="D31" s="95">
        <f>SUM(D26:D29)</f>
        <v>1847</v>
      </c>
      <c r="E31" s="102">
        <f t="shared" si="26"/>
        <v>0.42715078630897318</v>
      </c>
      <c r="F31" s="95">
        <f>SUM(F26:F29)</f>
        <v>1780</v>
      </c>
      <c r="G31" s="102">
        <f t="shared" si="27"/>
        <v>0.38083012409071459</v>
      </c>
      <c r="H31" s="95">
        <f>SUM(H26:H29)</f>
        <v>2077</v>
      </c>
      <c r="I31" s="102">
        <f t="shared" si="28"/>
        <v>0.38363502031769486</v>
      </c>
      <c r="J31" s="95">
        <f>SUM(J26:J29)</f>
        <v>2076</v>
      </c>
      <c r="K31" s="102">
        <f t="shared" si="29"/>
        <v>0.39588100686498856</v>
      </c>
      <c r="L31" s="95">
        <f>SUM(L26:L29)</f>
        <v>2077</v>
      </c>
      <c r="M31" s="102">
        <f t="shared" si="30"/>
        <v>0.38117085703798864</v>
      </c>
      <c r="N31" s="95">
        <f>SUM(N26:N29)</f>
        <v>2195</v>
      </c>
      <c r="O31" s="105">
        <f t="shared" si="31"/>
        <v>0.37508544087491458</v>
      </c>
      <c r="P31" s="95">
        <f>SUM(P26:P29)</f>
        <v>2431</v>
      </c>
      <c r="Q31" s="102">
        <f t="shared" si="32"/>
        <v>0.38587301587301587</v>
      </c>
      <c r="R31" s="103">
        <f>SUM(R26:R29)</f>
        <v>2600</v>
      </c>
      <c r="S31" s="104">
        <f t="shared" si="33"/>
        <v>0.39162524476577798</v>
      </c>
      <c r="T31" s="103">
        <f>SUM(T26:T29)</f>
        <v>2266</v>
      </c>
      <c r="U31" s="104">
        <f t="shared" si="34"/>
        <v>0.35317955112219451</v>
      </c>
      <c r="V31" s="103">
        <f>SUM(V26:V29)</f>
        <v>2071</v>
      </c>
      <c r="W31" s="104">
        <f t="shared" si="35"/>
        <v>0.36982142857142858</v>
      </c>
      <c r="X31" s="103">
        <f>SUM(X26:X29)</f>
        <v>1941</v>
      </c>
      <c r="Y31" s="104">
        <f t="shared" si="36"/>
        <v>0.3591783863804589</v>
      </c>
      <c r="Z31" s="98">
        <f>SUM(Z26:Z30)</f>
        <v>2100</v>
      </c>
      <c r="AA31" s="104">
        <f t="shared" si="37"/>
        <v>0.34494086727989487</v>
      </c>
      <c r="AB31" s="100">
        <v>1898</v>
      </c>
      <c r="AC31" s="106">
        <v>0.35096153846153844</v>
      </c>
      <c r="AD31" s="100">
        <v>1511</v>
      </c>
      <c r="AE31" s="106">
        <v>0.38447837150127229</v>
      </c>
      <c r="AF31" s="100">
        <v>1614</v>
      </c>
      <c r="AG31" s="107">
        <v>0.40119313944817303</v>
      </c>
      <c r="AH31" s="100">
        <v>1730</v>
      </c>
      <c r="AI31" s="107">
        <v>0.40956439393939392</v>
      </c>
    </row>
    <row r="32" spans="1:35" ht="12" customHeight="1" x14ac:dyDescent="0.2">
      <c r="A32" s="8" t="s">
        <v>1</v>
      </c>
      <c r="B32" s="8">
        <v>4903</v>
      </c>
      <c r="C32" s="10">
        <f t="shared" si="25"/>
        <v>1</v>
      </c>
      <c r="D32" s="8">
        <v>4324</v>
      </c>
      <c r="E32" s="40">
        <f t="shared" si="26"/>
        <v>1</v>
      </c>
      <c r="F32" s="8">
        <v>4674</v>
      </c>
      <c r="G32" s="40">
        <f t="shared" si="27"/>
        <v>1</v>
      </c>
      <c r="H32" s="8">
        <v>5414</v>
      </c>
      <c r="I32" s="40">
        <f t="shared" si="28"/>
        <v>1</v>
      </c>
      <c r="J32" s="8">
        <v>5244</v>
      </c>
      <c r="K32" s="40">
        <f t="shared" si="29"/>
        <v>1</v>
      </c>
      <c r="L32" s="9">
        <v>5449</v>
      </c>
      <c r="M32" s="10">
        <f t="shared" si="30"/>
        <v>1</v>
      </c>
      <c r="N32" s="9">
        <v>5852</v>
      </c>
      <c r="O32" s="44">
        <f t="shared" si="31"/>
        <v>1</v>
      </c>
      <c r="P32" s="9">
        <v>6300</v>
      </c>
      <c r="Q32" s="10">
        <f t="shared" si="32"/>
        <v>1</v>
      </c>
      <c r="R32" s="9">
        <v>6639</v>
      </c>
      <c r="S32" s="11">
        <f t="shared" si="33"/>
        <v>1</v>
      </c>
      <c r="T32" s="9">
        <v>6416</v>
      </c>
      <c r="U32" s="11">
        <f t="shared" si="34"/>
        <v>1</v>
      </c>
      <c r="V32" s="9">
        <v>5600</v>
      </c>
      <c r="W32" s="11">
        <f t="shared" si="35"/>
        <v>1</v>
      </c>
      <c r="X32" s="9">
        <v>5404</v>
      </c>
      <c r="Y32" s="11">
        <f t="shared" si="36"/>
        <v>1</v>
      </c>
      <c r="Z32" s="9">
        <v>6088</v>
      </c>
      <c r="AA32" s="11">
        <f t="shared" si="37"/>
        <v>1</v>
      </c>
      <c r="AB32" s="9">
        <v>5408</v>
      </c>
      <c r="AC32" s="11">
        <v>1</v>
      </c>
      <c r="AD32" s="9">
        <v>3930</v>
      </c>
      <c r="AE32" s="11">
        <v>1</v>
      </c>
      <c r="AF32" s="9">
        <v>4023</v>
      </c>
      <c r="AG32" s="10">
        <v>1</v>
      </c>
      <c r="AH32" s="9">
        <v>4224</v>
      </c>
      <c r="AI32" s="10">
        <f>AH32/4224</f>
        <v>1</v>
      </c>
    </row>
    <row r="33" spans="1:31" ht="12.75" customHeight="1" x14ac:dyDescent="0.2">
      <c r="A33" s="12" t="s">
        <v>55</v>
      </c>
      <c r="B33" s="45"/>
      <c r="C33" s="5"/>
      <c r="D33" s="45"/>
      <c r="E33" s="46"/>
      <c r="F33" s="45"/>
      <c r="G33" s="46"/>
      <c r="H33" s="45"/>
      <c r="I33" s="46"/>
      <c r="J33" s="45"/>
      <c r="K33" s="46"/>
      <c r="L33" s="6"/>
      <c r="M33" s="5"/>
      <c r="N33" s="6"/>
      <c r="O33" s="7"/>
      <c r="P33" s="6"/>
      <c r="Q33" s="5"/>
    </row>
    <row r="34" spans="1:31" ht="12.75" customHeight="1" x14ac:dyDescent="0.2"/>
    <row r="35" spans="1:31" ht="12.75" customHeight="1" x14ac:dyDescent="0.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13"/>
      <c r="AC35" s="13"/>
    </row>
    <row r="36" spans="1:31" x14ac:dyDescent="0.2">
      <c r="AD36" s="27"/>
      <c r="AE36" s="27"/>
    </row>
    <row r="37" spans="1:31" x14ac:dyDescent="0.2">
      <c r="AD37" s="27"/>
      <c r="AE37" s="27"/>
    </row>
    <row r="38" spans="1:31" x14ac:dyDescent="0.2">
      <c r="AD38" s="27"/>
      <c r="AE38" s="27"/>
    </row>
    <row r="39" spans="1:31" x14ac:dyDescent="0.2">
      <c r="AD39" s="27"/>
      <c r="AE39" s="27"/>
    </row>
    <row r="40" spans="1:31" x14ac:dyDescent="0.2">
      <c r="AD40" s="27"/>
      <c r="AE40" s="27"/>
    </row>
    <row r="42" spans="1:31" x14ac:dyDescent="0.2">
      <c r="AD42" s="27"/>
      <c r="AE42" s="27"/>
    </row>
    <row r="43" spans="1:31" x14ac:dyDescent="0.2">
      <c r="AD43" s="27"/>
      <c r="AE43" s="27"/>
    </row>
    <row r="44" spans="1:31" x14ac:dyDescent="0.2">
      <c r="AD44" s="27"/>
      <c r="AE44" s="27"/>
    </row>
    <row r="52" spans="1:3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13"/>
      <c r="AC52" s="13"/>
    </row>
    <row r="53" spans="1:3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13"/>
      <c r="AC53" s="13"/>
    </row>
    <row r="60" spans="1:31" x14ac:dyDescent="0.2">
      <c r="AE60" s="47"/>
    </row>
    <row r="67" spans="1:29" ht="22.5" customHeight="1" x14ac:dyDescent="0.3">
      <c r="V67" s="88"/>
      <c r="W67" s="88"/>
      <c r="X67" s="88"/>
      <c r="Y67" s="88"/>
      <c r="Z67" s="88"/>
      <c r="AA67" s="88"/>
      <c r="AB67" s="88"/>
    </row>
    <row r="68" spans="1:29" ht="9.75" customHeight="1" x14ac:dyDescent="0.2"/>
    <row r="69" spans="1:29" ht="9.75" customHeight="1" x14ac:dyDescent="0.2"/>
    <row r="70" spans="1:29" ht="19.5" customHeight="1" x14ac:dyDescent="0.3">
      <c r="AB70" s="21"/>
      <c r="AC70" s="21"/>
    </row>
    <row r="71" spans="1:29" x14ac:dyDescent="0.2">
      <c r="A71" s="2" t="s">
        <v>7</v>
      </c>
      <c r="M71" s="2" t="s">
        <v>7</v>
      </c>
    </row>
    <row r="73" spans="1:29" x14ac:dyDescent="0.2">
      <c r="M73" s="2" t="s">
        <v>7</v>
      </c>
    </row>
  </sheetData>
  <mergeCells count="23">
    <mergeCell ref="A5:AA5"/>
    <mergeCell ref="B7:C7"/>
    <mergeCell ref="D7:E7"/>
    <mergeCell ref="F7:G7"/>
    <mergeCell ref="H7:I7"/>
    <mergeCell ref="J7:K7"/>
    <mergeCell ref="L7:M7"/>
    <mergeCell ref="R7:S7"/>
    <mergeCell ref="AF7:AG7"/>
    <mergeCell ref="AD7:AE7"/>
    <mergeCell ref="AH7:AI7"/>
    <mergeCell ref="A9:AI9"/>
    <mergeCell ref="A25:AI25"/>
    <mergeCell ref="A35:AA35"/>
    <mergeCell ref="A52:AA52"/>
    <mergeCell ref="V67:AB67"/>
    <mergeCell ref="T7:U7"/>
    <mergeCell ref="V7:W7"/>
    <mergeCell ref="X7:Y7"/>
    <mergeCell ref="Z7:AA7"/>
    <mergeCell ref="AB7:AC7"/>
    <mergeCell ref="N7:O7"/>
    <mergeCell ref="P7:Q7"/>
  </mergeCells>
  <phoneticPr fontId="21" type="noConversion"/>
  <pageMargins left="0" right="0" top="0.19685039370078741" bottom="0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2012_2019</vt:lpstr>
      <vt:lpstr>1995_2011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2020-03-27T11:05:53Z</cp:lastPrinted>
  <dcterms:created xsi:type="dcterms:W3CDTF">1997-02-26T10:16:00Z</dcterms:created>
  <dcterms:modified xsi:type="dcterms:W3CDTF">2021-04-16T10:17:26Z</dcterms:modified>
</cp:coreProperties>
</file>