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IT\Aldis_L\CSN\CSNGTZ\TZ_2016_jauna koncepcija\TZ_majas_lapa\"/>
    </mc:Choice>
  </mc:AlternateContent>
  <bookViews>
    <workbookView xWindow="0" yWindow="0" windowWidth="28800" windowHeight="12135" tabRatio="608"/>
  </bookViews>
  <sheets>
    <sheet name="Dati" sheetId="1" r:id="rId1"/>
    <sheet name="Kopsavilkums" sheetId="2" r:id="rId2"/>
    <sheet name="Medic_TZ11" sheetId="3" r:id="rId3"/>
    <sheet name="Auto_TZ12" sheetId="4" r:id="rId4"/>
    <sheet name="Administr_TZ13" sheetId="5" r:id="rId5"/>
    <sheet name="Dzives_Kvalit_TZ14" sheetId="6" r:id="rId6"/>
    <sheet name="Citas_TZ15" sheetId="7" r:id="rId7"/>
    <sheet name="Netiesas_TZ2" sheetId="8" r:id="rId8"/>
  </sheets>
  <calcPr calcId="152511"/>
</workbook>
</file>

<file path=xl/calcChain.xml><?xml version="1.0" encoding="utf-8"?>
<calcChain xmlns="http://schemas.openxmlformats.org/spreadsheetml/2006/main">
  <c r="G7" i="1" l="1"/>
  <c r="F44" i="8" l="1"/>
  <c r="F43" i="8"/>
  <c r="F46" i="8" s="1"/>
  <c r="F47" i="8" s="1"/>
  <c r="F36" i="8"/>
  <c r="F35" i="8"/>
  <c r="F38" i="8" s="1"/>
  <c r="F39" i="8" s="1"/>
  <c r="F28" i="8"/>
  <c r="F27" i="8"/>
  <c r="F26" i="8"/>
  <c r="F25" i="8"/>
  <c r="F24" i="8"/>
  <c r="F23" i="8"/>
  <c r="F29" i="8" s="1"/>
  <c r="F19" i="8"/>
  <c r="F18" i="8"/>
  <c r="F17" i="8"/>
  <c r="F16" i="8"/>
  <c r="F15" i="8"/>
  <c r="F14" i="8"/>
  <c r="F20" i="8" s="1"/>
  <c r="F9" i="8"/>
  <c r="F5" i="8"/>
  <c r="F4" i="8"/>
  <c r="F3" i="8"/>
  <c r="F4" i="7"/>
  <c r="F3" i="7"/>
  <c r="F5" i="7" s="1"/>
  <c r="F62" i="6"/>
  <c r="F61" i="6"/>
  <c r="F63" i="6" s="1"/>
  <c r="F64" i="6" s="1"/>
  <c r="F54" i="6"/>
  <c r="F44" i="6"/>
  <c r="F50" i="6" s="1"/>
  <c r="F43" i="6"/>
  <c r="F42" i="6"/>
  <c r="F41" i="6"/>
  <c r="F40" i="6"/>
  <c r="F39" i="6"/>
  <c r="F45" i="6" s="1"/>
  <c r="F38" i="6"/>
  <c r="F31" i="6"/>
  <c r="F33" i="6" s="1"/>
  <c r="F34" i="6" s="1"/>
  <c r="F29" i="6"/>
  <c r="F20" i="6"/>
  <c r="F18" i="6" s="1"/>
  <c r="F16" i="6"/>
  <c r="F7" i="6"/>
  <c r="F5" i="6"/>
  <c r="F10" i="6" s="1"/>
  <c r="F12" i="6" s="1"/>
  <c r="F3" i="6"/>
  <c r="F42" i="5"/>
  <c r="F43" i="5" s="1"/>
  <c r="F44" i="5" s="1"/>
  <c r="F33" i="5"/>
  <c r="F23" i="5"/>
  <c r="F22" i="5" s="1"/>
  <c r="F14" i="5"/>
  <c r="F6" i="5"/>
  <c r="F3" i="5"/>
  <c r="F19" i="4"/>
  <c r="F18" i="4"/>
  <c r="F12" i="4"/>
  <c r="F3" i="4"/>
  <c r="F31" i="3"/>
  <c r="F24" i="3"/>
  <c r="F16" i="3"/>
  <c r="F14" i="3"/>
  <c r="F11" i="3"/>
  <c r="F5" i="3"/>
  <c r="F3" i="3" s="1"/>
  <c r="G31" i="1"/>
  <c r="F25" i="3" s="1"/>
  <c r="G32" i="1"/>
  <c r="F32" i="3" s="1"/>
  <c r="G33" i="1"/>
  <c r="F4" i="4" s="1"/>
  <c r="G34" i="1"/>
  <c r="F15" i="5" s="1"/>
  <c r="G35" i="1"/>
  <c r="F25" i="5" s="1"/>
  <c r="G36" i="1"/>
  <c r="F34" i="5" s="1"/>
  <c r="G37" i="1"/>
  <c r="F55" i="6" s="1"/>
  <c r="G38" i="1"/>
  <c r="F13" i="3" s="1"/>
  <c r="G30" i="1"/>
  <c r="F4" i="3" s="1"/>
  <c r="G2" i="1"/>
  <c r="F27" i="5" l="1"/>
  <c r="F29" i="5" s="1"/>
  <c r="F17" i="5"/>
  <c r="F18" i="5" s="1"/>
  <c r="F56" i="6"/>
  <c r="F57" i="6" s="1"/>
  <c r="F7" i="5"/>
  <c r="F6" i="3"/>
  <c r="F26" i="3"/>
  <c r="F27" i="3" s="1"/>
  <c r="F5" i="4"/>
  <c r="F6" i="4" s="1"/>
  <c r="F37" i="5"/>
  <c r="F38" i="5" s="1"/>
  <c r="F33" i="3"/>
  <c r="F34" i="3" s="1"/>
  <c r="F20" i="4"/>
  <c r="F21" i="4" s="1"/>
  <c r="F46" i="6"/>
  <c r="F5" i="5"/>
  <c r="F4" i="5" s="1"/>
  <c r="F8" i="5" s="1"/>
  <c r="F21" i="2"/>
  <c r="F30" i="8"/>
  <c r="F6" i="7"/>
  <c r="F7" i="2"/>
  <c r="F23" i="6"/>
  <c r="F47" i="6"/>
  <c r="F10" i="4"/>
  <c r="F13" i="4" s="1"/>
  <c r="F14" i="4" s="1"/>
  <c r="F7" i="3"/>
  <c r="F12" i="3"/>
  <c r="F18" i="3" s="1"/>
  <c r="E19" i="8"/>
  <c r="E27" i="8"/>
  <c r="E18" i="8"/>
  <c r="F23" i="2" l="1"/>
  <c r="F4" i="2"/>
  <c r="F48" i="6"/>
  <c r="F49" i="6" s="1"/>
  <c r="F31" i="8"/>
  <c r="F8" i="2"/>
  <c r="F25" i="6"/>
  <c r="F6" i="2"/>
  <c r="F10" i="5"/>
  <c r="F20" i="2" s="1"/>
  <c r="F5" i="2"/>
  <c r="F20" i="3"/>
  <c r="F3" i="2"/>
  <c r="E3" i="8"/>
  <c r="E4" i="8"/>
  <c r="E5" i="8"/>
  <c r="E9" i="8"/>
  <c r="E14" i="8"/>
  <c r="E15" i="8"/>
  <c r="E16" i="8"/>
  <c r="E17" i="8"/>
  <c r="E23" i="8"/>
  <c r="E24" i="8"/>
  <c r="E25" i="8"/>
  <c r="E26" i="8"/>
  <c r="E28" i="8"/>
  <c r="E35" i="8"/>
  <c r="E38" i="8" s="1"/>
  <c r="E39" i="8" s="1"/>
  <c r="E36" i="8"/>
  <c r="E43" i="8"/>
  <c r="E44" i="8"/>
  <c r="E46" i="8" s="1"/>
  <c r="E47" i="8" s="1"/>
  <c r="E3" i="7"/>
  <c r="E5" i="7" s="1"/>
  <c r="E4" i="7"/>
  <c r="E3" i="6"/>
  <c r="E7" i="6"/>
  <c r="E5" i="6" s="1"/>
  <c r="E16" i="6"/>
  <c r="E20" i="6"/>
  <c r="E18" i="6" s="1"/>
  <c r="E29" i="6"/>
  <c r="E33" i="6" s="1"/>
  <c r="E34" i="6" s="1"/>
  <c r="E31" i="6"/>
  <c r="E38" i="6"/>
  <c r="E39" i="6"/>
  <c r="E40" i="6"/>
  <c r="E41" i="6"/>
  <c r="E42" i="6"/>
  <c r="E43" i="6"/>
  <c r="E44" i="6"/>
  <c r="E46" i="6" s="1"/>
  <c r="E54" i="6"/>
  <c r="E61" i="6"/>
  <c r="E62" i="6"/>
  <c r="E3" i="5"/>
  <c r="E6" i="5"/>
  <c r="E14" i="5"/>
  <c r="E23" i="5"/>
  <c r="E22" i="5" s="1"/>
  <c r="E33" i="5"/>
  <c r="E42" i="5"/>
  <c r="E43" i="5" s="1"/>
  <c r="E44" i="5" s="1"/>
  <c r="E3" i="4"/>
  <c r="E12" i="4"/>
  <c r="E18" i="4"/>
  <c r="E20" i="4" s="1"/>
  <c r="E21" i="4" s="1"/>
  <c r="E19" i="4"/>
  <c r="E5" i="3"/>
  <c r="E3" i="3" s="1"/>
  <c r="E11" i="3"/>
  <c r="E14" i="3"/>
  <c r="E16" i="3"/>
  <c r="E24" i="3"/>
  <c r="E31" i="3"/>
  <c r="F7" i="1"/>
  <c r="F38" i="1"/>
  <c r="E13" i="3" s="1"/>
  <c r="F37" i="1"/>
  <c r="E55" i="6" s="1"/>
  <c r="F36" i="1"/>
  <c r="E34" i="5" s="1"/>
  <c r="E37" i="5" s="1"/>
  <c r="E38" i="5" s="1"/>
  <c r="F35" i="1"/>
  <c r="E25" i="5" s="1"/>
  <c r="F34" i="1"/>
  <c r="E7" i="5" s="1"/>
  <c r="F33" i="1"/>
  <c r="E4" i="4" s="1"/>
  <c r="F32" i="1"/>
  <c r="E32" i="3" s="1"/>
  <c r="E33" i="3" s="1"/>
  <c r="E34" i="3" s="1"/>
  <c r="F31" i="1"/>
  <c r="E25" i="3" s="1"/>
  <c r="E26" i="3" s="1"/>
  <c r="E27" i="3" s="1"/>
  <c r="F30" i="1"/>
  <c r="E4" i="3" s="1"/>
  <c r="F22" i="2" l="1"/>
  <c r="E20" i="8"/>
  <c r="F24" i="2"/>
  <c r="F9" i="2"/>
  <c r="E5" i="5"/>
  <c r="E10" i="6"/>
  <c r="E12" i="6" s="1"/>
  <c r="N11" i="8"/>
  <c r="E29" i="8"/>
  <c r="E30" i="8" s="1"/>
  <c r="E8" i="2" s="1"/>
  <c r="E12" i="3"/>
  <c r="N14" i="8"/>
  <c r="E4" i="5"/>
  <c r="E8" i="5" s="1"/>
  <c r="E15" i="5"/>
  <c r="E17" i="5" s="1"/>
  <c r="E18" i="5" s="1"/>
  <c r="E21" i="2" s="1"/>
  <c r="E56" i="6"/>
  <c r="E57" i="6" s="1"/>
  <c r="E27" i="5"/>
  <c r="E29" i="5" s="1"/>
  <c r="E50" i="6"/>
  <c r="E63" i="6"/>
  <c r="E64" i="6" s="1"/>
  <c r="E47" i="6"/>
  <c r="E45" i="6"/>
  <c r="E48" i="6" s="1"/>
  <c r="E49" i="6" s="1"/>
  <c r="E6" i="3"/>
  <c r="E5" i="4"/>
  <c r="E6" i="4" s="1"/>
  <c r="E18" i="3"/>
  <c r="E20" i="3" s="1"/>
  <c r="N15" i="8"/>
  <c r="N12" i="8"/>
  <c r="N13" i="8"/>
  <c r="N17" i="8"/>
  <c r="N16" i="8"/>
  <c r="N10" i="8"/>
  <c r="E6" i="7"/>
  <c r="E7" i="2"/>
  <c r="E23" i="6"/>
  <c r="E10" i="5"/>
  <c r="E10" i="4"/>
  <c r="E13" i="4" s="1"/>
  <c r="E14" i="4" s="1"/>
  <c r="E7" i="3"/>
  <c r="E3" i="2"/>
  <c r="D9" i="8"/>
  <c r="C9" i="8"/>
  <c r="E31" i="8" l="1"/>
  <c r="E4" i="2"/>
  <c r="E23" i="2"/>
  <c r="E5" i="2"/>
  <c r="E6" i="2"/>
  <c r="E25" i="6"/>
  <c r="E20" i="2"/>
  <c r="D7" i="1"/>
  <c r="E7" i="1"/>
  <c r="C7" i="1"/>
  <c r="E22" i="2" l="1"/>
  <c r="E9" i="2"/>
  <c r="E24" i="2"/>
  <c r="C3" i="8"/>
  <c r="C5" i="8"/>
  <c r="C4" i="8"/>
  <c r="L10" i="8"/>
  <c r="B9" i="8"/>
  <c r="C43" i="8"/>
  <c r="D43" i="8"/>
  <c r="C44" i="8"/>
  <c r="D44" i="8"/>
  <c r="C35" i="8"/>
  <c r="D35" i="8"/>
  <c r="C36" i="8"/>
  <c r="D36" i="8"/>
  <c r="C23" i="8"/>
  <c r="D23" i="8"/>
  <c r="C24" i="8"/>
  <c r="D24" i="8"/>
  <c r="C25" i="8"/>
  <c r="D25" i="8"/>
  <c r="C26" i="8"/>
  <c r="D26" i="8"/>
  <c r="C27" i="8"/>
  <c r="D27" i="8"/>
  <c r="C28" i="8"/>
  <c r="D28" i="8"/>
  <c r="C14" i="8"/>
  <c r="D14" i="8"/>
  <c r="C15" i="8"/>
  <c r="D15" i="8"/>
  <c r="C16" i="8"/>
  <c r="D16" i="8"/>
  <c r="C17" i="8"/>
  <c r="D17" i="8"/>
  <c r="C18" i="8"/>
  <c r="D18" i="8"/>
  <c r="C19" i="8"/>
  <c r="D19" i="8"/>
  <c r="D3" i="8"/>
  <c r="D4" i="8"/>
  <c r="D5" i="8"/>
  <c r="C3" i="7"/>
  <c r="D3" i="7"/>
  <c r="C4" i="7"/>
  <c r="D4" i="7"/>
  <c r="C61" i="6"/>
  <c r="D61" i="6"/>
  <c r="C62" i="6"/>
  <c r="D62" i="6"/>
  <c r="C54" i="6"/>
  <c r="D54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C45" i="6" s="1"/>
  <c r="D44" i="6"/>
  <c r="C29" i="6"/>
  <c r="D29" i="6"/>
  <c r="C31" i="6"/>
  <c r="D31" i="6"/>
  <c r="C16" i="6"/>
  <c r="D16" i="6"/>
  <c r="C20" i="6"/>
  <c r="C18" i="6" s="1"/>
  <c r="D20" i="6"/>
  <c r="D18" i="6" s="1"/>
  <c r="C3" i="6"/>
  <c r="D3" i="6"/>
  <c r="C7" i="6"/>
  <c r="C5" i="6" s="1"/>
  <c r="D7" i="6"/>
  <c r="D5" i="6" s="1"/>
  <c r="C42" i="5"/>
  <c r="C43" i="5" s="1"/>
  <c r="C44" i="5" s="1"/>
  <c r="D42" i="5"/>
  <c r="D43" i="5" s="1"/>
  <c r="D44" i="5" s="1"/>
  <c r="C33" i="5"/>
  <c r="D33" i="5"/>
  <c r="C23" i="5"/>
  <c r="C22" i="5" s="1"/>
  <c r="D23" i="5"/>
  <c r="D22" i="5" s="1"/>
  <c r="C14" i="5"/>
  <c r="D14" i="5"/>
  <c r="C3" i="5"/>
  <c r="D3" i="5"/>
  <c r="C6" i="5"/>
  <c r="D6" i="5"/>
  <c r="C18" i="4"/>
  <c r="D18" i="4"/>
  <c r="C19" i="4"/>
  <c r="D19" i="4"/>
  <c r="C12" i="4"/>
  <c r="D12" i="4"/>
  <c r="C31" i="3"/>
  <c r="D31" i="3"/>
  <c r="C24" i="3"/>
  <c r="D24" i="3"/>
  <c r="C11" i="3"/>
  <c r="D11" i="3"/>
  <c r="C14" i="3"/>
  <c r="D14" i="3"/>
  <c r="C16" i="3"/>
  <c r="D16" i="3"/>
  <c r="C5" i="3"/>
  <c r="C3" i="3" s="1"/>
  <c r="D5" i="3"/>
  <c r="D3" i="3" s="1"/>
  <c r="E38" i="1"/>
  <c r="D13" i="3" s="1"/>
  <c r="E37" i="1"/>
  <c r="D55" i="6" s="1"/>
  <c r="E36" i="1"/>
  <c r="D34" i="5" s="1"/>
  <c r="E35" i="1"/>
  <c r="D25" i="5" s="1"/>
  <c r="E34" i="1"/>
  <c r="D7" i="5" s="1"/>
  <c r="E33" i="1"/>
  <c r="D4" i="4" s="1"/>
  <c r="E32" i="1"/>
  <c r="D32" i="3" s="1"/>
  <c r="E31" i="1"/>
  <c r="D25" i="3" s="1"/>
  <c r="D26" i="3" s="1"/>
  <c r="D27" i="3" s="1"/>
  <c r="E30" i="1"/>
  <c r="D4" i="3" s="1"/>
  <c r="E11" i="1"/>
  <c r="D3" i="4" s="1"/>
  <c r="D10" i="4" s="1"/>
  <c r="D38" i="1"/>
  <c r="C13" i="3" s="1"/>
  <c r="D37" i="1"/>
  <c r="C55" i="6" s="1"/>
  <c r="D36" i="1"/>
  <c r="C34" i="5" s="1"/>
  <c r="C37" i="5" s="1"/>
  <c r="C38" i="5" s="1"/>
  <c r="D35" i="1"/>
  <c r="C25" i="5" s="1"/>
  <c r="D34" i="1"/>
  <c r="C7" i="5" s="1"/>
  <c r="D33" i="1"/>
  <c r="C4" i="4" s="1"/>
  <c r="D32" i="1"/>
  <c r="C32" i="3" s="1"/>
  <c r="D31" i="1"/>
  <c r="C25" i="3" s="1"/>
  <c r="D30" i="1"/>
  <c r="C4" i="3" s="1"/>
  <c r="D11" i="1"/>
  <c r="C3" i="4" s="1"/>
  <c r="C10" i="4" s="1"/>
  <c r="C63" i="6" l="1"/>
  <c r="C64" i="6" s="1"/>
  <c r="C5" i="7"/>
  <c r="C6" i="7" s="1"/>
  <c r="D5" i="5"/>
  <c r="D10" i="6"/>
  <c r="C50" i="6"/>
  <c r="D20" i="4"/>
  <c r="D21" i="4" s="1"/>
  <c r="D37" i="5"/>
  <c r="D38" i="5" s="1"/>
  <c r="C12" i="3"/>
  <c r="C18" i="3" s="1"/>
  <c r="C20" i="3" s="1"/>
  <c r="C20" i="4"/>
  <c r="C21" i="4" s="1"/>
  <c r="C23" i="6"/>
  <c r="C25" i="6" s="1"/>
  <c r="C33" i="6"/>
  <c r="C34" i="6" s="1"/>
  <c r="D46" i="6"/>
  <c r="D63" i="6"/>
  <c r="D64" i="6" s="1"/>
  <c r="D5" i="7"/>
  <c r="D6" i="7" s="1"/>
  <c r="D29" i="8"/>
  <c r="D45" i="6"/>
  <c r="D50" i="6"/>
  <c r="C47" i="6"/>
  <c r="C20" i="8"/>
  <c r="C38" i="8"/>
  <c r="C39" i="8" s="1"/>
  <c r="C46" i="8"/>
  <c r="C47" i="8" s="1"/>
  <c r="C7" i="2"/>
  <c r="D12" i="3"/>
  <c r="D18" i="3" s="1"/>
  <c r="D20" i="3" s="1"/>
  <c r="C46" i="6"/>
  <c r="D23" i="6"/>
  <c r="D25" i="6" s="1"/>
  <c r="D33" i="6"/>
  <c r="D34" i="6" s="1"/>
  <c r="D46" i="8"/>
  <c r="D47" i="8" s="1"/>
  <c r="D20" i="8"/>
  <c r="C56" i="6"/>
  <c r="C57" i="6" s="1"/>
  <c r="C29" i="8"/>
  <c r="C10" i="6"/>
  <c r="C12" i="6" s="1"/>
  <c r="C5" i="5"/>
  <c r="D5" i="4"/>
  <c r="D13" i="4"/>
  <c r="D14" i="4" s="1"/>
  <c r="C13" i="4"/>
  <c r="C14" i="4" s="1"/>
  <c r="C5" i="4"/>
  <c r="C6" i="4" s="1"/>
  <c r="D15" i="5"/>
  <c r="D17" i="5" s="1"/>
  <c r="D18" i="5" s="1"/>
  <c r="D33" i="3"/>
  <c r="D34" i="3" s="1"/>
  <c r="D6" i="3"/>
  <c r="D7" i="3" s="1"/>
  <c r="D4" i="5"/>
  <c r="D8" i="5" s="1"/>
  <c r="D27" i="5"/>
  <c r="D29" i="5" s="1"/>
  <c r="D56" i="6"/>
  <c r="D57" i="6" s="1"/>
  <c r="C15" i="5"/>
  <c r="C17" i="5" s="1"/>
  <c r="C18" i="5" s="1"/>
  <c r="C4" i="5"/>
  <c r="C8" i="5" s="1"/>
  <c r="C10" i="5" s="1"/>
  <c r="C27" i="5"/>
  <c r="C29" i="5" s="1"/>
  <c r="C33" i="3"/>
  <c r="C34" i="3" s="1"/>
  <c r="C6" i="3"/>
  <c r="C7" i="3" s="1"/>
  <c r="C26" i="3"/>
  <c r="C27" i="3" s="1"/>
  <c r="D38" i="8"/>
  <c r="D39" i="8" s="1"/>
  <c r="D47" i="6"/>
  <c r="D12" i="6"/>
  <c r="B36" i="8"/>
  <c r="D7" i="2" l="1"/>
  <c r="C48" i="6"/>
  <c r="C49" i="6" s="1"/>
  <c r="D48" i="6"/>
  <c r="D4" i="2"/>
  <c r="D30" i="8"/>
  <c r="D8" i="2" s="1"/>
  <c r="D6" i="4"/>
  <c r="C30" i="8"/>
  <c r="C8" i="2" s="1"/>
  <c r="C6" i="2"/>
  <c r="C4" i="2"/>
  <c r="D21" i="2"/>
  <c r="D23" i="2"/>
  <c r="C5" i="2"/>
  <c r="C3" i="2"/>
  <c r="C21" i="2"/>
  <c r="C23" i="2"/>
  <c r="C20" i="2"/>
  <c r="D49" i="6"/>
  <c r="D6" i="2"/>
  <c r="D10" i="5"/>
  <c r="D5" i="2"/>
  <c r="D3" i="2"/>
  <c r="B43" i="8"/>
  <c r="B44" i="8"/>
  <c r="D31" i="8" l="1"/>
  <c r="D22" i="2" s="1"/>
  <c r="C31" i="8"/>
  <c r="C22" i="2" s="1"/>
  <c r="D20" i="2"/>
  <c r="C24" i="2"/>
  <c r="D24" i="2"/>
  <c r="C9" i="2"/>
  <c r="D9" i="2"/>
  <c r="B46" i="8"/>
  <c r="C38" i="1"/>
  <c r="B13" i="3" s="1"/>
  <c r="B47" i="8" l="1"/>
  <c r="C37" i="1"/>
  <c r="C36" i="1"/>
  <c r="C34" i="1"/>
  <c r="C33" i="1"/>
  <c r="C32" i="1"/>
  <c r="C31" i="1"/>
  <c r="C30" i="1"/>
  <c r="C35" i="1"/>
  <c r="B5" i="3"/>
  <c r="D2" i="1"/>
  <c r="E2" i="1" s="1"/>
  <c r="B55" i="6" l="1"/>
  <c r="B34" i="5"/>
  <c r="B25" i="5"/>
  <c r="B15" i="5"/>
  <c r="B7" i="5"/>
  <c r="B4" i="4"/>
  <c r="B32" i="3"/>
  <c r="B25" i="3"/>
  <c r="B4" i="3"/>
  <c r="B35" i="8" l="1"/>
  <c r="B23" i="8"/>
  <c r="B14" i="8"/>
  <c r="B3" i="8"/>
  <c r="B38" i="8" l="1"/>
  <c r="B28" i="8"/>
  <c r="B27" i="8"/>
  <c r="B26" i="8"/>
  <c r="B25" i="8"/>
  <c r="B24" i="8"/>
  <c r="B19" i="8"/>
  <c r="B18" i="8"/>
  <c r="B17" i="8"/>
  <c r="B16" i="8"/>
  <c r="B15" i="8"/>
  <c r="B5" i="8"/>
  <c r="B4" i="8"/>
  <c r="K16" i="8"/>
  <c r="L16" i="8" s="1"/>
  <c r="K15" i="8"/>
  <c r="L15" i="8" s="1"/>
  <c r="K14" i="8"/>
  <c r="L14" i="8" s="1"/>
  <c r="K13" i="8"/>
  <c r="L13" i="8" s="1"/>
  <c r="K12" i="8"/>
  <c r="L12" i="8" s="1"/>
  <c r="K11" i="8"/>
  <c r="L11" i="8" s="1"/>
  <c r="B62" i="6"/>
  <c r="B61" i="6"/>
  <c r="B4" i="7"/>
  <c r="B3" i="7"/>
  <c r="B54" i="6"/>
  <c r="B56" i="6" s="1"/>
  <c r="B57" i="6" s="1"/>
  <c r="B44" i="6"/>
  <c r="B50" i="6" s="1"/>
  <c r="B43" i="6"/>
  <c r="B42" i="6"/>
  <c r="B41" i="6"/>
  <c r="B40" i="6"/>
  <c r="B39" i="6"/>
  <c r="B38" i="6"/>
  <c r="B31" i="6"/>
  <c r="B29" i="6"/>
  <c r="B20" i="6"/>
  <c r="B18" i="6" s="1"/>
  <c r="B16" i="6"/>
  <c r="B7" i="6"/>
  <c r="B5" i="6" s="1"/>
  <c r="B3" i="6"/>
  <c r="B42" i="5"/>
  <c r="B43" i="5" s="1"/>
  <c r="B33" i="5"/>
  <c r="B37" i="5" s="1"/>
  <c r="B38" i="5" s="1"/>
  <c r="B23" i="5"/>
  <c r="B22" i="5" s="1"/>
  <c r="B27" i="5" s="1"/>
  <c r="B29" i="5" s="1"/>
  <c r="B14" i="5"/>
  <c r="B39" i="8" l="1"/>
  <c r="B63" i="6"/>
  <c r="B64" i="6" s="1"/>
  <c r="B47" i="6"/>
  <c r="B46" i="6"/>
  <c r="B5" i="7"/>
  <c r="B7" i="2" s="1"/>
  <c r="B20" i="8"/>
  <c r="B45" i="6"/>
  <c r="B29" i="8"/>
  <c r="B33" i="6"/>
  <c r="B34" i="6" s="1"/>
  <c r="B23" i="6"/>
  <c r="B25" i="6" s="1"/>
  <c r="B10" i="6"/>
  <c r="B17" i="5"/>
  <c r="B18" i="5" s="1"/>
  <c r="B6" i="5"/>
  <c r="B3" i="5"/>
  <c r="B44" i="5"/>
  <c r="B19" i="4"/>
  <c r="B18" i="4"/>
  <c r="B12" i="4"/>
  <c r="C11" i="1"/>
  <c r="B3" i="4" s="1"/>
  <c r="B5" i="4" s="1"/>
  <c r="B31" i="3"/>
  <c r="B33" i="3" s="1"/>
  <c r="B34" i="3" s="1"/>
  <c r="B24" i="3"/>
  <c r="B26" i="3" s="1"/>
  <c r="B16" i="3"/>
  <c r="B14" i="3"/>
  <c r="B11" i="3"/>
  <c r="B3" i="3"/>
  <c r="B6" i="3" s="1"/>
  <c r="B30" i="8" l="1"/>
  <c r="B8" i="2" s="1"/>
  <c r="B48" i="6"/>
  <c r="B49" i="6" s="1"/>
  <c r="B6" i="7"/>
  <c r="B27" i="3"/>
  <c r="B21" i="2" s="1"/>
  <c r="B6" i="4"/>
  <c r="B7" i="3"/>
  <c r="N18" i="8"/>
  <c r="B12" i="6"/>
  <c r="B5" i="5"/>
  <c r="B4" i="5" s="1"/>
  <c r="B8" i="5" s="1"/>
  <c r="B20" i="4"/>
  <c r="B21" i="4" s="1"/>
  <c r="B10" i="4"/>
  <c r="B13" i="4" s="1"/>
  <c r="B14" i="4" s="1"/>
  <c r="B12" i="3"/>
  <c r="B18" i="3" s="1"/>
  <c r="B20" i="3" s="1"/>
  <c r="B23" i="2" l="1"/>
  <c r="B31" i="8"/>
  <c r="B22" i="2" s="1"/>
  <c r="B6" i="2"/>
  <c r="B3" i="2"/>
  <c r="B10" i="5"/>
  <c r="B5" i="2"/>
  <c r="B4" i="2"/>
  <c r="B20" i="2" l="1"/>
  <c r="B24" i="2"/>
  <c r="B9" i="2"/>
</calcChain>
</file>

<file path=xl/sharedStrings.xml><?xml version="1.0" encoding="utf-8"?>
<sst xmlns="http://schemas.openxmlformats.org/spreadsheetml/2006/main" count="322" uniqueCount="225">
  <si>
    <t>Kopējais CSNg skaits</t>
  </si>
  <si>
    <t>VP reģistrēto CSNg skaits</t>
  </si>
  <si>
    <t>CSNg cietušo skaits</t>
  </si>
  <si>
    <t>CSNg viegli ievainoto skaits</t>
  </si>
  <si>
    <t>CSNg smagi cietušo skaits</t>
  </si>
  <si>
    <t>CSNg  bojā gājušo skaits</t>
  </si>
  <si>
    <t>Vidējā alga valstī</t>
  </si>
  <si>
    <t>Mantas bojājumu, bojāejas vidējā atlīdzība</t>
  </si>
  <si>
    <t>Kaitējums videi kopējā atlīdzība</t>
  </si>
  <si>
    <t>Protezēšanas izdevumu vidējā atlīdzība</t>
  </si>
  <si>
    <t>Rehabilitācijas izdevumu vidējā atlīdzība</t>
  </si>
  <si>
    <t>Ceļa, ceļa būvju, ēku bojājumi, bojāeja, kopā</t>
  </si>
  <si>
    <t>Makroekonomiskie rādītāji</t>
  </si>
  <si>
    <t>IKP uz 1 iedzīvotāju pieaugums</t>
  </si>
  <si>
    <t>Diskonta likme</t>
  </si>
  <si>
    <r>
      <t>Izmaksas, kas saistītas ar letāli ievainoto ārstēšanu stacionārā (TZ11</t>
    </r>
    <r>
      <rPr>
        <b/>
        <vertAlign val="subscript"/>
        <sz val="12"/>
        <color theme="5"/>
        <rFont val="Calibri"/>
        <family val="2"/>
        <charset val="186"/>
        <scheme val="minor"/>
      </rPr>
      <t>1</t>
    </r>
    <r>
      <rPr>
        <b/>
        <sz val="12"/>
        <color theme="5"/>
        <rFont val="Calibri"/>
        <family val="2"/>
        <charset val="186"/>
        <scheme val="minor"/>
      </rPr>
      <t>)</t>
    </r>
  </si>
  <si>
    <t>P - pacientu skaits, kuri pirms nāves ārstējušies stac.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</si>
  <si>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</t>
    </r>
    <r>
      <rPr>
        <sz val="11"/>
        <color theme="1"/>
        <rFont val="Calibri"/>
        <family val="2"/>
        <charset val="186"/>
        <scheme val="minor"/>
      </rPr>
      <t xml:space="preserve"> – viena pacienta vidējās ārstēšanas izmaksas stacionārā</t>
    </r>
  </si>
  <si>
    <r>
      <t>D</t>
    </r>
    <r>
      <rPr>
        <vertAlign val="subscript"/>
        <sz val="11"/>
        <color theme="1"/>
        <rFont val="Calibri"/>
        <family val="2"/>
        <charset val="186"/>
        <scheme val="minor"/>
      </rPr>
      <t>b</t>
    </r>
    <r>
      <rPr>
        <sz val="11"/>
        <color theme="1"/>
        <rFont val="Calibri"/>
        <family val="2"/>
        <charset val="186"/>
        <scheme val="minor"/>
      </rPr>
      <t xml:space="preserve"> – bojā gājušo skaits</t>
    </r>
  </si>
  <si>
    <r>
      <t>Izmaksas, kas saistītas ar smagi ievainoto ārstēšanu (TZ11</t>
    </r>
    <r>
      <rPr>
        <b/>
        <vertAlign val="subscript"/>
        <sz val="12"/>
        <color theme="5"/>
        <rFont val="Calibri"/>
        <family val="2"/>
        <charset val="186"/>
        <scheme val="minor"/>
      </rPr>
      <t>2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</si>
  <si>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sm</t>
    </r>
    <r>
      <rPr>
        <sz val="11"/>
        <color theme="1"/>
        <rFont val="Calibri"/>
        <family val="2"/>
        <charset val="186"/>
        <scheme val="minor"/>
      </rPr>
      <t xml:space="preserve"> – CSNg rezultātā smagi cietušo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</si>
  <si>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rp</t>
    </r>
    <r>
      <rPr>
        <sz val="11"/>
        <color theme="1"/>
        <rFont val="Calibri"/>
        <family val="2"/>
        <charset val="186"/>
        <scheme val="minor"/>
      </rPr>
      <t xml:space="preserve"> – CSNg smagi cietušo rehabilitācijas un protezēšanas izmaksas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</si>
  <si>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ārst</t>
    </r>
    <r>
      <rPr>
        <sz val="11"/>
        <color theme="1"/>
        <rFont val="Calibri"/>
        <family val="2"/>
        <charset val="186"/>
        <scheme val="minor"/>
      </rPr>
      <t xml:space="preserve"> – vidējās ārstēšanās izmaksas uz vienu cietušo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</si>
  <si>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reh</t>
    </r>
    <r>
      <rPr>
        <sz val="11"/>
        <color theme="1"/>
        <rFont val="Calibri"/>
        <family val="2"/>
        <charset val="186"/>
        <scheme val="minor"/>
      </rPr>
      <t xml:space="preserve"> – LTAB vidējā vienas atlīdzības summa par rehabilitācijas izdevumiem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</si>
  <si>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reh</t>
    </r>
    <r>
      <rPr>
        <sz val="11"/>
        <color theme="1"/>
        <rFont val="Calibri"/>
        <family val="2"/>
        <charset val="186"/>
        <scheme val="minor"/>
      </rPr>
      <t xml:space="preserve"> – smagi cietušo rehabilitācijas nepieciešamības koeficients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</si>
  <si>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pr</t>
    </r>
    <r>
      <rPr>
        <sz val="11"/>
        <color theme="1"/>
        <rFont val="Calibri"/>
        <family val="2"/>
        <charset val="186"/>
        <scheme val="minor"/>
      </rPr>
      <t xml:space="preserve"> – LTAB vidējā vienas atlīdzības summa par protezēšanas izdevumiem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</si>
  <si>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pr</t>
    </r>
    <r>
      <rPr>
        <sz val="11"/>
        <color theme="1"/>
        <rFont val="Calibri"/>
        <family val="2"/>
        <charset val="186"/>
        <scheme val="minor"/>
      </rPr>
      <t xml:space="preserve"> – smagi cietušo protezēšanas nepieciešamības koeficients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</si>
  <si>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rp</t>
    </r>
    <r>
      <rPr>
        <sz val="11"/>
        <color theme="1"/>
        <rFont val="Calibri"/>
        <family val="2"/>
        <charset val="186"/>
        <scheme val="minor"/>
      </rPr>
      <t>=P</t>
    </r>
    <r>
      <rPr>
        <vertAlign val="subscript"/>
        <sz val="11"/>
        <color theme="1"/>
        <rFont val="Calibri"/>
        <family val="2"/>
        <charset val="186"/>
        <scheme val="minor"/>
      </rPr>
      <t>sm</t>
    </r>
    <r>
      <rPr>
        <sz val="11"/>
        <color theme="1"/>
        <rFont val="Calibri"/>
        <family val="2"/>
        <charset val="186"/>
        <scheme val="minor"/>
      </rPr>
      <t>*i</t>
    </r>
    <r>
      <rPr>
        <vertAlign val="subscript"/>
        <sz val="11"/>
        <color theme="1"/>
        <rFont val="Calibri"/>
        <family val="2"/>
        <charset val="186"/>
        <scheme val="minor"/>
      </rPr>
      <t>reh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reh</t>
    </r>
    <r>
      <rPr>
        <sz val="11"/>
        <color theme="1"/>
        <rFont val="Calibri"/>
        <family val="2"/>
        <charset val="186"/>
        <scheme val="minor"/>
      </rPr>
      <t xml:space="preserve"> + P</t>
    </r>
    <r>
      <rPr>
        <vertAlign val="subscript"/>
        <sz val="11"/>
        <color theme="1"/>
        <rFont val="Calibri"/>
        <family val="2"/>
        <charset val="186"/>
        <scheme val="minor"/>
      </rPr>
      <t>sm</t>
    </r>
    <r>
      <rPr>
        <sz val="11"/>
        <color theme="1"/>
        <rFont val="Calibri"/>
        <family val="2"/>
        <charset val="186"/>
        <scheme val="minor"/>
      </rPr>
      <t>*i</t>
    </r>
    <r>
      <rPr>
        <vertAlign val="subscript"/>
        <sz val="11"/>
        <color theme="1"/>
        <rFont val="Calibri"/>
        <family val="2"/>
        <charset val="186"/>
        <scheme val="minor"/>
      </rPr>
      <t>pr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pr</t>
    </r>
    <r>
      <rPr>
        <sz val="11"/>
        <color theme="1"/>
        <rFont val="Calibri"/>
        <family val="2"/>
        <charset val="186"/>
        <scheme val="minor"/>
      </rPr>
      <t xml:space="preserve"> </t>
    </r>
  </si>
  <si>
    <r>
      <t>TZ11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=P*i</t>
    </r>
    <r>
      <rPr>
        <b/>
        <vertAlign val="subscript"/>
        <sz val="11"/>
        <color theme="1"/>
        <rFont val="Calibri"/>
        <family val="2"/>
        <charset val="186"/>
        <scheme val="minor"/>
      </rPr>
      <t>st</t>
    </r>
    <r>
      <rPr>
        <b/>
        <sz val="11"/>
        <color theme="1"/>
        <rFont val="Calibri"/>
        <family val="2"/>
        <charset val="186"/>
        <scheme val="minor"/>
      </rPr>
      <t xml:space="preserve"> , kur P=Db*0,091 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</si>
  <si>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v</t>
    </r>
    <r>
      <rPr>
        <sz val="11"/>
        <color theme="1"/>
        <rFont val="Calibri"/>
        <family val="2"/>
        <charset val="186"/>
        <scheme val="minor"/>
      </rPr>
      <t xml:space="preserve"> – CSNg viegli ievainoto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</si>
  <si>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a</t>
    </r>
    <r>
      <rPr>
        <sz val="11"/>
        <color theme="1"/>
        <rFont val="Calibri"/>
        <family val="2"/>
        <charset val="186"/>
        <scheme val="minor"/>
      </rPr>
      <t xml:space="preserve"> – viena ambulatorās ārstēšanas apmeklējuma vidējās izmaksas</t>
    </r>
  </si>
  <si>
    <r>
      <t>Neatliekamās medicīniskās palīdzības pakalpojumu izmaksas (TZ11</t>
    </r>
    <r>
      <rPr>
        <b/>
        <vertAlign val="subscript"/>
        <sz val="12"/>
        <color theme="5"/>
        <rFont val="Calibri"/>
        <family val="2"/>
        <charset val="186"/>
        <scheme val="minor"/>
      </rPr>
      <t>4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</si>
  <si>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s</t>
    </r>
    <r>
      <rPr>
        <sz val="11"/>
        <color theme="1"/>
        <rFont val="Calibri"/>
        <family val="2"/>
        <charset val="186"/>
        <scheme val="minor"/>
      </rPr>
      <t xml:space="preserve"> – CSNg ar cietušajiem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</si>
  <si>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ā</t>
    </r>
    <r>
      <rPr>
        <sz val="11"/>
        <color theme="1"/>
        <rFont val="Calibri"/>
        <family val="2"/>
        <charset val="186"/>
        <scheme val="minor"/>
      </rPr>
      <t xml:space="preserve"> – viena neatliekamās medicīniskās palīdzības izsaukuma vidējās izmaksas</t>
    </r>
  </si>
  <si>
    <r>
      <t>TZ11</t>
    </r>
    <r>
      <rPr>
        <b/>
        <vertAlign val="subscript"/>
        <sz val="11"/>
        <color theme="1"/>
        <rFont val="Calibri"/>
        <family val="2"/>
        <charset val="186"/>
        <scheme val="minor"/>
      </rPr>
      <t>4</t>
    </r>
    <r>
      <rPr>
        <b/>
        <sz val="11"/>
        <color theme="1"/>
        <rFont val="Calibri"/>
        <family val="2"/>
        <charset val="186"/>
        <scheme val="minor"/>
      </rPr>
      <t>=N</t>
    </r>
    <r>
      <rPr>
        <b/>
        <vertAlign val="subscript"/>
        <sz val="11"/>
        <color theme="1"/>
        <rFont val="Calibri"/>
        <family val="2"/>
        <charset val="186"/>
        <scheme val="minor"/>
      </rPr>
      <t>s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ā</t>
    </r>
    <r>
      <rPr>
        <b/>
        <sz val="11"/>
        <color theme="1"/>
        <rFont val="Calibri"/>
        <family val="2"/>
        <charset val="186"/>
        <scheme val="minor"/>
      </rPr>
      <t xml:space="preserve"> </t>
    </r>
  </si>
  <si>
    <r>
      <t>Bojāto transportlīdzekļu remonta un atjaunošanas izmaksas (TZ12</t>
    </r>
    <r>
      <rPr>
        <b/>
        <vertAlign val="subscript"/>
        <sz val="12"/>
        <color theme="5"/>
        <rFont val="Calibri"/>
        <family val="2"/>
        <charset val="186"/>
        <scheme val="minor"/>
      </rPr>
      <t>1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</si>
  <si>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k</t>
    </r>
    <r>
      <rPr>
        <sz val="11"/>
        <color theme="1"/>
        <rFont val="Calibri"/>
        <family val="2"/>
        <charset val="186"/>
        <scheme val="minor"/>
      </rPr>
      <t xml:space="preserve"> – kopējais CSNg bojāto transportlīdzekļu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</si>
  <si>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r</t>
    </r>
    <r>
      <rPr>
        <sz val="11"/>
        <color theme="1"/>
        <rFont val="Calibri"/>
        <family val="2"/>
        <charset val="186"/>
        <scheme val="minor"/>
      </rPr>
      <t xml:space="preserve"> – viena transportlīdzekļa remonta vidējās izmaksas</t>
    </r>
  </si>
  <si>
    <r>
      <t>TZ12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=T</t>
    </r>
    <r>
      <rPr>
        <b/>
        <vertAlign val="subscript"/>
        <sz val="11"/>
        <color theme="1"/>
        <rFont val="Calibri"/>
        <family val="2"/>
        <charset val="186"/>
        <scheme val="minor"/>
      </rPr>
      <t>k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r</t>
    </r>
    <r>
      <rPr>
        <b/>
        <sz val="11"/>
        <color theme="1"/>
        <rFont val="Calibri"/>
        <family val="2"/>
        <charset val="186"/>
        <scheme val="minor"/>
      </rPr>
      <t xml:space="preserve"> </t>
    </r>
  </si>
  <si>
    <r>
      <t>Kravas un mantas zaudējumu izmaksas (TZ12</t>
    </r>
    <r>
      <rPr>
        <b/>
        <vertAlign val="subscript"/>
        <sz val="12"/>
        <color theme="5"/>
        <rFont val="Calibri"/>
        <family val="2"/>
        <charset val="186"/>
        <scheme val="minor"/>
      </rPr>
      <t>2</t>
    </r>
    <r>
      <rPr>
        <b/>
        <sz val="12"/>
        <color theme="5"/>
        <rFont val="Calibri"/>
        <family val="2"/>
        <charset val="186"/>
        <scheme val="minor"/>
      </rPr>
      <t>)</t>
    </r>
  </si>
  <si>
    <t>z – zaudētās un bojātās mantas un kravas īpatsvara koeficients CSNg bojātajiem transportlīdzekļiem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</si>
  <si>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</t>
    </r>
    <r>
      <rPr>
        <sz val="11"/>
        <color theme="1"/>
        <rFont val="Calibri"/>
        <family val="2"/>
        <charset val="186"/>
        <scheme val="minor"/>
      </rPr>
      <t xml:space="preserve"> – vidējā atlīdzības summa par vienu CSNg rezultātā bojāto mantu un kravu</t>
    </r>
  </si>
  <si>
    <r>
      <t>TZ12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=T</t>
    </r>
    <r>
      <rPr>
        <b/>
        <vertAlign val="subscript"/>
        <sz val="11"/>
        <color theme="1"/>
        <rFont val="Calibri"/>
        <family val="2"/>
        <charset val="186"/>
        <scheme val="minor"/>
      </rPr>
      <t>k</t>
    </r>
    <r>
      <rPr>
        <b/>
        <sz val="11"/>
        <color theme="1"/>
        <rFont val="Calibri"/>
        <family val="2"/>
        <charset val="186"/>
        <scheme val="minor"/>
      </rPr>
      <t>*z*i</t>
    </r>
    <r>
      <rPr>
        <b/>
        <vertAlign val="subscript"/>
        <sz val="11"/>
        <color theme="1"/>
        <rFont val="Calibri"/>
        <family val="2"/>
        <charset val="186"/>
        <scheme val="minor"/>
      </rPr>
      <t>m</t>
    </r>
  </si>
  <si>
    <r>
      <t>Ēku, ceļu un to inženierbūvju remontu un atjaunošanas izmaksas (TZ12</t>
    </r>
    <r>
      <rPr>
        <b/>
        <vertAlign val="subscript"/>
        <sz val="12"/>
        <color theme="5"/>
        <rFont val="Calibri"/>
        <family val="2"/>
        <charset val="186"/>
        <scheme val="minor"/>
      </rPr>
      <t>3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</si>
  <si>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TZ12</t>
    </r>
    <r>
      <rPr>
        <b/>
        <vertAlign val="subscript"/>
        <sz val="11"/>
        <color theme="1"/>
        <rFont val="Calibri"/>
        <family val="2"/>
        <charset val="186"/>
        <scheme val="minor"/>
      </rPr>
      <t>3</t>
    </r>
  </si>
  <si>
    <r>
      <t>Ceļu policijas izmaksas (TZ13</t>
    </r>
    <r>
      <rPr>
        <b/>
        <vertAlign val="subscript"/>
        <sz val="12"/>
        <color theme="5"/>
        <rFont val="Calibri"/>
        <family val="2"/>
        <charset val="186"/>
        <scheme val="minor"/>
      </rPr>
      <t>1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</si>
  <si>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VP</t>
    </r>
    <r>
      <rPr>
        <sz val="11"/>
        <color theme="1"/>
        <rFont val="Calibri"/>
        <family val="2"/>
        <charset val="186"/>
        <scheme val="minor"/>
      </rPr>
      <t xml:space="preserve"> – kopējais CSNg skaits pēc Ceļu policijas datiem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</si>
  <si>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p</t>
    </r>
    <r>
      <rPr>
        <sz val="11"/>
        <color theme="1"/>
        <rFont val="Calibri"/>
        <family val="2"/>
        <charset val="186"/>
        <scheme val="minor"/>
      </rPr>
      <t xml:space="preserve"> – vidējās Ceļu policijas izmaksas uz vienu CSNg</t>
    </r>
  </si>
  <si>
    <r>
      <t>CSNg</t>
    </r>
    <r>
      <rPr>
        <vertAlign val="subscript"/>
        <sz val="11"/>
        <color theme="1"/>
        <rFont val="Calibri"/>
        <family val="2"/>
        <charset val="186"/>
        <scheme val="minor"/>
      </rPr>
      <t>bc</t>
    </r>
    <r>
      <rPr>
        <sz val="11"/>
        <color theme="1"/>
        <rFont val="Calibri"/>
        <family val="2"/>
        <charset val="186"/>
        <scheme val="minor"/>
      </rPr>
      <t xml:space="preserve"> – kopējais CSNg skaits bez cietušajiem gadā</t>
    </r>
  </si>
  <si>
    <r>
      <t>CSNg</t>
    </r>
    <r>
      <rPr>
        <vertAlign val="subscript"/>
        <sz val="11"/>
        <color theme="1"/>
        <rFont val="Calibri"/>
        <family val="2"/>
        <charset val="186"/>
        <scheme val="minor"/>
      </rPr>
      <t>ac</t>
    </r>
    <r>
      <rPr>
        <sz val="11"/>
        <color theme="1"/>
        <rFont val="Calibri"/>
        <family val="2"/>
        <charset val="186"/>
        <scheme val="minor"/>
      </rPr>
      <t xml:space="preserve"> – kopējais CSNg skaits ar cietušajiem gadā</t>
    </r>
  </si>
  <si>
    <r>
      <t>TZ13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=N</t>
    </r>
    <r>
      <rPr>
        <b/>
        <vertAlign val="subscript"/>
        <sz val="11"/>
        <color theme="1"/>
        <rFont val="Calibri"/>
        <family val="2"/>
        <charset val="186"/>
        <scheme val="minor"/>
      </rPr>
      <t>VP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p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</si>
  <si>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vp</t>
    </r>
    <r>
      <rPr>
        <sz val="11"/>
        <color theme="1"/>
        <rFont val="Calibri"/>
        <family val="2"/>
        <charset val="186"/>
        <scheme val="minor"/>
      </rPr>
      <t xml:space="preserve"> – vidējās VP vienas stundas izmaksas uz 1 VP darbinieku</t>
    </r>
  </si>
  <si>
    <r>
      <t>Izmeklēšanas izmaksas (TZ13</t>
    </r>
    <r>
      <rPr>
        <b/>
        <vertAlign val="subscript"/>
        <sz val="12"/>
        <color theme="5"/>
        <rFont val="Calibri"/>
        <family val="2"/>
        <charset val="186"/>
        <scheme val="minor"/>
      </rPr>
      <t>21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</si>
  <si>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Tiesu izmaksas (TZ13</t>
    </r>
    <r>
      <rPr>
        <b/>
        <vertAlign val="subscript"/>
        <sz val="12"/>
        <color theme="5"/>
        <rFont val="Calibri"/>
        <family val="2"/>
        <charset val="186"/>
        <scheme val="minor"/>
      </rPr>
      <t>22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</si>
  <si>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vp</t>
    </r>
    <r>
      <rPr>
        <sz val="11"/>
        <color theme="1"/>
        <rFont val="Calibri"/>
        <family val="2"/>
        <charset val="186"/>
        <scheme val="minor"/>
      </rPr>
      <t xml:space="preserve"> – vidējāsVP vienas stundas izmaksas uz 1 VP darbinieku</t>
    </r>
  </si>
  <si>
    <r>
      <t>h</t>
    </r>
    <r>
      <rPr>
        <vertAlign val="subscript"/>
        <sz val="11"/>
        <color theme="1"/>
        <rFont val="Calibri"/>
        <family val="2"/>
        <charset val="186"/>
        <scheme val="minor"/>
      </rPr>
      <t>vp</t>
    </r>
    <r>
      <rPr>
        <sz val="11"/>
        <color theme="1"/>
        <rFont val="Calibri"/>
        <family val="2"/>
        <charset val="186"/>
        <scheme val="minor"/>
      </rPr>
      <t xml:space="preserve"> – stundu skaits, kas nepieciešams izmeklēšanas veikšanai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</si>
  <si>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 xml:space="preserve"> – tiesā ar CSNg saistīto izskatīto lietu skaits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</si>
  <si>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>=N</t>
    </r>
    <r>
      <rPr>
        <vertAlign val="subscript"/>
        <sz val="11"/>
        <color theme="1"/>
        <rFont val="Calibri"/>
        <family val="2"/>
        <charset val="186"/>
        <scheme val="minor"/>
      </rPr>
      <t>s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t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</si>
  <si>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 xml:space="preserve"> – viena tiesas darbinieka vidējās vienas stundas izmaksas</t>
    </r>
  </si>
  <si>
    <r>
      <t>h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 xml:space="preserve"> – vidējais stundu skaits, kas nepieciešams vienas lietas izskatīšanai</t>
    </r>
  </si>
  <si>
    <r>
      <t>TZ13</t>
    </r>
    <r>
      <rPr>
        <b/>
        <vertAlign val="subscript"/>
        <sz val="11"/>
        <color theme="1"/>
        <rFont val="Calibri"/>
        <family val="2"/>
        <charset val="186"/>
        <scheme val="minor"/>
      </rPr>
      <t>22</t>
    </r>
    <r>
      <rPr>
        <b/>
        <sz val="11"/>
        <color theme="1"/>
        <rFont val="Calibri"/>
        <family val="2"/>
        <charset val="186"/>
        <scheme val="minor"/>
      </rPr>
      <t>=N</t>
    </r>
    <r>
      <rPr>
        <b/>
        <vertAlign val="subscript"/>
        <sz val="11"/>
        <color theme="1"/>
        <rFont val="Calibri"/>
        <family val="2"/>
        <charset val="186"/>
        <scheme val="minor"/>
      </rPr>
      <t>t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t</t>
    </r>
    <r>
      <rPr>
        <b/>
        <sz val="11"/>
        <color theme="1"/>
        <rFont val="Calibri"/>
        <family val="2"/>
        <charset val="186"/>
        <scheme val="minor"/>
      </rPr>
      <t>*h</t>
    </r>
    <r>
      <rPr>
        <b/>
        <vertAlign val="subscript"/>
        <sz val="11"/>
        <color theme="1"/>
        <rFont val="Calibri"/>
        <family val="2"/>
        <charset val="186"/>
        <scheme val="minor"/>
      </rPr>
      <t>t</t>
    </r>
    <r>
      <rPr>
        <b/>
        <sz val="11"/>
        <color theme="1"/>
        <rFont val="Calibri"/>
        <family val="2"/>
        <charset val="186"/>
        <scheme val="minor"/>
      </rPr>
      <t xml:space="preserve"> </t>
    </r>
  </si>
  <si>
    <r>
      <t>Valsts Ugunsdzēsēju un glābšanas dienesta (VUGD) izmaksas CSNg (TZ13</t>
    </r>
    <r>
      <rPr>
        <b/>
        <vertAlign val="subscript"/>
        <sz val="12"/>
        <color theme="5"/>
        <rFont val="Calibri"/>
        <family val="2"/>
        <charset val="186"/>
        <scheme val="minor"/>
      </rPr>
      <t>3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</si>
  <si>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charset val="186"/>
        <scheme val="minor"/>
      </rPr>
      <t>vp</t>
    </r>
    <r>
      <rPr>
        <sz val="11"/>
        <color theme="1"/>
        <rFont val="Calibri"/>
        <family val="2"/>
        <charset val="186"/>
        <scheme val="minor"/>
      </rPr>
      <t xml:space="preserve"> – kopējais VP reģistrēto CSNg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</si>
  <si>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u</t>
    </r>
    <r>
      <rPr>
        <sz val="11"/>
        <color theme="1"/>
        <rFont val="Calibri"/>
        <family val="2"/>
        <charset val="186"/>
        <scheme val="minor"/>
      </rPr>
      <t xml:space="preserve"> – viena izsaukuma vidējās VUGD izmaksas stundā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</si>
  <si>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u</t>
    </r>
    <r>
      <rPr>
        <sz val="11"/>
        <color theme="1"/>
        <rFont val="Calibri"/>
        <family val="2"/>
        <charset val="186"/>
        <scheme val="minor"/>
      </rPr>
      <t xml:space="preserve"> – VUGD izsaukumu skaita uz vienu VP reģistrēto CSNg koeficients</t>
    </r>
  </si>
  <si>
    <r>
      <t>h</t>
    </r>
    <r>
      <rPr>
        <vertAlign val="subscript"/>
        <sz val="11"/>
        <color theme="1"/>
        <rFont val="Calibri"/>
        <family val="2"/>
        <charset val="186"/>
        <scheme val="minor"/>
      </rPr>
      <t>u</t>
    </r>
    <r>
      <rPr>
        <sz val="11"/>
        <color theme="1"/>
        <rFont val="Calibri"/>
        <family val="2"/>
        <charset val="186"/>
        <scheme val="minor"/>
      </rPr>
      <t xml:space="preserve"> – stundu skaits vienam izsaukumam</t>
    </r>
  </si>
  <si>
    <r>
      <t>TZ13</t>
    </r>
    <r>
      <rPr>
        <b/>
        <vertAlign val="sub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=N</t>
    </r>
    <r>
      <rPr>
        <b/>
        <vertAlign val="subscript"/>
        <sz val="11"/>
        <color theme="1"/>
        <rFont val="Calibri"/>
        <family val="2"/>
        <charset val="186"/>
        <scheme val="minor"/>
      </rPr>
      <t>vp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u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u</t>
    </r>
    <r>
      <rPr>
        <b/>
        <sz val="11"/>
        <color theme="1"/>
        <rFont val="Calibri"/>
        <family val="2"/>
        <charset val="186"/>
        <scheme val="minor"/>
      </rPr>
      <t>*h</t>
    </r>
    <r>
      <rPr>
        <b/>
        <vertAlign val="subscript"/>
        <sz val="11"/>
        <color theme="1"/>
        <rFont val="Calibri"/>
        <family val="2"/>
        <charset val="186"/>
        <scheme val="minor"/>
      </rPr>
      <t>u</t>
    </r>
    <r>
      <rPr>
        <b/>
        <sz val="11"/>
        <color theme="1"/>
        <rFont val="Calibri"/>
        <family val="2"/>
        <charset val="186"/>
        <scheme val="minor"/>
      </rPr>
      <t xml:space="preserve">*2 </t>
    </r>
  </si>
  <si>
    <r>
      <t>Izmaksas, kas saistītas ar transportlīdzekļu apdrošināšanas administrēšanu (TZ13</t>
    </r>
    <r>
      <rPr>
        <b/>
        <vertAlign val="subscript"/>
        <sz val="12"/>
        <color theme="5"/>
        <rFont val="Calibri"/>
        <family val="2"/>
        <charset val="186"/>
        <scheme val="minor"/>
      </rPr>
      <t>4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</si>
  <si>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Pensiju izmaksas 1. grupas invalīdiem (TZ14</t>
    </r>
    <r>
      <rPr>
        <b/>
        <vertAlign val="subscript"/>
        <sz val="12"/>
        <color theme="5"/>
        <rFont val="Calibri"/>
        <family val="2"/>
        <charset val="186"/>
        <scheme val="minor"/>
      </rPr>
      <t>1</t>
    </r>
    <r>
      <rPr>
        <b/>
        <sz val="12"/>
        <color theme="5"/>
        <rFont val="Calibri"/>
        <family val="2"/>
        <charset val="186"/>
        <scheme val="minor"/>
      </rPr>
      <t>)</t>
    </r>
  </si>
  <si>
    <t>vda – vidējā invaliditātes pensijas saņēmēja darba alga par 36 mēnešiem</t>
  </si>
  <si>
    <t>vds – pensijas saņēmēja vidējais darba stāžs</t>
  </si>
  <si>
    <t>maxds – maksimālais darba stāžs</t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</si>
  <si>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 xml:space="preserve"> – koeficients, kas raksturo 1. grupas invalīdu īpatsvaru starp CSNg smagi cietušajiem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</si>
  <si>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 xml:space="preserve"> – 1. grupas invaliditātes ikmēneša pensija (EUR)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</si>
  <si>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>=0,45*vda+vds/maxds*vda*0,1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</si>
  <si>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p1</t>
    </r>
    <r>
      <rPr>
        <sz val="11"/>
        <color theme="1"/>
        <rFont val="Calibri"/>
        <family val="2"/>
        <charset val="186"/>
        <scheme val="minor"/>
      </rPr>
      <t xml:space="preserve"> – vidējais pensijas izmaksas gadu skaits 1. grupas invalīdiem</t>
    </r>
  </si>
  <si>
    <r>
      <t>Pensiju izmaksas 2. grupas invalīdiem (TZ14</t>
    </r>
    <r>
      <rPr>
        <b/>
        <vertAlign val="subscript"/>
        <sz val="12"/>
        <color theme="5"/>
        <rFont val="Calibri"/>
        <family val="2"/>
        <charset val="186"/>
        <scheme val="minor"/>
      </rPr>
      <t>2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</si>
  <si>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 xml:space="preserve"> – koeficients, kas raksturo 2. grupas invalīdu īpatsvaru starp CSNg smagi cietušajiem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</si>
  <si>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 xml:space="preserve"> – 2. grupas invaliditātes ikmēneša pensija (EUR)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</si>
  <si>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>=0,4*vda+vds/maxds*vda*0,1</t>
    </r>
  </si>
  <si>
    <r>
      <t>Pensiju izmaksas 3. grupas invalīdiem (TZ14</t>
    </r>
    <r>
      <rPr>
        <b/>
        <vertAlign val="subscript"/>
        <sz val="12"/>
        <color theme="5"/>
        <rFont val="Calibri"/>
        <family val="2"/>
        <charset val="186"/>
        <scheme val="minor"/>
      </rPr>
      <t>3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</si>
  <si>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3gr</t>
    </r>
    <r>
      <rPr>
        <sz val="11"/>
        <color theme="1"/>
        <rFont val="Calibri"/>
        <family val="2"/>
        <charset val="186"/>
        <scheme val="minor"/>
      </rPr>
      <t xml:space="preserve"> – 3. grupas invaliditātes ikmēneša pensija (EUR)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</si>
  <si>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p3</t>
    </r>
    <r>
      <rPr>
        <sz val="11"/>
        <color theme="1"/>
        <rFont val="Calibri"/>
        <family val="2"/>
        <charset val="186"/>
        <scheme val="minor"/>
      </rPr>
      <t xml:space="preserve"> – vidējais pensijas izmaksas gadu skaits 3. grupas invalīdiem</t>
    </r>
  </si>
  <si>
    <r>
      <t>Slimības pabalsta izmaksas CSNg cietušajiem (TZ14</t>
    </r>
    <r>
      <rPr>
        <b/>
        <vertAlign val="subscript"/>
        <sz val="12"/>
        <color theme="5"/>
        <rFont val="Calibri"/>
        <family val="2"/>
        <charset val="186"/>
        <scheme val="minor"/>
      </rPr>
      <t>5)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</si>
  <si>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sm</t>
    </r>
    <r>
      <rPr>
        <sz val="11"/>
        <color theme="1"/>
        <rFont val="Calibri"/>
        <family val="2"/>
        <charset val="186"/>
        <scheme val="minor"/>
      </rPr>
      <t xml:space="preserve"> – CSNg smagi cietušo skaits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</si>
  <si>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sp</t>
    </r>
    <r>
      <rPr>
        <sz val="11"/>
        <color theme="1"/>
        <rFont val="Calibri"/>
        <family val="2"/>
        <charset val="186"/>
        <scheme val="minor"/>
      </rPr>
      <t xml:space="preserve"> – vidējais izmaksātais slimības pabalsta apmērs vienam cilvēkam</t>
    </r>
  </si>
  <si>
    <t>vda – vidējā darba alga valstī</t>
  </si>
  <si>
    <r>
      <t>D</t>
    </r>
    <r>
      <rPr>
        <vertAlign val="subscript"/>
        <sz val="11"/>
        <color theme="1"/>
        <rFont val="Calibri"/>
        <family val="2"/>
        <charset val="186"/>
        <scheme val="minor"/>
      </rPr>
      <t>b</t>
    </r>
    <r>
      <rPr>
        <sz val="11"/>
        <color theme="1"/>
        <rFont val="Calibri"/>
        <family val="2"/>
        <charset val="186"/>
        <scheme val="minor"/>
      </rPr>
      <t xml:space="preserve"> – VP reģistrētajos CSNg bojā gājušo skaits</t>
    </r>
  </si>
  <si>
    <t>r – diskonta likme</t>
  </si>
  <si>
    <t>g – IKP uz vienu iedzīvotāju pieaugums</t>
  </si>
  <si>
    <t>Vecuma grupas</t>
  </si>
  <si>
    <t>no</t>
  </si>
  <si>
    <t>līdz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</si>
  <si>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mi</t>
    </r>
    <r>
      <rPr>
        <sz val="11"/>
        <color theme="1"/>
        <rFont val="Calibri"/>
        <family val="2"/>
        <charset val="186"/>
        <scheme val="minor"/>
      </rPr>
      <t xml:space="preserve"> – vidējais bojā gājušo nenostrādāto gadu skaits i – tajā vecuma grupā</t>
    </r>
  </si>
  <si>
    <r>
      <t>M</t>
    </r>
    <r>
      <rPr>
        <vertAlign val="subscript"/>
        <sz val="11"/>
        <color theme="1"/>
        <rFont val="Calibri"/>
        <family val="2"/>
        <charset val="186"/>
        <scheme val="minor"/>
      </rPr>
      <t>i</t>
    </r>
    <r>
      <rPr>
        <sz val="11"/>
        <color theme="1"/>
        <rFont val="Calibri"/>
        <family val="2"/>
        <charset val="186"/>
        <scheme val="minor"/>
      </rPr>
      <t xml:space="preserve"> – bojā gājušo skaits i – tjā vecuma grupā</t>
    </r>
  </si>
  <si>
    <t xml:space="preserve"> + </t>
  </si>
  <si>
    <t>Vidējais vecums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</si>
  <si>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mi</t>
    </r>
  </si>
  <si>
    <r>
      <t>M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</si>
  <si>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r>
      <t>TZ21</t>
    </r>
    <r>
      <rPr>
        <vertAlign val="subscript"/>
        <sz val="11"/>
        <color theme="1"/>
        <rFont val="Calibri"/>
        <family val="2"/>
        <charset val="186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</si>
  <si>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 xml:space="preserve"> – vidējais 1. grupas invalīdu nenostrādāto gadu skaits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</si>
  <si>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 xml:space="preserve"> – vidējais 2. grupas invalīdu nenostrādāto gadu skaits</t>
    </r>
  </si>
  <si>
    <t>1. invaliditātes grupai</t>
  </si>
  <si>
    <r>
      <t>d</t>
    </r>
    <r>
      <rPr>
        <vertAlign val="subscript"/>
        <sz val="11"/>
        <color theme="1"/>
        <rFont val="Calibri"/>
        <family val="2"/>
        <charset val="186"/>
        <scheme val="minor"/>
      </rPr>
      <t>sl</t>
    </r>
    <r>
      <rPr>
        <sz val="11"/>
        <color theme="1"/>
        <rFont val="Calibri"/>
        <family val="2"/>
        <charset val="186"/>
        <scheme val="minor"/>
      </rPr>
      <t xml:space="preserve"> – vidējais viena CSNg cietušā ārstēšanās dienu skaits</t>
    </r>
  </si>
  <si>
    <r>
      <t>Izmaksas, kas saistītas ar viegli ievainoto ambulatoro ārstēšanu (TZ11</t>
    </r>
    <r>
      <rPr>
        <b/>
        <vertAlign val="subscript"/>
        <sz val="12"/>
        <color theme="5"/>
        <rFont val="Calibri"/>
        <family val="2"/>
        <charset val="186"/>
        <scheme val="minor"/>
      </rPr>
      <t>3</t>
    </r>
    <r>
      <rPr>
        <b/>
        <sz val="12"/>
        <color theme="5"/>
        <rFont val="Calibri"/>
        <family val="2"/>
        <charset val="186"/>
        <scheme val="minor"/>
      </rPr>
      <t>)</t>
    </r>
  </si>
  <si>
    <t>VP reģistrētajos CSNg bojāto transportlīdzekļu skaits</t>
  </si>
  <si>
    <t>OCTA saņemtās prēmijas</t>
  </si>
  <si>
    <t xml:space="preserve">Uz 1 CSNg 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</si>
  <si>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p</t>
    </r>
    <r>
      <rPr>
        <sz val="11"/>
        <color theme="1"/>
        <rFont val="Calibri"/>
        <family val="2"/>
        <charset val="186"/>
        <scheme val="minor"/>
      </rPr>
      <t>=(2,07*CSNg</t>
    </r>
    <r>
      <rPr>
        <vertAlign val="subscript"/>
        <sz val="11"/>
        <color theme="1"/>
        <rFont val="Calibri"/>
        <family val="2"/>
        <charset val="186"/>
        <scheme val="minor"/>
      </rPr>
      <t>bc</t>
    </r>
    <r>
      <rPr>
        <sz val="11"/>
        <color theme="1"/>
        <rFont val="Calibri"/>
        <family val="2"/>
        <charset val="186"/>
        <scheme val="minor"/>
      </rPr>
      <t>+5,41*CSNg</t>
    </r>
    <r>
      <rPr>
        <vertAlign val="subscript"/>
        <sz val="11"/>
        <color theme="1"/>
        <rFont val="Calibri"/>
        <family val="2"/>
        <charset val="186"/>
        <scheme val="minor"/>
      </rPr>
      <t>ac</t>
    </r>
    <r>
      <rPr>
        <sz val="11"/>
        <color theme="1"/>
        <rFont val="Calibri"/>
        <family val="2"/>
        <charset val="186"/>
        <scheme val="minor"/>
      </rPr>
      <t>)/N</t>
    </r>
    <r>
      <rPr>
        <vertAlign val="subscript"/>
        <sz val="11"/>
        <color theme="1"/>
        <rFont val="Calibri"/>
        <family val="2"/>
        <charset val="186"/>
        <scheme val="minor"/>
      </rPr>
      <t xml:space="preserve">VP </t>
    </r>
    <r>
      <rPr>
        <sz val="11"/>
        <color theme="1"/>
        <rFont val="Calibri"/>
        <family val="2"/>
        <charset val="186"/>
        <scheme val="minor"/>
      </rPr>
      <t>* 2* i</t>
    </r>
    <r>
      <rPr>
        <vertAlign val="subscript"/>
        <sz val="11"/>
        <color theme="1"/>
        <rFont val="Calibri"/>
        <family val="2"/>
        <charset val="186"/>
        <scheme val="minor"/>
      </rPr>
      <t>vp</t>
    </r>
  </si>
  <si>
    <r>
      <t>TZ11</t>
    </r>
    <r>
      <rPr>
        <b/>
        <vertAlign val="sub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=P</t>
    </r>
    <r>
      <rPr>
        <b/>
        <vertAlign val="subscript"/>
        <sz val="11"/>
        <color theme="1"/>
        <rFont val="Calibri"/>
        <family val="2"/>
        <charset val="186"/>
        <scheme val="minor"/>
      </rPr>
      <t>v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a</t>
    </r>
    <r>
      <rPr>
        <b/>
        <sz val="11"/>
        <color theme="1"/>
        <rFont val="Calibri"/>
        <family val="2"/>
        <charset val="186"/>
        <scheme val="minor"/>
      </rPr>
      <t xml:space="preserve">*2 </t>
    </r>
  </si>
  <si>
    <r>
      <t>TZ11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=P</t>
    </r>
    <r>
      <rPr>
        <b/>
        <vertAlign val="subscript"/>
        <sz val="11"/>
        <color theme="1"/>
        <rFont val="Calibri"/>
        <family val="2"/>
        <charset val="186"/>
        <scheme val="minor"/>
      </rPr>
      <t>sm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ārst</t>
    </r>
    <r>
      <rPr>
        <b/>
        <sz val="11"/>
        <color theme="1"/>
        <rFont val="Calibri"/>
        <family val="2"/>
        <charset val="186"/>
        <scheme val="minor"/>
      </rPr>
      <t xml:space="preserve"> + i</t>
    </r>
    <r>
      <rPr>
        <b/>
        <vertAlign val="subscript"/>
        <sz val="11"/>
        <color theme="1"/>
        <rFont val="Calibri"/>
        <family val="2"/>
        <charset val="186"/>
        <scheme val="minor"/>
      </rPr>
      <t>rp</t>
    </r>
    <r>
      <rPr>
        <b/>
        <sz val="11"/>
        <color theme="1"/>
        <rFont val="Calibri"/>
        <family val="2"/>
        <charset val="186"/>
        <scheme val="minor"/>
      </rPr>
      <t xml:space="preserve"> </t>
    </r>
  </si>
  <si>
    <t>Izmaksas  uz 1 CSNg ar cietušajiem</t>
  </si>
  <si>
    <t>Izmaksas uz 1 CSNg viegli ievainoto</t>
  </si>
  <si>
    <t>Izmaksas uz 1CSNg smagi cietušo</t>
  </si>
  <si>
    <t>Izmaksas uz 1 CSNg bojā gājušo</t>
  </si>
  <si>
    <t>Izmaksas uz 1 VP reģistrēto CSNg</t>
  </si>
  <si>
    <t>Izmaksas uz 1 kopējo CSNg</t>
  </si>
  <si>
    <t>CSNg ar cietušajiem skaits</t>
  </si>
  <si>
    <r>
      <t>TZ13</t>
    </r>
    <r>
      <rPr>
        <b/>
        <vertAlign val="subscript"/>
        <sz val="11"/>
        <color theme="1"/>
        <rFont val="Calibri"/>
        <family val="2"/>
        <charset val="186"/>
        <scheme val="minor"/>
      </rPr>
      <t>21</t>
    </r>
    <r>
      <rPr>
        <b/>
        <sz val="11"/>
        <color theme="1"/>
        <rFont val="Calibri"/>
        <family val="2"/>
        <charset val="186"/>
        <scheme val="minor"/>
      </rPr>
      <t>=N</t>
    </r>
    <r>
      <rPr>
        <b/>
        <vertAlign val="subscript"/>
        <sz val="11"/>
        <color theme="1"/>
        <rFont val="Calibri"/>
        <family val="2"/>
        <charset val="186"/>
        <scheme val="minor"/>
      </rPr>
      <t>s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vp</t>
    </r>
    <r>
      <rPr>
        <b/>
        <sz val="11"/>
        <color theme="1"/>
        <rFont val="Calibri"/>
        <family val="2"/>
        <charset val="186"/>
        <scheme val="minor"/>
      </rPr>
      <t>*h</t>
    </r>
    <r>
      <rPr>
        <b/>
        <vertAlign val="subscript"/>
        <sz val="11"/>
        <color theme="1"/>
        <rFont val="Calibri"/>
        <family val="2"/>
        <charset val="186"/>
        <scheme val="minor"/>
      </rPr>
      <t>vp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</si>
  <si>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t</t>
    </r>
    <r>
      <rPr>
        <sz val="11"/>
        <color theme="1"/>
        <rFont val="Calibri"/>
        <family val="2"/>
        <charset val="186"/>
        <scheme val="minor"/>
      </rPr>
      <t xml:space="preserve"> – koeficients, kas raksturo tiesā nodoto lietu skaitu no CSNg ar cietušajiem</t>
    </r>
  </si>
  <si>
    <t xml:space="preserve">AP - OCTA prēmijas </t>
  </si>
  <si>
    <r>
      <t>TZ13</t>
    </r>
    <r>
      <rPr>
        <b/>
        <vertAlign val="subscript"/>
        <sz val="11"/>
        <color theme="1"/>
        <rFont val="Calibri"/>
        <family val="2"/>
        <charset val="186"/>
        <scheme val="minor"/>
      </rPr>
      <t>4</t>
    </r>
    <r>
      <rPr>
        <b/>
        <sz val="11"/>
        <color theme="1"/>
        <rFont val="Calibri"/>
        <family val="2"/>
        <charset val="186"/>
        <scheme val="minor"/>
      </rPr>
      <t>=AP*0,065</t>
    </r>
  </si>
  <si>
    <t>Mērvienības</t>
  </si>
  <si>
    <t>EUR</t>
  </si>
  <si>
    <t>%</t>
  </si>
  <si>
    <r>
      <t>D</t>
    </r>
    <r>
      <rPr>
        <vertAlign val="subscript"/>
        <sz val="11"/>
        <color theme="1"/>
        <rFont val="Calibri"/>
        <family val="2"/>
        <charset val="186"/>
        <scheme val="minor"/>
      </rPr>
      <t>ciet</t>
    </r>
    <r>
      <rPr>
        <sz val="11"/>
        <color theme="1"/>
        <rFont val="Calibri"/>
        <family val="2"/>
        <charset val="186"/>
        <scheme val="minor"/>
      </rPr>
      <t xml:space="preserve"> – CSNg rezultātā cietušo skaits</t>
    </r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</si>
  <si>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1gr</t>
    </r>
    <r>
      <rPr>
        <b/>
        <sz val="11"/>
        <color theme="1"/>
        <rFont val="Calibri"/>
        <family val="2"/>
        <charset val="186"/>
        <scheme val="minor"/>
      </rPr>
      <t>*P</t>
    </r>
    <r>
      <rPr>
        <b/>
        <vertAlign val="subscript"/>
        <sz val="11"/>
        <color theme="1"/>
        <rFont val="Calibri"/>
        <family val="2"/>
        <charset val="186"/>
        <scheme val="minor"/>
      </rPr>
      <t>1gr</t>
    </r>
    <r>
      <rPr>
        <b/>
        <sz val="11"/>
        <color theme="1"/>
        <rFont val="Calibri"/>
        <family val="2"/>
        <charset val="186"/>
        <scheme val="minor"/>
      </rPr>
      <t>*t</t>
    </r>
    <r>
      <rPr>
        <b/>
        <vertAlign val="subscript"/>
        <sz val="11"/>
        <color theme="1"/>
        <rFont val="Calibri"/>
        <family val="2"/>
        <charset val="186"/>
        <scheme val="minor"/>
      </rPr>
      <t>p1</t>
    </r>
    <r>
      <rPr>
        <b/>
        <sz val="11"/>
        <color theme="1"/>
        <rFont val="Calibri"/>
        <family val="2"/>
        <charset val="186"/>
        <scheme val="minor"/>
      </rPr>
      <t>*12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</si>
  <si>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 xml:space="preserve"> – koeficients, kas raksturo 1. grupas invalīdu īpatsvaru starp CSNg cietušajiem</t>
    </r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</si>
  <si>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2gr</t>
    </r>
    <r>
      <rPr>
        <b/>
        <sz val="11"/>
        <color theme="1"/>
        <rFont val="Calibri"/>
        <family val="2"/>
        <charset val="186"/>
        <scheme val="minor"/>
      </rPr>
      <t>*P</t>
    </r>
    <r>
      <rPr>
        <b/>
        <vertAlign val="subscript"/>
        <sz val="11"/>
        <color theme="1"/>
        <rFont val="Calibri"/>
        <family val="2"/>
        <charset val="186"/>
        <scheme val="minor"/>
      </rPr>
      <t>2gr</t>
    </r>
    <r>
      <rPr>
        <b/>
        <sz val="11"/>
        <color theme="1"/>
        <rFont val="Calibri"/>
        <family val="2"/>
        <charset val="186"/>
        <scheme val="minor"/>
      </rPr>
      <t>*t</t>
    </r>
    <r>
      <rPr>
        <b/>
        <vertAlign val="subscript"/>
        <sz val="11"/>
        <color theme="1"/>
        <rFont val="Calibri"/>
        <family val="2"/>
        <charset val="186"/>
        <scheme val="minor"/>
      </rPr>
      <t>p2</t>
    </r>
    <r>
      <rPr>
        <b/>
        <sz val="11"/>
        <color theme="1"/>
        <rFont val="Calibri"/>
        <family val="2"/>
        <charset val="186"/>
        <scheme val="minor"/>
      </rPr>
      <t>*12</t>
    </r>
  </si>
  <si>
    <t>Izmaksas uz 1 CSNg cietušo</t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</si>
  <si>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 xml:space="preserve"> – koeficients, kas raksturo 2. grupas invalīdu īpatsvaru starp CSNg cietušajiem</t>
    </r>
  </si>
  <si>
    <r>
      <t>k</t>
    </r>
    <r>
      <rPr>
        <vertAlign val="subscript"/>
        <sz val="11"/>
        <color theme="1"/>
        <rFont val="Calibri"/>
        <family val="2"/>
        <charset val="186"/>
        <scheme val="minor"/>
      </rPr>
      <t>3gr</t>
    </r>
    <r>
      <rPr>
        <sz val="11"/>
        <color theme="1"/>
        <rFont val="Calibri"/>
        <family val="2"/>
        <charset val="186"/>
        <scheme val="minor"/>
      </rPr>
      <t xml:space="preserve"> – koeficients, kas raksturo 3. grupas invalīdu īpatsvaru starp CSNg cietušajiem</t>
    </r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</si>
  <si>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3gr</t>
    </r>
    <r>
      <rPr>
        <b/>
        <sz val="11"/>
        <color theme="1"/>
        <rFont val="Calibri"/>
        <family val="2"/>
        <charset val="186"/>
        <scheme val="minor"/>
      </rPr>
      <t>*P</t>
    </r>
    <r>
      <rPr>
        <b/>
        <vertAlign val="subscript"/>
        <sz val="11"/>
        <color theme="1"/>
        <rFont val="Calibri"/>
        <family val="2"/>
        <charset val="186"/>
        <scheme val="minor"/>
      </rPr>
      <t>3gr</t>
    </r>
    <r>
      <rPr>
        <b/>
        <sz val="11"/>
        <color theme="1"/>
        <rFont val="Calibri"/>
        <family val="2"/>
        <charset val="186"/>
        <scheme val="minor"/>
      </rPr>
      <t>*t</t>
    </r>
    <r>
      <rPr>
        <b/>
        <vertAlign val="subscript"/>
        <sz val="11"/>
        <color theme="1"/>
        <rFont val="Calibri"/>
        <family val="2"/>
        <charset val="186"/>
        <scheme val="minor"/>
      </rPr>
      <t>p3</t>
    </r>
    <r>
      <rPr>
        <b/>
        <sz val="11"/>
        <color theme="1"/>
        <rFont val="Calibri"/>
        <family val="2"/>
        <charset val="186"/>
        <scheme val="minor"/>
      </rPr>
      <t>*12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</si>
  <si>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p2</t>
    </r>
    <r>
      <rPr>
        <sz val="11"/>
        <color theme="1"/>
        <rFont val="Calibri"/>
        <family val="2"/>
        <charset val="186"/>
        <scheme val="minor"/>
      </rPr>
      <t xml:space="preserve"> – vidējais pensijas izmaksas gadu skaits 2. grupas invalīdiem</t>
    </r>
  </si>
  <si>
    <t>Citi dati</t>
  </si>
  <si>
    <t>VSAA valsts sociālā nodrošinājuma pabalsts (3. grupas invalīdiem)</t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</si>
  <si>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5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*i</t>
    </r>
    <r>
      <rPr>
        <b/>
        <vertAlign val="subscript"/>
        <sz val="11"/>
        <color theme="1"/>
        <rFont val="Calibri"/>
        <family val="2"/>
        <charset val="186"/>
        <scheme val="minor"/>
      </rPr>
      <t>sp</t>
    </r>
  </si>
  <si>
    <t>Valstī noteiktā minimālā darba alga</t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</si>
  <si>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4</t>
    </r>
    <r>
      <rPr>
        <b/>
        <sz val="11"/>
        <color theme="1"/>
        <rFont val="Calibri"/>
        <family val="2"/>
        <charset val="186"/>
        <scheme val="minor"/>
      </rPr>
      <t>=TZ144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+TZ144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+TZ144</t>
    </r>
    <r>
      <rPr>
        <b/>
        <vertAlign val="subscript"/>
        <sz val="11"/>
        <color theme="1"/>
        <rFont val="Calibri"/>
        <family val="2"/>
        <charset val="186"/>
        <scheme val="minor"/>
      </rPr>
      <t>3</t>
    </r>
  </si>
  <si>
    <r>
      <t>TZ14</t>
    </r>
    <r>
      <rPr>
        <vertAlign val="subscript"/>
        <sz val="11"/>
        <color theme="1"/>
        <rFont val="Calibri"/>
        <family val="2"/>
        <charset val="186"/>
        <scheme val="minor"/>
      </rPr>
      <t>41</t>
    </r>
    <r>
      <rPr>
        <sz val="11"/>
        <color theme="1"/>
        <rFont val="Calibri"/>
        <family val="2"/>
        <charset val="186"/>
        <scheme val="minor"/>
      </rPr>
      <t>=D</t>
    </r>
    <r>
      <rPr>
        <vertAlign val="subscript"/>
        <sz val="11"/>
        <color theme="1"/>
        <rFont val="Calibri"/>
        <family val="2"/>
        <charset val="186"/>
        <scheme val="minor"/>
      </rPr>
      <t>ciet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*20</t>
    </r>
  </si>
  <si>
    <r>
      <t>TZ14</t>
    </r>
    <r>
      <rPr>
        <vertAlign val="subscript"/>
        <sz val="11"/>
        <color theme="1"/>
        <rFont val="Calibri"/>
        <family val="2"/>
        <charset val="186"/>
        <scheme val="minor"/>
      </rPr>
      <t>42</t>
    </r>
    <r>
      <rPr>
        <sz val="11"/>
        <color theme="1"/>
        <rFont val="Calibri"/>
        <family val="2"/>
        <charset val="186"/>
        <scheme val="minor"/>
      </rPr>
      <t>=P</t>
    </r>
    <r>
      <rPr>
        <vertAlign val="subscript"/>
        <sz val="11"/>
        <color theme="1"/>
        <rFont val="Calibri"/>
        <family val="2"/>
        <charset val="186"/>
        <scheme val="minor"/>
      </rPr>
      <t>sm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*25+P</t>
    </r>
    <r>
      <rPr>
        <vertAlign val="subscript"/>
        <sz val="11"/>
        <color theme="1"/>
        <rFont val="Calibri"/>
        <family val="2"/>
        <charset val="186"/>
        <scheme val="minor"/>
      </rPr>
      <t>v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*5</t>
    </r>
  </si>
  <si>
    <r>
      <t>TZ14</t>
    </r>
    <r>
      <rPr>
        <vertAlign val="subscript"/>
        <sz val="11"/>
        <color theme="1"/>
        <rFont val="Calibri"/>
        <family val="2"/>
        <charset val="186"/>
        <scheme val="minor"/>
      </rPr>
      <t>43</t>
    </r>
    <r>
      <rPr>
        <sz val="11"/>
        <color theme="1"/>
        <rFont val="Calibri"/>
        <family val="2"/>
        <charset val="186"/>
        <scheme val="minor"/>
      </rPr>
      <t>=D</t>
    </r>
    <r>
      <rPr>
        <vertAlign val="subscript"/>
        <sz val="11"/>
        <color theme="1"/>
        <rFont val="Calibri"/>
        <family val="2"/>
        <charset val="186"/>
        <scheme val="minor"/>
      </rPr>
      <t>ciet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1gr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*10+D</t>
    </r>
    <r>
      <rPr>
        <vertAlign val="subscript"/>
        <sz val="11"/>
        <color theme="1"/>
        <rFont val="Calibri"/>
        <family val="2"/>
        <charset val="186"/>
        <scheme val="minor"/>
      </rPr>
      <t>ciet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2gr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*5+D</t>
    </r>
    <r>
      <rPr>
        <vertAlign val="subscript"/>
        <sz val="11"/>
        <color theme="1"/>
        <rFont val="Calibri"/>
        <family val="2"/>
        <charset val="186"/>
        <scheme val="minor"/>
      </rPr>
      <t>ciet</t>
    </r>
    <r>
      <rPr>
        <sz val="11"/>
        <color theme="1"/>
        <rFont val="Calibri"/>
        <family val="2"/>
        <charset val="186"/>
        <scheme val="minor"/>
      </rPr>
      <t>*k</t>
    </r>
    <r>
      <rPr>
        <vertAlign val="subscript"/>
        <sz val="11"/>
        <color theme="1"/>
        <rFont val="Calibri"/>
        <family val="2"/>
        <charset val="186"/>
        <scheme val="minor"/>
      </rPr>
      <t>3gr</t>
    </r>
    <r>
      <rPr>
        <sz val="11"/>
        <color theme="1"/>
        <rFont val="Calibri"/>
        <family val="2"/>
        <charset val="186"/>
        <scheme val="minor"/>
      </rPr>
      <t>*DA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>*3</t>
    </r>
  </si>
  <si>
    <r>
      <t>DA</t>
    </r>
    <r>
      <rPr>
        <vertAlign val="subscript"/>
        <sz val="11"/>
        <color theme="1"/>
        <rFont val="Calibri"/>
        <family val="2"/>
        <charset val="186"/>
        <scheme val="minor"/>
      </rPr>
      <t>min</t>
    </r>
    <r>
      <rPr>
        <sz val="11"/>
        <color theme="1"/>
        <rFont val="Calibri"/>
        <family val="2"/>
        <charset val="186"/>
        <scheme val="minor"/>
      </rPr>
      <t xml:space="preserve"> - valstī noteiktā minimālā darba alga</t>
    </r>
  </si>
  <si>
    <r>
      <t>TZ14</t>
    </r>
    <r>
      <rPr>
        <b/>
        <vertAlign val="subscript"/>
        <sz val="11"/>
        <color theme="1"/>
        <rFont val="Calibri"/>
        <family val="2"/>
        <charset val="186"/>
        <scheme val="minor"/>
      </rPr>
      <t>46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b</t>
    </r>
    <r>
      <rPr>
        <b/>
        <sz val="11"/>
        <color theme="1"/>
        <rFont val="Calibri"/>
        <family val="2"/>
        <charset val="186"/>
        <scheme val="minor"/>
      </rPr>
      <t>*DA</t>
    </r>
    <r>
      <rPr>
        <b/>
        <vertAlign val="subscript"/>
        <sz val="11"/>
        <color theme="1"/>
        <rFont val="Calibri"/>
        <family val="2"/>
        <charset val="186"/>
        <scheme val="minor"/>
      </rPr>
      <t>min</t>
    </r>
    <r>
      <rPr>
        <b/>
        <sz val="11"/>
        <color theme="1"/>
        <rFont val="Calibri"/>
        <family val="2"/>
        <charset val="186"/>
        <scheme val="minor"/>
      </rPr>
      <t>*30</t>
    </r>
  </si>
  <si>
    <r>
      <t>Bēru izmaksas (TZ15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</si>
  <si>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TZ15</t>
    </r>
    <r>
      <rPr>
        <b/>
        <sz val="11"/>
        <color theme="1"/>
        <rFont val="Calibri"/>
        <family val="2"/>
        <charset val="186"/>
        <scheme val="minor"/>
      </rPr>
      <t>=D</t>
    </r>
    <r>
      <rPr>
        <b/>
        <vertAlign val="subscript"/>
        <sz val="11"/>
        <color theme="1"/>
        <rFont val="Calibri"/>
        <family val="2"/>
        <charset val="186"/>
        <scheme val="minor"/>
      </rPr>
      <t>b</t>
    </r>
    <r>
      <rPr>
        <b/>
        <sz val="11"/>
        <color theme="1"/>
        <rFont val="Calibri"/>
        <family val="2"/>
        <charset val="186"/>
        <scheme val="minor"/>
      </rPr>
      <t xml:space="preserve">*vda*2 </t>
    </r>
  </si>
  <si>
    <t>2. invaliditātes grupai</t>
  </si>
  <si>
    <r>
      <t>TZ22=TZ22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+TZ22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</si>
  <si>
    <t>Izmaksas uz 1 CSNg smagi cietušo</t>
  </si>
  <si>
    <t>Kopējie Tautsaimniecības zaudējumi, kas radušies CSNg rezultātā</t>
  </si>
  <si>
    <t>TZ11</t>
  </si>
  <si>
    <t>TZ12</t>
  </si>
  <si>
    <t>TZ13</t>
  </si>
  <si>
    <t>TZ14</t>
  </si>
  <si>
    <t>TZ15</t>
  </si>
  <si>
    <t>TZ2</t>
  </si>
  <si>
    <t>kopā</t>
  </si>
  <si>
    <t>TZ11 - medicīnas izmaksas</t>
  </si>
  <si>
    <t>TZ12 - zaudētās un bojātās mantas izmaksas</t>
  </si>
  <si>
    <t>TZ13 - administratīvās izmaksas</t>
  </si>
  <si>
    <t>TZ15 - citas tiešās izmaksas</t>
  </si>
  <si>
    <t>TZ2 - netiešie tautsaimniecības zaudējumi</t>
  </si>
  <si>
    <r>
      <t>TZ23=IKP/365*P</t>
    </r>
    <r>
      <rPr>
        <b/>
        <vertAlign val="subscript"/>
        <sz val="11"/>
        <color theme="1"/>
        <rFont val="Calibri"/>
        <family val="2"/>
        <charset val="186"/>
        <scheme val="minor"/>
      </rPr>
      <t>sm</t>
    </r>
    <r>
      <rPr>
        <b/>
        <sz val="11"/>
        <color theme="1"/>
        <rFont val="Calibri"/>
        <family val="2"/>
        <charset val="186"/>
        <scheme val="minor"/>
      </rPr>
      <t>*d</t>
    </r>
    <r>
      <rPr>
        <b/>
        <vertAlign val="subscript"/>
        <sz val="11"/>
        <color theme="1"/>
        <rFont val="Calibri"/>
        <family val="2"/>
        <charset val="186"/>
        <scheme val="minor"/>
      </rPr>
      <t>sl</t>
    </r>
  </si>
  <si>
    <r>
      <t>TZ22</t>
    </r>
    <r>
      <rPr>
        <b/>
        <vertAlign val="subscript"/>
        <sz val="11"/>
        <color theme="1"/>
        <rFont val="Calibri"/>
        <family val="2"/>
        <charset val="186"/>
        <scheme val="minor"/>
      </rPr>
      <t>2</t>
    </r>
    <r>
      <rPr>
        <b/>
        <sz val="11"/>
        <color theme="1"/>
        <rFont val="Calibri"/>
        <family val="2"/>
        <charset val="186"/>
        <scheme val="minor"/>
      </rPr>
      <t>=IKP/(r-g)*(1-((1+g)/(1+r))^t</t>
    </r>
    <r>
      <rPr>
        <b/>
        <vertAlign val="subscript"/>
        <sz val="11"/>
        <color theme="1"/>
        <rFont val="Calibri"/>
        <family val="2"/>
        <charset val="186"/>
        <scheme val="minor"/>
      </rPr>
      <t>2gr</t>
    </r>
    <r>
      <rPr>
        <b/>
        <sz val="11"/>
        <color theme="1"/>
        <rFont val="Calibri"/>
        <family val="2"/>
        <charset val="186"/>
        <scheme val="minor"/>
      </rPr>
      <t>)*D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2gr</t>
    </r>
  </si>
  <si>
    <r>
      <t>TZ22</t>
    </r>
    <r>
      <rPr>
        <b/>
        <vertAlign val="subscript"/>
        <sz val="11"/>
        <color theme="1"/>
        <rFont val="Calibri"/>
        <family val="2"/>
        <charset val="186"/>
        <scheme val="minor"/>
      </rPr>
      <t>1</t>
    </r>
    <r>
      <rPr>
        <b/>
        <sz val="11"/>
        <color theme="1"/>
        <rFont val="Calibri"/>
        <family val="2"/>
        <charset val="186"/>
        <scheme val="minor"/>
      </rPr>
      <t>=IKP/(r-g)*(1-((1+g)/(1+r))^t</t>
    </r>
    <r>
      <rPr>
        <b/>
        <vertAlign val="subscript"/>
        <sz val="11"/>
        <color theme="1"/>
        <rFont val="Calibri"/>
        <family val="2"/>
        <charset val="186"/>
        <scheme val="minor"/>
      </rPr>
      <t>1gr</t>
    </r>
    <r>
      <rPr>
        <b/>
        <sz val="11"/>
        <color theme="1"/>
        <rFont val="Calibri"/>
        <family val="2"/>
        <charset val="186"/>
        <scheme val="minor"/>
      </rPr>
      <t>)*D</t>
    </r>
    <r>
      <rPr>
        <b/>
        <vertAlign val="subscript"/>
        <sz val="11"/>
        <color theme="1"/>
        <rFont val="Calibri"/>
        <family val="2"/>
        <charset val="186"/>
        <scheme val="minor"/>
      </rPr>
      <t>ciet</t>
    </r>
    <r>
      <rPr>
        <b/>
        <sz val="11"/>
        <color theme="1"/>
        <rFont val="Calibri"/>
        <family val="2"/>
        <charset val="186"/>
        <scheme val="minor"/>
      </rPr>
      <t>*k</t>
    </r>
    <r>
      <rPr>
        <b/>
        <vertAlign val="subscript"/>
        <sz val="11"/>
        <color theme="1"/>
        <rFont val="Calibri"/>
        <family val="2"/>
        <charset val="186"/>
        <scheme val="minor"/>
      </rPr>
      <t>1gr</t>
    </r>
  </si>
  <si>
    <r>
      <t>TZ21=SUM[IKP/(r-g)*(1-((1+g)/(1+r))^t</t>
    </r>
    <r>
      <rPr>
        <b/>
        <vertAlign val="subscript"/>
        <sz val="11"/>
        <color theme="1"/>
        <rFont val="Calibri"/>
        <family val="2"/>
        <charset val="186"/>
        <scheme val="minor"/>
      </rPr>
      <t>mi</t>
    </r>
    <r>
      <rPr>
        <b/>
        <sz val="11"/>
        <color theme="1"/>
        <rFont val="Calibri"/>
        <family val="2"/>
        <charset val="186"/>
        <scheme val="minor"/>
      </rPr>
      <t>)*M</t>
    </r>
    <r>
      <rPr>
        <b/>
        <vertAlign val="subscript"/>
        <sz val="11"/>
        <color theme="1"/>
        <rFont val="Calibri"/>
        <family val="2"/>
        <charset val="186"/>
        <scheme val="minor"/>
      </rPr>
      <t>i</t>
    </r>
    <r>
      <rPr>
        <b/>
        <sz val="11"/>
        <color theme="1"/>
        <rFont val="Calibri"/>
        <family val="2"/>
        <charset val="186"/>
        <scheme val="minor"/>
      </rPr>
      <t>]</t>
    </r>
  </si>
  <si>
    <t>Izmaksas uz 1CSNg bojā gājušo</t>
  </si>
  <si>
    <t>TZm</t>
  </si>
  <si>
    <t>TZv</t>
  </si>
  <si>
    <t>TZs</t>
  </si>
  <si>
    <t>TZb</t>
  </si>
  <si>
    <t>TZsm</t>
  </si>
  <si>
    <t>TZm - zaudējumi, ko rada vidēji viens CSNg bez cietušajiem</t>
  </si>
  <si>
    <t>TZv - zaudējumi, ka rada vidēji viens CSNg viegli ievainotais</t>
  </si>
  <si>
    <t>TZs - zaudējumi, ko rada vidēji viens CSNg smagi ievainotais</t>
  </si>
  <si>
    <t>TZb - zaudējumi, ko rada vidēji viens CSNg bojā gājušais</t>
  </si>
  <si>
    <t>Viena CSNg un viena cietušā vidējās izmaksas</t>
  </si>
  <si>
    <t>Izmaksas uz 1 CSNg viegli cietušo</t>
  </si>
  <si>
    <t>IKP</t>
  </si>
  <si>
    <t>Valstī nodarbināto iedzīvotāju skaits</t>
  </si>
  <si>
    <t>IKP – IKP uz vienu nodarbināto</t>
  </si>
  <si>
    <t>TZsm - zaudējumi, ko rada vidēji viens smags CSNg</t>
  </si>
  <si>
    <t>sk.</t>
  </si>
  <si>
    <t>LTAB gada pārskats</t>
  </si>
  <si>
    <t xml:space="preserve"> - lauki, kuros dati jāievada katru gadu</t>
  </si>
  <si>
    <t>Datu ievades tabula</t>
  </si>
  <si>
    <t>Centrālā statistikas pārvalde</t>
  </si>
  <si>
    <t>LR FM Makroekonomisko pieņēmumu un prognožu skaitliskās vērtības</t>
  </si>
  <si>
    <t>Piezīmes, datu avoti</t>
  </si>
  <si>
    <t>Ministru kabineta noteikumi Nr. 656 par minimālās mēneša darba algas apmēru</t>
  </si>
  <si>
    <t>LR FM Makroekonomisko pieņēmumu un prognožu skaitliskās vērtības (vidēji 2017.-2040.g.)</t>
  </si>
  <si>
    <t>Patēriņa cenu izmaiņas</t>
  </si>
  <si>
    <t>Darba algas (bruto) izmaiņas, salīdzināmās cenās</t>
  </si>
  <si>
    <t>Piemēro darba algas pieauguma koeficientu katru gadu</t>
  </si>
  <si>
    <t>Piemēro patēriņa cenu indeksu katru gadu</t>
  </si>
  <si>
    <t>MK not. Nr.1605 par valsts sociālā nodrošinājuma pabalsta un apbedīšanas pabalsta apmēru</t>
  </si>
  <si>
    <r>
      <t>TZ24=IKP/365*P</t>
    </r>
    <r>
      <rPr>
        <b/>
        <vertAlign val="subscript"/>
        <sz val="11"/>
        <color theme="1"/>
        <rFont val="Calibri"/>
        <family val="2"/>
        <charset val="186"/>
        <scheme val="minor"/>
      </rPr>
      <t>v</t>
    </r>
    <r>
      <rPr>
        <b/>
        <sz val="11"/>
        <color theme="1"/>
        <rFont val="Calibri"/>
        <family val="2"/>
        <charset val="186"/>
        <scheme val="minor"/>
      </rPr>
      <t>*d</t>
    </r>
    <r>
      <rPr>
        <b/>
        <vertAlign val="subscript"/>
        <sz val="11"/>
        <color theme="1"/>
        <rFont val="Calibri"/>
        <family val="2"/>
        <charset val="186"/>
        <scheme val="minor"/>
      </rPr>
      <t>sl</t>
    </r>
  </si>
  <si>
    <t>Izmaksas uz 1 CSNg smagi cietušo vai bojā gājušo</t>
  </si>
  <si>
    <t>CSNg skaits ar saskaņotajiem paziņojumiem</t>
  </si>
  <si>
    <t>TZ14 - dzīves kvalitātes izmaksas</t>
  </si>
  <si>
    <t>Darba ražīguma zaudējumi sakarā ar cilvēku bojā eju (TZ21)</t>
  </si>
  <si>
    <t>Darba ražīguma zaudējumi sakarā ar cilvēku invaliditāti CSNg rezultātā (TZ22)</t>
  </si>
  <si>
    <t>Darba ražīguma zaudējumi sakarā ar smagi cietušo ārstēšanos (TZ23)</t>
  </si>
  <si>
    <t>Darba ražīguma zaudējumi sakarā ar viegli ievainotā ārstēšanos (TZ24)</t>
  </si>
  <si>
    <r>
      <t>Dzīves kvalitātes zaudējumi cietušajiem un tuviniekiem CSNg ar cietušajiem(TZ14</t>
    </r>
    <r>
      <rPr>
        <b/>
        <vertAlign val="subscript"/>
        <sz val="12"/>
        <color theme="5"/>
        <rFont val="Calibri"/>
        <family val="2"/>
        <charset val="186"/>
        <scheme val="minor"/>
      </rPr>
      <t>4</t>
    </r>
    <r>
      <rPr>
        <b/>
        <sz val="12"/>
        <color theme="5"/>
        <rFont val="Calibri"/>
        <family val="2"/>
        <charset val="186"/>
        <scheme val="minor"/>
      </rPr>
      <t>)</t>
    </r>
  </si>
  <si>
    <r>
      <t>Dzīves kvalitātes zaudējumi sakarā ar apgādnieka, apgādājamā vai laulātā nāvi (TZ14</t>
    </r>
    <r>
      <rPr>
        <b/>
        <vertAlign val="subscript"/>
        <sz val="12"/>
        <color theme="5"/>
        <rFont val="Calibri"/>
        <family val="2"/>
        <charset val="186"/>
        <scheme val="minor"/>
      </rPr>
      <t>6</t>
    </r>
    <r>
      <rPr>
        <b/>
        <sz val="12"/>
        <color theme="5"/>
        <rFont val="Calibri"/>
        <family val="2"/>
        <charset val="186"/>
        <scheme val="minor"/>
      </rPr>
      <t>)</t>
    </r>
  </si>
  <si>
    <t>Dati par CSNg</t>
  </si>
  <si>
    <t>CSDD datu bāze</t>
  </si>
  <si>
    <t>Dati par apdrošināšanas atlīdzībām</t>
  </si>
  <si>
    <t xml:space="preserve">https://data1.csb.gov.lv/pxweb/lv/ekfin/ekfin__ikp__IKP__ikgad/IKG10_010.px/table/tableViewLayout1/ </t>
  </si>
  <si>
    <t xml:space="preserve">https://data1.csb.gov.lv/pxweb/lv/sociala/sociala__dsamaksa__ikgad/DSG001.px/table/tableViewLayout1/ </t>
  </si>
  <si>
    <t xml:space="preserve">https://data1.csb.gov.lv/pxweb/lv/sociala/sociala__dsamaksa__ikgad/DSG010.px/table/tableViewLayout1/ </t>
  </si>
  <si>
    <t xml:space="preserve">http://data1.csb.gov.lv/pxweb/lv/ekfin/ekfin__PCI__ikgad/PCG021.px/table/tableViewLayout1/ </t>
  </si>
  <si>
    <t xml:space="preserve">http://data1.csb.gov.lv/pxweb/lv/sociala/sociala__nodarb__nodarb__ikgad/NBG070.px/table/tableViewLayout1/ </t>
  </si>
  <si>
    <t xml:space="preserve">https://www.fm.gov.lv/files/publiskaprivatapartneriba/Finansu%20un%20ekonomisko%20aprekinu%20veiksanai%20nepieciesamo%20makroekonomisko%20pienemumu%20un%20prognozu%20skaitliskas%20vertibas.pdf </t>
  </si>
  <si>
    <r>
      <t>i</t>
    </r>
    <r>
      <rPr>
        <vertAlign val="subscript"/>
        <sz val="11"/>
        <color theme="1"/>
        <rFont val="Calibri"/>
        <family val="2"/>
        <charset val="186"/>
      </rPr>
      <t>st</t>
    </r>
    <r>
      <rPr>
        <sz val="11"/>
        <color theme="1"/>
        <rFont val="Calibri"/>
        <family val="2"/>
        <charset val="186"/>
      </rPr>
      <t xml:space="preserve"> – viena pacienta vidējās ārstēšanas izmaksas stacionārā</t>
    </r>
  </si>
  <si>
    <r>
      <t>i</t>
    </r>
    <r>
      <rPr>
        <vertAlign val="subscript"/>
        <sz val="11"/>
        <color theme="1"/>
        <rFont val="Calibri"/>
        <family val="2"/>
        <charset val="186"/>
      </rPr>
      <t>a</t>
    </r>
    <r>
      <rPr>
        <sz val="11"/>
        <color theme="1"/>
        <rFont val="Calibri"/>
        <family val="2"/>
        <charset val="186"/>
      </rPr>
      <t xml:space="preserve"> – viena ambulatorās ārstēšanas apmeklējuma vidējās izmaksas</t>
    </r>
  </si>
  <si>
    <r>
      <t>i</t>
    </r>
    <r>
      <rPr>
        <vertAlign val="subscript"/>
        <sz val="11"/>
        <color theme="1"/>
        <rFont val="Calibri"/>
        <family val="2"/>
        <charset val="186"/>
      </rPr>
      <t>ā</t>
    </r>
    <r>
      <rPr>
        <sz val="11"/>
        <color theme="1"/>
        <rFont val="Calibri"/>
        <family val="2"/>
        <charset val="186"/>
      </rPr>
      <t xml:space="preserve"> – viena neatliekamās medicīniskās palīdzības izsaukuma vidējās izmaksas</t>
    </r>
  </si>
  <si>
    <r>
      <t>i</t>
    </r>
    <r>
      <rPr>
        <vertAlign val="subscript"/>
        <sz val="11"/>
        <color theme="1"/>
        <rFont val="Calibri"/>
        <family val="2"/>
        <charset val="186"/>
      </rPr>
      <t>r</t>
    </r>
    <r>
      <rPr>
        <sz val="11"/>
        <color theme="1"/>
        <rFont val="Calibri"/>
        <family val="2"/>
        <charset val="186"/>
      </rPr>
      <t xml:space="preserve"> – viena transportlīdzekļa remonta vidējās izmaksas</t>
    </r>
  </si>
  <si>
    <r>
      <t>i</t>
    </r>
    <r>
      <rPr>
        <vertAlign val="subscript"/>
        <sz val="11"/>
        <color theme="1"/>
        <rFont val="Calibri"/>
        <family val="2"/>
        <charset val="186"/>
      </rPr>
      <t>vp</t>
    </r>
    <r>
      <rPr>
        <sz val="11"/>
        <color theme="1"/>
        <rFont val="Calibri"/>
        <family val="2"/>
        <charset val="186"/>
      </rPr>
      <t xml:space="preserve"> – vidējās VP vienas stundas izmaksas uz 1 VP darbinieku</t>
    </r>
  </si>
  <si>
    <r>
      <t>i</t>
    </r>
    <r>
      <rPr>
        <vertAlign val="subscript"/>
        <sz val="11"/>
        <color theme="1"/>
        <rFont val="Calibri"/>
        <family val="2"/>
        <charset val="186"/>
      </rPr>
      <t>t</t>
    </r>
    <r>
      <rPr>
        <sz val="11"/>
        <color theme="1"/>
        <rFont val="Calibri"/>
        <family val="2"/>
        <charset val="186"/>
      </rPr>
      <t xml:space="preserve"> – viena tiesas darbinieka vidējās vienas stundas izmaksas</t>
    </r>
  </si>
  <si>
    <r>
      <t>i</t>
    </r>
    <r>
      <rPr>
        <vertAlign val="subscript"/>
        <sz val="11"/>
        <color theme="1"/>
        <rFont val="Calibri"/>
        <family val="2"/>
        <charset val="186"/>
      </rPr>
      <t>u</t>
    </r>
    <r>
      <rPr>
        <sz val="11"/>
        <color theme="1"/>
        <rFont val="Calibri"/>
        <family val="2"/>
        <charset val="186"/>
      </rPr>
      <t xml:space="preserve"> – viena izsaukuma vidējās VUGD izmaksas stundā</t>
    </r>
  </si>
  <si>
    <r>
      <t>i</t>
    </r>
    <r>
      <rPr>
        <vertAlign val="subscript"/>
        <sz val="11"/>
        <color theme="1"/>
        <rFont val="Calibri"/>
        <family val="2"/>
        <charset val="186"/>
      </rPr>
      <t>sp</t>
    </r>
    <r>
      <rPr>
        <sz val="11"/>
        <color theme="1"/>
        <rFont val="Calibri"/>
        <family val="2"/>
        <charset val="186"/>
      </rPr>
      <t xml:space="preserve"> – vidējais izmaksātais slimības pabalsta apmērs vienam cilvēkam</t>
    </r>
  </si>
  <si>
    <r>
      <t>i</t>
    </r>
    <r>
      <rPr>
        <vertAlign val="subscript"/>
        <sz val="11"/>
        <color theme="1"/>
        <rFont val="Calibri"/>
        <family val="2"/>
        <charset val="186"/>
      </rPr>
      <t>ārst</t>
    </r>
    <r>
      <rPr>
        <sz val="11"/>
        <color theme="1"/>
        <rFont val="Calibri"/>
        <family val="2"/>
        <charset val="186"/>
      </rPr>
      <t xml:space="preserve"> – vidējās ārstēšanās izmaksas uz vienu cietušo</t>
    </r>
  </si>
  <si>
    <r>
      <t xml:space="preserve">Centrālā statistikas pārvaldeNBL020. </t>
    </r>
    <r>
      <rPr>
        <b/>
        <sz val="8"/>
        <color theme="1"/>
        <rFont val="Calibri"/>
        <family val="2"/>
        <charset val="186"/>
      </rPr>
      <t>Nodarbinātie pa vecuma grupām un pēc dzimuma - Dzimums, Vecuma grupa un Laika periods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</si>
</sst>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%"/>
    <numFmt numFmtId="166" formatCode="0.0"/>
  </numFmts>
  <fonts count="2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2"/>
      <color theme="5"/>
      <name val="Calibri"/>
      <family val="2"/>
      <charset val="186"/>
      <scheme val="minor"/>
    </font>
    <font>
      <b/>
      <vertAlign val="subscript"/>
      <sz val="12"/>
      <color theme="5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  <font>
      <b/>
      <sz val="11"/>
      <color theme="5"/>
      <name val="Calibri"/>
      <family val="2"/>
      <charset val="186"/>
      <scheme val="minor"/>
    </font>
    <font>
      <sz val="12"/>
      <color theme="5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</font>
    <font>
      <sz val="11"/>
      <color theme="1"/>
      <name val="Calibri"/>
      <family val="2"/>
      <charset val="186"/>
    </font>
    <font>
      <sz val="11"/>
      <color rgb="FFFF0000"/>
      <name val="Calibri"/>
      <family val="2"/>
      <charset val="186"/>
    </font>
    <font>
      <vertAlign val="subscript"/>
      <sz val="11"/>
      <color theme="1"/>
      <name val="Calibri"/>
      <family val="2"/>
      <charset val="186"/>
    </font>
    <font>
      <u/>
      <sz val="11"/>
      <color theme="10"/>
      <name val="Calibri"/>
      <family val="2"/>
      <charset val="186"/>
    </font>
    <font>
      <sz val="11"/>
      <color rgb="FF000000"/>
      <name val="Calibri"/>
      <family val="2"/>
      <charset val="186"/>
    </font>
    <font>
      <sz val="10"/>
      <color rgb="FF000000"/>
      <name val="Verdana"/>
      <family val="2"/>
      <charset val="186"/>
    </font>
    <font>
      <b/>
      <sz val="8"/>
      <color theme="1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D48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Font="1" applyBorder="1"/>
    <xf numFmtId="0" fontId="0" fillId="0" borderId="0" xfId="0" applyFill="1"/>
    <xf numFmtId="3" fontId="1" fillId="0" borderId="1" xfId="0" applyNumberFormat="1" applyFont="1" applyBorder="1"/>
    <xf numFmtId="3" fontId="0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Font="1" applyBorder="1"/>
    <xf numFmtId="4" fontId="1" fillId="0" borderId="1" xfId="0" applyNumberFormat="1" applyFont="1" applyBorder="1"/>
    <xf numFmtId="0" fontId="0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/>
    <xf numFmtId="2" fontId="0" fillId="2" borderId="1" xfId="0" applyNumberFormat="1" applyFont="1" applyFill="1" applyBorder="1"/>
    <xf numFmtId="2" fontId="0" fillId="2" borderId="1" xfId="0" applyNumberFormat="1" applyFill="1" applyBorder="1"/>
    <xf numFmtId="4" fontId="0" fillId="2" borderId="1" xfId="0" applyNumberFormat="1" applyFill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3" borderId="1" xfId="0" applyFont="1" applyFill="1" applyBorder="1" applyAlignment="1">
      <alignment horizontal="center"/>
    </xf>
    <xf numFmtId="164" fontId="0" fillId="0" borderId="1" xfId="0" applyNumberFormat="1" applyFont="1" applyBorder="1"/>
    <xf numFmtId="0" fontId="0" fillId="0" borderId="1" xfId="0" applyNumberFormat="1" applyFont="1" applyBorder="1"/>
    <xf numFmtId="4" fontId="1" fillId="0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/>
    <xf numFmtId="0" fontId="9" fillId="3" borderId="1" xfId="0" applyFont="1" applyFill="1" applyBorder="1"/>
    <xf numFmtId="0" fontId="9" fillId="0" borderId="0" xfId="0" applyFont="1"/>
    <xf numFmtId="1" fontId="0" fillId="0" borderId="1" xfId="0" applyNumberFormat="1" applyFont="1" applyBorder="1"/>
    <xf numFmtId="0" fontId="0" fillId="3" borderId="1" xfId="0" applyFill="1" applyBorder="1" applyAlignment="1">
      <alignment horizontal="center"/>
    </xf>
    <xf numFmtId="10" fontId="0" fillId="0" borderId="1" xfId="0" applyNumberFormat="1" applyFont="1" applyBorder="1"/>
    <xf numFmtId="0" fontId="0" fillId="5" borderId="1" xfId="0" applyFont="1" applyFill="1" applyBorder="1"/>
    <xf numFmtId="2" fontId="0" fillId="5" borderId="1" xfId="0" applyNumberFormat="1" applyFont="1" applyFill="1" applyBorder="1"/>
    <xf numFmtId="3" fontId="0" fillId="5" borderId="1" xfId="0" applyNumberFormat="1" applyFont="1" applyFill="1" applyBorder="1"/>
    <xf numFmtId="4" fontId="1" fillId="5" borderId="1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0" fillId="6" borderId="1" xfId="0" applyFont="1" applyFill="1" applyBorder="1"/>
    <xf numFmtId="4" fontId="0" fillId="6" borderId="1" xfId="0" applyNumberFormat="1" applyFont="1" applyFill="1" applyBorder="1"/>
    <xf numFmtId="4" fontId="0" fillId="6" borderId="1" xfId="0" applyNumberFormat="1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6" borderId="1" xfId="0" applyNumberFormat="1" applyFill="1" applyBorder="1"/>
    <xf numFmtId="0" fontId="0" fillId="6" borderId="1" xfId="0" applyFill="1" applyBorder="1"/>
    <xf numFmtId="4" fontId="11" fillId="0" borderId="1" xfId="0" applyNumberFormat="1" applyFont="1" applyBorder="1"/>
    <xf numFmtId="3" fontId="9" fillId="0" borderId="0" xfId="0" applyNumberFormat="1" applyFont="1"/>
    <xf numFmtId="0" fontId="9" fillId="0" borderId="0" xfId="0" applyFont="1" applyBorder="1"/>
    <xf numFmtId="0" fontId="9" fillId="0" borderId="1" xfId="0" applyFont="1" applyFill="1" applyBorder="1"/>
    <xf numFmtId="164" fontId="1" fillId="0" borderId="1" xfId="0" applyNumberFormat="1" applyFont="1" applyBorder="1"/>
    <xf numFmtId="0" fontId="12" fillId="0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2" xfId="0" applyFont="1" applyFill="1" applyBorder="1" applyAlignment="1"/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0" xfId="0" applyFont="1" applyFill="1"/>
    <xf numFmtId="0" fontId="13" fillId="0" borderId="2" xfId="0" applyFont="1" applyFill="1" applyBorder="1"/>
    <xf numFmtId="0" fontId="13" fillId="0" borderId="1" xfId="0" applyFont="1" applyBorder="1" applyAlignment="1">
      <alignment horizontal="center"/>
    </xf>
    <xf numFmtId="3" fontId="13" fillId="4" borderId="1" xfId="0" applyNumberFormat="1" applyFont="1" applyFill="1" applyBorder="1"/>
    <xf numFmtId="0" fontId="13" fillId="0" borderId="1" xfId="0" applyFont="1" applyBorder="1"/>
    <xf numFmtId="0" fontId="13" fillId="0" borderId="2" xfId="0" applyFont="1" applyBorder="1"/>
    <xf numFmtId="3" fontId="13" fillId="0" borderId="0" xfId="0" applyNumberFormat="1" applyFont="1"/>
    <xf numFmtId="0" fontId="12" fillId="0" borderId="2" xfId="0" applyFont="1" applyFill="1" applyBorder="1"/>
    <xf numFmtId="3" fontId="13" fillId="3" borderId="1" xfId="0" applyNumberFormat="1" applyFont="1" applyFill="1" applyBorder="1"/>
    <xf numFmtId="3" fontId="14" fillId="3" borderId="1" xfId="0" applyNumberFormat="1" applyFont="1" applyFill="1" applyBorder="1"/>
    <xf numFmtId="0" fontId="13" fillId="3" borderId="1" xfId="0" applyFont="1" applyFill="1" applyBorder="1"/>
    <xf numFmtId="10" fontId="13" fillId="4" borderId="1" xfId="0" applyNumberFormat="1" applyFont="1" applyFill="1" applyBorder="1"/>
    <xf numFmtId="9" fontId="13" fillId="4" borderId="1" xfId="1" applyFont="1" applyFill="1" applyBorder="1"/>
    <xf numFmtId="165" fontId="13" fillId="4" borderId="1" xfId="1" applyNumberFormat="1" applyFont="1" applyFill="1" applyBorder="1"/>
    <xf numFmtId="0" fontId="14" fillId="3" borderId="1" xfId="0" applyFont="1" applyFill="1" applyBorder="1"/>
    <xf numFmtId="2" fontId="13" fillId="0" borderId="1" xfId="0" applyNumberFormat="1" applyFont="1" applyBorder="1"/>
    <xf numFmtId="2" fontId="13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13" fillId="0" borderId="0" xfId="0" applyNumberFormat="1" applyFont="1" applyAlignment="1">
      <alignment vertical="center" wrapText="1"/>
    </xf>
    <xf numFmtId="14" fontId="13" fillId="0" borderId="0" xfId="0" applyNumberFormat="1" applyFont="1"/>
    <xf numFmtId="165" fontId="13" fillId="0" borderId="0" xfId="1" applyNumberFormat="1" applyFont="1"/>
    <xf numFmtId="0" fontId="16" fillId="0" borderId="0" xfId="2" applyFont="1"/>
    <xf numFmtId="3" fontId="17" fillId="4" borderId="0" xfId="0" applyNumberFormat="1" applyFont="1" applyFill="1"/>
    <xf numFmtId="4" fontId="0" fillId="2" borderId="1" xfId="0" applyNumberFormat="1" applyFont="1" applyFill="1" applyBorder="1"/>
    <xf numFmtId="0" fontId="1" fillId="0" borderId="1" xfId="0" applyFont="1" applyFill="1" applyBorder="1"/>
    <xf numFmtId="2" fontId="0" fillId="6" borderId="1" xfId="0" applyNumberFormat="1" applyFont="1" applyFill="1" applyBorder="1"/>
    <xf numFmtId="166" fontId="1" fillId="0" borderId="0" xfId="0" applyNumberFormat="1" applyFont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3" fontId="18" fillId="4" borderId="1" xfId="0" applyNumberFormat="1" applyFont="1" applyFill="1" applyBorder="1"/>
    <xf numFmtId="3" fontId="0" fillId="0" borderId="0" xfId="0" applyNumberFormat="1" applyFont="1"/>
    <xf numFmtId="0" fontId="0" fillId="0" borderId="0" xfId="0" applyFont="1" applyBorder="1"/>
    <xf numFmtId="0" fontId="0" fillId="0" borderId="1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4" fontId="0" fillId="0" borderId="1" xfId="0" applyNumberFormat="1" applyFill="1" applyBorder="1"/>
    <xf numFmtId="4" fontId="0" fillId="0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D48D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1.csb.gov.lv/pxweb/lv/sociala/sociala__dsamaksa__ikgad/DSG010.px/table/tableViewLayout1/" TargetMode="External"/><Relationship Id="rId7" Type="http://schemas.openxmlformats.org/officeDocument/2006/relationships/hyperlink" Target="https://www.fm.gov.lv/files/publiskaprivatapartneriba/Finansu%20un%20ekonomisko%20aprekinu%20veiksanai%20nepieciesamo%20makroekonomisko%20pienemumu%20un%20prognozu%20skaitliskas%20vertibas.pdf" TargetMode="External"/><Relationship Id="rId2" Type="http://schemas.openxmlformats.org/officeDocument/2006/relationships/hyperlink" Target="https://data1.csb.gov.lv/pxweb/lv/sociala/sociala__dsamaksa__ikgad/DSG001.px/table/tableViewLayout1/" TargetMode="External"/><Relationship Id="rId1" Type="http://schemas.openxmlformats.org/officeDocument/2006/relationships/hyperlink" Target="https://data1.csb.gov.lv/pxweb/lv/ekfin/ekfin__ikp__IKP__ikgad/IKG10_010.px/table/tableViewLayout1/" TargetMode="External"/><Relationship Id="rId6" Type="http://schemas.openxmlformats.org/officeDocument/2006/relationships/hyperlink" Target="http://data1.csb.gov.lv/pxweb/lv/sociala/sociala__nodarb__nodarb__ikgad/NBG070.px/table/tableViewLayout1/" TargetMode="External"/><Relationship Id="rId5" Type="http://schemas.openxmlformats.org/officeDocument/2006/relationships/hyperlink" Target="http://data1.csb.gov.lv/pxweb/lv/ekfin/ekfin__PCI__ikgad/PCG021.px/table/tableViewLayout1/" TargetMode="External"/><Relationship Id="rId4" Type="http://schemas.openxmlformats.org/officeDocument/2006/relationships/hyperlink" Target="http://data1.csb.gov.lv/pxweb/lv/ekfin/ekfin__PCI__ikgad/PCG021.px/table/tableViewLayout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Normal="100" workbookViewId="0">
      <selection activeCell="G10" sqref="G10"/>
    </sheetView>
  </sheetViews>
  <sheetFormatPr defaultRowHeight="15" x14ac:dyDescent="0.25"/>
  <cols>
    <col min="1" max="1" width="69.7109375" style="67" customWidth="1"/>
    <col min="2" max="2" width="11.5703125" style="66" customWidth="1"/>
    <col min="3" max="5" width="13.42578125" style="67" customWidth="1"/>
    <col min="6" max="6" width="14" style="67" customWidth="1"/>
    <col min="7" max="7" width="15.7109375" style="67" customWidth="1"/>
    <col min="8" max="8" width="79.7109375" style="67" customWidth="1"/>
    <col min="9" max="9" width="96.5703125" style="67" customWidth="1"/>
    <col min="10" max="10" width="9.140625" style="67"/>
    <col min="11" max="11" width="13" style="67" customWidth="1"/>
    <col min="12" max="16384" width="9.140625" style="67"/>
  </cols>
  <sheetData>
    <row r="1" spans="1:11" x14ac:dyDescent="0.25">
      <c r="A1" s="65" t="s">
        <v>185</v>
      </c>
    </row>
    <row r="2" spans="1:11" s="71" customFormat="1" x14ac:dyDescent="0.25">
      <c r="A2" s="68" t="s">
        <v>206</v>
      </c>
      <c r="B2" s="69" t="s">
        <v>122</v>
      </c>
      <c r="C2" s="70">
        <v>2016</v>
      </c>
      <c r="D2" s="70">
        <f>C2+1</f>
        <v>2017</v>
      </c>
      <c r="E2" s="70">
        <f t="shared" ref="E2:G2" si="0">D2+1</f>
        <v>2018</v>
      </c>
      <c r="F2" s="70">
        <v>2019</v>
      </c>
      <c r="G2" s="70">
        <f t="shared" si="0"/>
        <v>2020</v>
      </c>
      <c r="H2" s="69" t="s">
        <v>188</v>
      </c>
    </row>
    <row r="3" spans="1:11" x14ac:dyDescent="0.25">
      <c r="A3" s="72" t="s">
        <v>0</v>
      </c>
      <c r="B3" s="73" t="s">
        <v>182</v>
      </c>
      <c r="C3" s="74">
        <v>43348</v>
      </c>
      <c r="D3" s="74">
        <v>45466</v>
      </c>
      <c r="E3" s="74">
        <v>43190</v>
      </c>
      <c r="F3" s="74">
        <v>43945</v>
      </c>
      <c r="G3" s="74">
        <v>39167</v>
      </c>
      <c r="H3" s="75" t="s">
        <v>207</v>
      </c>
    </row>
    <row r="4" spans="1:11" x14ac:dyDescent="0.25">
      <c r="A4" s="76" t="s">
        <v>1</v>
      </c>
      <c r="B4" s="73" t="s">
        <v>182</v>
      </c>
      <c r="C4" s="74">
        <v>19527</v>
      </c>
      <c r="D4" s="74">
        <v>20929</v>
      </c>
      <c r="E4" s="74">
        <v>20502</v>
      </c>
      <c r="F4" s="74">
        <v>20862</v>
      </c>
      <c r="G4" s="74">
        <v>18334</v>
      </c>
      <c r="H4" s="75" t="s">
        <v>207</v>
      </c>
    </row>
    <row r="5" spans="1:11" x14ac:dyDescent="0.25">
      <c r="A5" s="76" t="s">
        <v>117</v>
      </c>
      <c r="B5" s="73" t="s">
        <v>182</v>
      </c>
      <c r="C5" s="74">
        <v>3792</v>
      </c>
      <c r="D5" s="74">
        <v>3875</v>
      </c>
      <c r="E5" s="74">
        <v>3975</v>
      </c>
      <c r="F5" s="74">
        <v>3729</v>
      </c>
      <c r="G5" s="74">
        <v>3403</v>
      </c>
      <c r="H5" s="75" t="s">
        <v>207</v>
      </c>
    </row>
    <row r="6" spans="1:11" x14ac:dyDescent="0.25">
      <c r="A6" s="76" t="s">
        <v>2</v>
      </c>
      <c r="B6" s="73" t="s">
        <v>182</v>
      </c>
      <c r="C6" s="74">
        <v>4648</v>
      </c>
      <c r="D6" s="74">
        <v>4824</v>
      </c>
      <c r="E6" s="74">
        <v>4798</v>
      </c>
      <c r="F6" s="74">
        <v>4559</v>
      </c>
      <c r="G6" s="74">
        <v>4059</v>
      </c>
      <c r="H6" s="75" t="s">
        <v>207</v>
      </c>
    </row>
    <row r="7" spans="1:11" x14ac:dyDescent="0.25">
      <c r="A7" s="76" t="s">
        <v>3</v>
      </c>
      <c r="B7" s="73" t="s">
        <v>182</v>
      </c>
      <c r="C7" s="74">
        <f>C6-C8</f>
        <v>4123</v>
      </c>
      <c r="D7" s="74">
        <f t="shared" ref="D7:G7" si="1">D6-D8</f>
        <v>4328</v>
      </c>
      <c r="E7" s="74">
        <f t="shared" si="1"/>
        <v>4256</v>
      </c>
      <c r="F7" s="74">
        <f t="shared" si="1"/>
        <v>4098</v>
      </c>
      <c r="G7" s="74">
        <f t="shared" si="1"/>
        <v>3568</v>
      </c>
      <c r="H7" s="75" t="s">
        <v>207</v>
      </c>
      <c r="J7" s="77"/>
    </row>
    <row r="8" spans="1:11" x14ac:dyDescent="0.25">
      <c r="A8" s="76" t="s">
        <v>4</v>
      </c>
      <c r="B8" s="73" t="s">
        <v>182</v>
      </c>
      <c r="C8" s="74">
        <v>525</v>
      </c>
      <c r="D8" s="74">
        <v>496</v>
      </c>
      <c r="E8" s="74">
        <v>542</v>
      </c>
      <c r="F8" s="74">
        <v>461</v>
      </c>
      <c r="G8" s="74">
        <v>491</v>
      </c>
      <c r="H8" s="75" t="s">
        <v>207</v>
      </c>
    </row>
    <row r="9" spans="1:11" x14ac:dyDescent="0.25">
      <c r="A9" s="76" t="s">
        <v>5</v>
      </c>
      <c r="B9" s="73" t="s">
        <v>182</v>
      </c>
      <c r="C9" s="74">
        <v>158</v>
      </c>
      <c r="D9" s="74">
        <v>136</v>
      </c>
      <c r="E9" s="74">
        <v>148</v>
      </c>
      <c r="F9" s="74">
        <v>132</v>
      </c>
      <c r="G9" s="74">
        <v>139</v>
      </c>
      <c r="H9" s="75" t="s">
        <v>207</v>
      </c>
    </row>
    <row r="10" spans="1:11" x14ac:dyDescent="0.25">
      <c r="A10" s="76" t="s">
        <v>105</v>
      </c>
      <c r="B10" s="73" t="s">
        <v>182</v>
      </c>
      <c r="C10" s="74">
        <v>32273</v>
      </c>
      <c r="D10" s="74">
        <v>34067</v>
      </c>
      <c r="E10" s="74">
        <v>32839</v>
      </c>
      <c r="F10" s="74">
        <v>36484</v>
      </c>
      <c r="G10" s="74">
        <v>32424</v>
      </c>
      <c r="H10" s="75" t="s">
        <v>207</v>
      </c>
    </row>
    <row r="11" spans="1:11" x14ac:dyDescent="0.25">
      <c r="A11" s="76" t="s">
        <v>198</v>
      </c>
      <c r="B11" s="73" t="s">
        <v>182</v>
      </c>
      <c r="C11" s="74">
        <f>C3-C4</f>
        <v>23821</v>
      </c>
      <c r="D11" s="74">
        <f>D3-D4</f>
        <v>24537</v>
      </c>
      <c r="E11" s="74">
        <f>E3-E4</f>
        <v>22688</v>
      </c>
      <c r="F11" s="74">
        <v>23083</v>
      </c>
      <c r="G11" s="74">
        <v>20833</v>
      </c>
      <c r="H11" s="75" t="s">
        <v>207</v>
      </c>
    </row>
    <row r="12" spans="1:11" s="71" customFormat="1" x14ac:dyDescent="0.25">
      <c r="A12" s="78" t="s">
        <v>208</v>
      </c>
      <c r="B12" s="70"/>
      <c r="C12" s="79"/>
      <c r="D12" s="80"/>
      <c r="E12" s="80"/>
      <c r="F12" s="80"/>
      <c r="G12" s="80"/>
      <c r="H12" s="81"/>
    </row>
    <row r="13" spans="1:11" x14ac:dyDescent="0.25">
      <c r="A13" s="76" t="s">
        <v>7</v>
      </c>
      <c r="B13" s="73" t="s">
        <v>123</v>
      </c>
      <c r="C13" s="74">
        <v>721</v>
      </c>
      <c r="D13" s="74">
        <v>925.06534090909088</v>
      </c>
      <c r="E13" s="74">
        <v>880.63656146179301</v>
      </c>
      <c r="F13" s="74">
        <v>910</v>
      </c>
      <c r="G13" s="74">
        <v>911</v>
      </c>
      <c r="H13" s="75" t="s">
        <v>183</v>
      </c>
    </row>
    <row r="14" spans="1:11" x14ac:dyDescent="0.25">
      <c r="A14" s="76" t="s">
        <v>11</v>
      </c>
      <c r="B14" s="73" t="s">
        <v>123</v>
      </c>
      <c r="C14" s="74">
        <v>1433209</v>
      </c>
      <c r="D14" s="74">
        <v>1656689.01</v>
      </c>
      <c r="E14" s="74">
        <v>2948761</v>
      </c>
      <c r="F14" s="74">
        <v>2244002</v>
      </c>
      <c r="G14" s="74">
        <v>2303796</v>
      </c>
      <c r="H14" s="75" t="s">
        <v>183</v>
      </c>
      <c r="I14" s="91"/>
      <c r="K14" s="77"/>
    </row>
    <row r="15" spans="1:11" x14ac:dyDescent="0.25">
      <c r="A15" s="76" t="s">
        <v>8</v>
      </c>
      <c r="B15" s="73" t="s">
        <v>123</v>
      </c>
      <c r="C15" s="74">
        <v>109030</v>
      </c>
      <c r="D15" s="74">
        <v>119922.96</v>
      </c>
      <c r="E15" s="74">
        <v>39362.32</v>
      </c>
      <c r="F15" s="74">
        <v>102202</v>
      </c>
      <c r="G15" s="74">
        <v>67822</v>
      </c>
      <c r="H15" s="75" t="s">
        <v>183</v>
      </c>
      <c r="I15" s="91"/>
      <c r="K15" s="77"/>
    </row>
    <row r="16" spans="1:11" x14ac:dyDescent="0.25">
      <c r="A16" s="76" t="s">
        <v>9</v>
      </c>
      <c r="B16" s="73" t="s">
        <v>123</v>
      </c>
      <c r="C16" s="74">
        <v>6742</v>
      </c>
      <c r="D16" s="74">
        <v>1441.14</v>
      </c>
      <c r="E16" s="74">
        <v>3.61</v>
      </c>
      <c r="F16" s="74">
        <v>0</v>
      </c>
      <c r="G16" s="74">
        <v>3527</v>
      </c>
      <c r="H16" s="75" t="s">
        <v>183</v>
      </c>
      <c r="I16" s="92"/>
      <c r="J16" s="92"/>
    </row>
    <row r="17" spans="1:9" x14ac:dyDescent="0.25">
      <c r="A17" s="76" t="s">
        <v>10</v>
      </c>
      <c r="B17" s="73" t="s">
        <v>123</v>
      </c>
      <c r="C17" s="74">
        <v>1024</v>
      </c>
      <c r="D17" s="74">
        <v>825.7116666666667</v>
      </c>
      <c r="E17" s="74">
        <v>1359.29421428571</v>
      </c>
      <c r="F17" s="74">
        <v>527</v>
      </c>
      <c r="G17" s="74">
        <v>463</v>
      </c>
      <c r="H17" s="75" t="s">
        <v>183</v>
      </c>
    </row>
    <row r="18" spans="1:9" x14ac:dyDescent="0.25">
      <c r="A18" s="76" t="s">
        <v>106</v>
      </c>
      <c r="B18" s="73" t="s">
        <v>123</v>
      </c>
      <c r="C18" s="74">
        <v>46176660</v>
      </c>
      <c r="D18" s="74">
        <v>49876634</v>
      </c>
      <c r="E18" s="74">
        <v>70413091</v>
      </c>
      <c r="F18" s="74">
        <v>74761996</v>
      </c>
      <c r="G18" s="74">
        <v>75762996</v>
      </c>
      <c r="H18" s="75" t="s">
        <v>183</v>
      </c>
    </row>
    <row r="19" spans="1:9" s="71" customFormat="1" x14ac:dyDescent="0.25">
      <c r="A19" s="78" t="s">
        <v>12</v>
      </c>
      <c r="B19" s="70"/>
      <c r="C19" s="79"/>
      <c r="D19" s="80"/>
      <c r="E19" s="80"/>
      <c r="F19" s="80"/>
      <c r="G19" s="80"/>
      <c r="H19" s="81"/>
    </row>
    <row r="20" spans="1:9" x14ac:dyDescent="0.25">
      <c r="A20" s="76" t="s">
        <v>137</v>
      </c>
      <c r="B20" s="73" t="s">
        <v>123</v>
      </c>
      <c r="C20" s="74">
        <v>370</v>
      </c>
      <c r="D20" s="74">
        <v>380</v>
      </c>
      <c r="E20" s="74">
        <v>430</v>
      </c>
      <c r="F20" s="74">
        <v>430</v>
      </c>
      <c r="G20" s="74">
        <v>430</v>
      </c>
      <c r="H20" s="75" t="s">
        <v>189</v>
      </c>
      <c r="I20" s="93" t="s">
        <v>210</v>
      </c>
    </row>
    <row r="21" spans="1:9" x14ac:dyDescent="0.25">
      <c r="A21" s="76" t="s">
        <v>6</v>
      </c>
      <c r="B21" s="73" t="s">
        <v>123</v>
      </c>
      <c r="C21" s="74">
        <v>859</v>
      </c>
      <c r="D21" s="74">
        <v>926</v>
      </c>
      <c r="E21" s="74">
        <v>1004</v>
      </c>
      <c r="F21" s="74">
        <v>1076</v>
      </c>
      <c r="G21" s="74">
        <v>1096</v>
      </c>
      <c r="H21" s="75" t="s">
        <v>186</v>
      </c>
      <c r="I21" s="93" t="s">
        <v>211</v>
      </c>
    </row>
    <row r="22" spans="1:9" x14ac:dyDescent="0.25">
      <c r="A22" s="76" t="s">
        <v>178</v>
      </c>
      <c r="B22" s="73" t="s">
        <v>123</v>
      </c>
      <c r="C22" s="74">
        <v>25072638000</v>
      </c>
      <c r="D22" s="74">
        <v>26797833000</v>
      </c>
      <c r="E22" s="74">
        <v>29151030000</v>
      </c>
      <c r="F22" s="94">
        <v>30476087000</v>
      </c>
      <c r="G22" s="103">
        <v>29334004000</v>
      </c>
      <c r="H22" s="75" t="s">
        <v>186</v>
      </c>
      <c r="I22" s="93" t="s">
        <v>209</v>
      </c>
    </row>
    <row r="23" spans="1:9" x14ac:dyDescent="0.25">
      <c r="A23" s="76" t="s">
        <v>13</v>
      </c>
      <c r="B23" s="73" t="s">
        <v>124</v>
      </c>
      <c r="C23" s="82">
        <v>0.03</v>
      </c>
      <c r="D23" s="82">
        <v>0.03</v>
      </c>
      <c r="E23" s="82">
        <v>0.03</v>
      </c>
      <c r="F23" s="82">
        <v>0.03</v>
      </c>
      <c r="G23" s="82">
        <v>0.03</v>
      </c>
      <c r="H23" s="75" t="s">
        <v>190</v>
      </c>
      <c r="I23" s="93" t="s">
        <v>214</v>
      </c>
    </row>
    <row r="24" spans="1:9" x14ac:dyDescent="0.25">
      <c r="A24" s="76" t="s">
        <v>14</v>
      </c>
      <c r="B24" s="73" t="s">
        <v>124</v>
      </c>
      <c r="C24" s="82">
        <v>0.04</v>
      </c>
      <c r="D24" s="82">
        <v>0.04</v>
      </c>
      <c r="E24" s="82">
        <v>0.04</v>
      </c>
      <c r="F24" s="82">
        <v>0.04</v>
      </c>
      <c r="G24" s="82">
        <v>0.04</v>
      </c>
      <c r="H24" s="75" t="s">
        <v>187</v>
      </c>
    </row>
    <row r="25" spans="1:9" x14ac:dyDescent="0.25">
      <c r="A25" s="76" t="s">
        <v>179</v>
      </c>
      <c r="B25" s="73" t="s">
        <v>182</v>
      </c>
      <c r="C25" s="74">
        <v>893300</v>
      </c>
      <c r="D25" s="74">
        <v>894800</v>
      </c>
      <c r="E25" s="74">
        <v>909400</v>
      </c>
      <c r="F25" s="74">
        <v>910000</v>
      </c>
      <c r="G25" s="74">
        <v>893000</v>
      </c>
      <c r="H25" s="75" t="s">
        <v>224</v>
      </c>
      <c r="I25" s="93" t="s">
        <v>213</v>
      </c>
    </row>
    <row r="26" spans="1:9" x14ac:dyDescent="0.25">
      <c r="A26" s="76" t="s">
        <v>191</v>
      </c>
      <c r="B26" s="73" t="s">
        <v>124</v>
      </c>
      <c r="C26" s="83">
        <v>0</v>
      </c>
      <c r="D26" s="84">
        <v>2.9000000000000001E-2</v>
      </c>
      <c r="E26" s="84">
        <v>2.5000000000000001E-2</v>
      </c>
      <c r="F26" s="84">
        <v>2.8000000000000001E-2</v>
      </c>
      <c r="G26" s="84">
        <v>-5.0000000000000001E-3</v>
      </c>
      <c r="H26" s="75" t="s">
        <v>186</v>
      </c>
      <c r="I26" s="93" t="s">
        <v>212</v>
      </c>
    </row>
    <row r="27" spans="1:9" x14ac:dyDescent="0.25">
      <c r="A27" s="76" t="s">
        <v>192</v>
      </c>
      <c r="B27" s="73" t="s">
        <v>124</v>
      </c>
      <c r="C27" s="83">
        <v>0</v>
      </c>
      <c r="D27" s="84">
        <v>7.9000000000000001E-2</v>
      </c>
      <c r="E27" s="84">
        <v>8.4000000000000005E-2</v>
      </c>
      <c r="F27" s="84">
        <v>7.1999999999999995E-2</v>
      </c>
      <c r="G27" s="84">
        <v>6.2E-2</v>
      </c>
      <c r="H27" s="75" t="s">
        <v>186</v>
      </c>
      <c r="I27" s="93" t="s">
        <v>212</v>
      </c>
    </row>
    <row r="28" spans="1:9" s="71" customFormat="1" x14ac:dyDescent="0.25">
      <c r="A28" s="78" t="s">
        <v>134</v>
      </c>
      <c r="B28" s="69"/>
      <c r="C28" s="81"/>
      <c r="D28" s="85"/>
      <c r="E28" s="85"/>
      <c r="F28" s="85"/>
      <c r="G28" s="85"/>
      <c r="H28" s="81"/>
    </row>
    <row r="29" spans="1:9" x14ac:dyDescent="0.25">
      <c r="A29" s="72" t="s">
        <v>135</v>
      </c>
      <c r="B29" s="73" t="s">
        <v>123</v>
      </c>
      <c r="C29" s="75">
        <v>64.03</v>
      </c>
      <c r="D29" s="75">
        <v>64.03</v>
      </c>
      <c r="E29" s="75">
        <v>64.03</v>
      </c>
      <c r="F29" s="75">
        <v>64.03</v>
      </c>
      <c r="G29" s="75">
        <v>64.03</v>
      </c>
      <c r="H29" s="75" t="s">
        <v>195</v>
      </c>
    </row>
    <row r="30" spans="1:9" ht="18" x14ac:dyDescent="0.35">
      <c r="A30" s="76" t="s">
        <v>215</v>
      </c>
      <c r="B30" s="73" t="s">
        <v>123</v>
      </c>
      <c r="C30" s="86">
        <f>786.12*(1+C26)</f>
        <v>786.12</v>
      </c>
      <c r="D30" s="86">
        <f>786.12*(1+D26)</f>
        <v>808.91747999999995</v>
      </c>
      <c r="E30" s="86">
        <f>786.12*(1+E26)</f>
        <v>805.77299999999991</v>
      </c>
      <c r="F30" s="86">
        <f>786.12*(1+F26)</f>
        <v>808.13135999999997</v>
      </c>
      <c r="G30" s="86">
        <f>786.12*(1+G26)</f>
        <v>782.18939999999998</v>
      </c>
      <c r="H30" s="75" t="s">
        <v>194</v>
      </c>
    </row>
    <row r="31" spans="1:9" ht="18" x14ac:dyDescent="0.35">
      <c r="A31" s="76" t="s">
        <v>216</v>
      </c>
      <c r="B31" s="73" t="s">
        <v>123</v>
      </c>
      <c r="C31" s="86">
        <f>13.1807*(1+C26)</f>
        <v>13.1807</v>
      </c>
      <c r="D31" s="86">
        <f>13.1807*(1+D26)</f>
        <v>13.562940299999999</v>
      </c>
      <c r="E31" s="86">
        <f>13.1807*(1+E26)</f>
        <v>13.5102175</v>
      </c>
      <c r="F31" s="86">
        <f>13.1807*(1+F26)</f>
        <v>13.5497596</v>
      </c>
      <c r="G31" s="86">
        <f>13.1807*(1+G26)</f>
        <v>13.114796500000001</v>
      </c>
      <c r="H31" s="75" t="s">
        <v>194</v>
      </c>
    </row>
    <row r="32" spans="1:9" ht="18" x14ac:dyDescent="0.35">
      <c r="A32" s="76" t="s">
        <v>217</v>
      </c>
      <c r="B32" s="73" t="s">
        <v>123</v>
      </c>
      <c r="C32" s="86">
        <f>116.214*(1+C26)</f>
        <v>116.214</v>
      </c>
      <c r="D32" s="86">
        <f>116.214*(1+D26)</f>
        <v>119.58420599999999</v>
      </c>
      <c r="E32" s="86">
        <f>116.214*(1+E26)</f>
        <v>119.11934999999998</v>
      </c>
      <c r="F32" s="86">
        <f>116.214*(1+F26)</f>
        <v>119.467992</v>
      </c>
      <c r="G32" s="86">
        <f>116.214*(1+G26)</f>
        <v>115.63293</v>
      </c>
      <c r="H32" s="75" t="s">
        <v>194</v>
      </c>
    </row>
    <row r="33" spans="1:8" ht="18" x14ac:dyDescent="0.35">
      <c r="A33" s="67" t="s">
        <v>218</v>
      </c>
      <c r="B33" s="73" t="s">
        <v>123</v>
      </c>
      <c r="C33" s="86">
        <f>937.55*(1+C26)</f>
        <v>937.55</v>
      </c>
      <c r="D33" s="86">
        <f>937.55*(1+D26)</f>
        <v>964.73894999999982</v>
      </c>
      <c r="E33" s="86">
        <f>937.55*(1+E26)</f>
        <v>960.98874999999987</v>
      </c>
      <c r="F33" s="86">
        <f>937.55*(1+F26)</f>
        <v>963.80139999999994</v>
      </c>
      <c r="G33" s="86">
        <f>937.55*(1+G26)</f>
        <v>932.8622499999999</v>
      </c>
      <c r="H33" s="75" t="s">
        <v>194</v>
      </c>
    </row>
    <row r="34" spans="1:8" ht="18" x14ac:dyDescent="0.35">
      <c r="A34" s="76" t="s">
        <v>219</v>
      </c>
      <c r="B34" s="73" t="s">
        <v>123</v>
      </c>
      <c r="C34" s="75">
        <f>9.138*(1+C27)</f>
        <v>9.1379999999999999</v>
      </c>
      <c r="D34" s="75">
        <f>9.138*(1+D27)</f>
        <v>9.8599019999999999</v>
      </c>
      <c r="E34" s="75">
        <f>9.138*(1+E27)</f>
        <v>9.9055920000000004</v>
      </c>
      <c r="F34" s="75">
        <f>9.138*(1+F27)</f>
        <v>9.7959360000000011</v>
      </c>
      <c r="G34" s="75">
        <f>9.138*(1+G27)</f>
        <v>9.7045560000000002</v>
      </c>
      <c r="H34" s="75" t="s">
        <v>193</v>
      </c>
    </row>
    <row r="35" spans="1:8" ht="18" x14ac:dyDescent="0.35">
      <c r="A35" s="76" t="s">
        <v>220</v>
      </c>
      <c r="B35" s="73" t="s">
        <v>123</v>
      </c>
      <c r="C35" s="86">
        <f>6.05*(1+C27)</f>
        <v>6.05</v>
      </c>
      <c r="D35" s="86">
        <f>6.05*(1+D27)</f>
        <v>6.5279499999999997</v>
      </c>
      <c r="E35" s="86">
        <f>6.05*(1+E27)</f>
        <v>6.5582000000000003</v>
      </c>
      <c r="F35" s="86">
        <f>6.05*(1+F27)</f>
        <v>6.4855999999999998</v>
      </c>
      <c r="G35" s="86">
        <f>6.05*(1+G27)</f>
        <v>6.4251000000000005</v>
      </c>
      <c r="H35" s="75" t="s">
        <v>193</v>
      </c>
    </row>
    <row r="36" spans="1:8" ht="18" x14ac:dyDescent="0.35">
      <c r="A36" s="76" t="s">
        <v>221</v>
      </c>
      <c r="B36" s="73" t="s">
        <v>123</v>
      </c>
      <c r="C36" s="86">
        <f>118.78*(1+C26)</f>
        <v>118.78</v>
      </c>
      <c r="D36" s="86">
        <f>118.78*(1+D26)</f>
        <v>122.22461999999999</v>
      </c>
      <c r="E36" s="86">
        <f>118.78*(1+E26)</f>
        <v>121.7495</v>
      </c>
      <c r="F36" s="86">
        <f>118.78*(1+F26)</f>
        <v>122.10584</v>
      </c>
      <c r="G36" s="86">
        <f>118.78*(1+G26)</f>
        <v>118.1861</v>
      </c>
      <c r="H36" s="75" t="s">
        <v>194</v>
      </c>
    </row>
    <row r="37" spans="1:8" ht="18" x14ac:dyDescent="0.35">
      <c r="A37" s="76" t="s">
        <v>222</v>
      </c>
      <c r="B37" s="73" t="s">
        <v>123</v>
      </c>
      <c r="C37" s="75">
        <f>613.64*(1+C27)</f>
        <v>613.64</v>
      </c>
      <c r="D37" s="75">
        <f>613.64*(1+D27)</f>
        <v>662.11755999999991</v>
      </c>
      <c r="E37" s="75">
        <f>613.64*(1+E27)</f>
        <v>665.18576000000007</v>
      </c>
      <c r="F37" s="75">
        <f>613.64*(1+F27)</f>
        <v>657.82208000000003</v>
      </c>
      <c r="G37" s="75">
        <f>613.64*(1+G27)</f>
        <v>651.68568000000005</v>
      </c>
      <c r="H37" s="75" t="s">
        <v>193</v>
      </c>
    </row>
    <row r="38" spans="1:8" ht="18" x14ac:dyDescent="0.35">
      <c r="A38" s="75" t="s">
        <v>223</v>
      </c>
      <c r="B38" s="73" t="s">
        <v>123</v>
      </c>
      <c r="C38" s="86">
        <f>1271*(1+C26)</f>
        <v>1271</v>
      </c>
      <c r="D38" s="86">
        <f>1271*(1+D26)</f>
        <v>1307.8589999999999</v>
      </c>
      <c r="E38" s="86">
        <f>1271*(1+E26)</f>
        <v>1302.7749999999999</v>
      </c>
      <c r="F38" s="86">
        <f>1271*(1+F26)</f>
        <v>1306.588</v>
      </c>
      <c r="G38" s="86">
        <f>1271*(1+G26)</f>
        <v>1264.645</v>
      </c>
      <c r="H38" s="75" t="s">
        <v>194</v>
      </c>
    </row>
    <row r="39" spans="1:8" x14ac:dyDescent="0.25">
      <c r="C39" s="87"/>
    </row>
    <row r="40" spans="1:8" x14ac:dyDescent="0.25">
      <c r="H40" s="87" t="s">
        <v>184</v>
      </c>
    </row>
    <row r="41" spans="1:8" x14ac:dyDescent="0.25">
      <c r="C41" s="87"/>
    </row>
    <row r="42" spans="1:8" x14ac:dyDescent="0.25">
      <c r="C42" s="88"/>
      <c r="D42" s="89"/>
      <c r="E42" s="89"/>
      <c r="F42" s="89"/>
      <c r="G42" s="89"/>
    </row>
    <row r="43" spans="1:8" x14ac:dyDescent="0.25">
      <c r="B43" s="88"/>
      <c r="C43" s="90"/>
    </row>
    <row r="44" spans="1:8" x14ac:dyDescent="0.25">
      <c r="B44" s="88"/>
      <c r="C44" s="90"/>
    </row>
    <row r="45" spans="1:8" x14ac:dyDescent="0.25">
      <c r="B45" s="88"/>
      <c r="C45" s="90"/>
    </row>
    <row r="46" spans="1:8" x14ac:dyDescent="0.25">
      <c r="C46" s="87"/>
    </row>
  </sheetData>
  <hyperlinks>
    <hyperlink ref="I22" r:id="rId1"/>
    <hyperlink ref="I20" r:id="rId2"/>
    <hyperlink ref="I21" r:id="rId3"/>
    <hyperlink ref="I26" r:id="rId4"/>
    <hyperlink ref="I27" r:id="rId5"/>
    <hyperlink ref="I25" r:id="rId6"/>
    <hyperlink ref="I2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30"/>
  <sheetViews>
    <sheetView workbookViewId="0">
      <selection activeCell="L20" sqref="L20"/>
    </sheetView>
  </sheetViews>
  <sheetFormatPr defaultRowHeight="15" x14ac:dyDescent="0.25"/>
  <cols>
    <col min="2" max="4" width="15.140625" customWidth="1"/>
    <col min="5" max="5" width="17.140625" customWidth="1"/>
    <col min="6" max="6" width="15.140625" customWidth="1"/>
    <col min="7" max="7" width="10.5703125" bestFit="1" customWidth="1"/>
  </cols>
  <sheetData>
    <row r="1" spans="1:7" x14ac:dyDescent="0.25">
      <c r="A1" s="5" t="s">
        <v>149</v>
      </c>
    </row>
    <row r="2" spans="1:7" s="57" customFormat="1" x14ac:dyDescent="0.25">
      <c r="A2" s="41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7" x14ac:dyDescent="0.25">
      <c r="A3" s="6" t="s">
        <v>150</v>
      </c>
      <c r="B3" s="14">
        <f>Medic_TZ11!B6+Medic_TZ11!B18+Medic_TZ11!B26+Medic_TZ11!B33</f>
        <v>1345748.7062599999</v>
      </c>
      <c r="C3" s="14">
        <f>Medic_TZ11!C6+Medic_TZ11!C18+Medic_TZ11!C26+Medic_TZ11!C33</f>
        <v>1362116.7126992801</v>
      </c>
      <c r="D3" s="14">
        <f>Medic_TZ11!D6+Medic_TZ11!D18+Medic_TZ11!D26+Medic_TZ11!D33</f>
        <v>1428721.4563410827</v>
      </c>
      <c r="E3" s="14">
        <f>Medic_TZ11!E6+Medic_TZ11!E18+Medic_TZ11!E26+Medic_TZ11!E33</f>
        <v>1282374.0087675201</v>
      </c>
      <c r="F3" s="15">
        <f>Medic_TZ11!F6+Medic_TZ11!F18+Medic_TZ11!F26+Medic_TZ11!F33</f>
        <v>1215565.1500086</v>
      </c>
    </row>
    <row r="4" spans="1:7" x14ac:dyDescent="0.25">
      <c r="A4" s="6" t="s">
        <v>151</v>
      </c>
      <c r="B4" s="14">
        <f>Auto_TZ12!B5+Auto_TZ12!B13+Auto_TZ12!B20</f>
        <v>78540820.989999995</v>
      </c>
      <c r="C4" s="14">
        <f>Auto_TZ12!C5+Auto_TZ12!C13+Auto_TZ12!C20</f>
        <v>84754763.882256806</v>
      </c>
      <c r="D4" s="14">
        <f>Auto_TZ12!D5+Auto_TZ12!D13+Auto_TZ12!D20</f>
        <v>80631501.992820412</v>
      </c>
      <c r="E4" s="14">
        <f>Auto_TZ12!E5+Auto_TZ12!E13+Auto_TZ12!E20</f>
        <v>84712003.709999993</v>
      </c>
      <c r="F4" s="15">
        <f>Auto_TZ12!F5+Auto_TZ12!F13+Auto_TZ12!F20</f>
        <v>73917237.742499992</v>
      </c>
    </row>
    <row r="5" spans="1:7" x14ac:dyDescent="0.25">
      <c r="A5" s="6" t="s">
        <v>152</v>
      </c>
      <c r="B5" s="14">
        <f>Administr_TZ13!B8+Administr_TZ13!B17+Administr_TZ13!B27+Administr_TZ13!B37+Administr_TZ13!B43</f>
        <v>4748908.0472208001</v>
      </c>
      <c r="C5" s="14">
        <f>Administr_TZ13!C8+Administr_TZ13!C17+Administr_TZ13!C27+Administr_TZ13!C37+Administr_TZ13!C43</f>
        <v>5208563.5569631662</v>
      </c>
      <c r="D5" s="14">
        <f>Administr_TZ13!D8+Administr_TZ13!D17+Administr_TZ13!D27+Administr_TZ13!D37+Administr_TZ13!D43</f>
        <v>6550466.6639820803</v>
      </c>
      <c r="E5" s="14">
        <f>Administr_TZ13!E8+Administr_TZ13!E17+Administr_TZ13!E27+Administr_TZ13!E37+Administr_TZ13!E43</f>
        <v>6778730.5235231742</v>
      </c>
      <c r="F5" s="15">
        <f>Administr_TZ13!F8+Administr_TZ13!F17+Administr_TZ13!F27+Administr_TZ13!F37+Administr_TZ13!F43</f>
        <v>6618355.5062328316</v>
      </c>
    </row>
    <row r="6" spans="1:7" x14ac:dyDescent="0.25">
      <c r="A6" s="6" t="s">
        <v>153</v>
      </c>
      <c r="B6" s="14">
        <f>Dzives_Kvalit_TZ14!B10+Dzives_Kvalit_TZ14!B23+Dzives_Kvalit_TZ14!B33+Dzives_Kvalit_TZ14!B48+Dzives_Kvalit_TZ14!B56+Dzives_Kvalit_TZ14!B63</f>
        <v>23702351.180415999</v>
      </c>
      <c r="C6" s="14">
        <f>Dzives_Kvalit_TZ14!C10+Dzives_Kvalit_TZ14!C23+Dzives_Kvalit_TZ14!C33+Dzives_Kvalit_TZ14!C48+Dzives_Kvalit_TZ14!C56+Dzives_Kvalit_TZ14!C63</f>
        <v>25011563.484735999</v>
      </c>
      <c r="D6" s="14">
        <f>Dzives_Kvalit_TZ14!D10+Dzives_Kvalit_TZ14!D23+Dzives_Kvalit_TZ14!D33+Dzives_Kvalit_TZ14!D48+Dzives_Kvalit_TZ14!D56+Dzives_Kvalit_TZ14!D63</f>
        <v>27960223.084256001</v>
      </c>
      <c r="E6" s="14">
        <f>Dzives_Kvalit_TZ14!E10+Dzives_Kvalit_TZ14!E23+Dzives_Kvalit_TZ14!E33+Dzives_Kvalit_TZ14!E48+Dzives_Kvalit_TZ14!E56+Dzives_Kvalit_TZ14!E63</f>
        <v>26421900.943056002</v>
      </c>
      <c r="F6" s="15">
        <f>Dzives_Kvalit_TZ14!F10+Dzives_Kvalit_TZ14!F23+Dzives_Kvalit_TZ14!F33+Dzives_Kvalit_TZ14!F48+Dzives_Kvalit_TZ14!F56+Dzives_Kvalit_TZ14!F63</f>
        <v>24583767.211936001</v>
      </c>
    </row>
    <row r="7" spans="1:7" x14ac:dyDescent="0.25">
      <c r="A7" s="6" t="s">
        <v>154</v>
      </c>
      <c r="B7" s="14">
        <f>Citas_TZ15!B5</f>
        <v>271444</v>
      </c>
      <c r="C7" s="14">
        <f>Citas_TZ15!C5</f>
        <v>251872</v>
      </c>
      <c r="D7" s="14">
        <f>Citas_TZ15!D5</f>
        <v>297184</v>
      </c>
      <c r="E7" s="14">
        <f>Citas_TZ15!E5</f>
        <v>284064</v>
      </c>
      <c r="F7" s="15">
        <f>Citas_TZ15!F5</f>
        <v>304688</v>
      </c>
    </row>
    <row r="8" spans="1:7" x14ac:dyDescent="0.25">
      <c r="A8" s="6" t="s">
        <v>155</v>
      </c>
      <c r="B8" s="14">
        <f>Netiesas_TZ2!B8+Netiesas_TZ2!B30+Netiesas_TZ2!B38+Netiesas_TZ2!B46</f>
        <v>106974686.7994495</v>
      </c>
      <c r="C8" s="14">
        <f>Netiesas_TZ2!C8+Netiesas_TZ2!C30+Netiesas_TZ2!C38+Netiesas_TZ2!C46</f>
        <v>100090301.5155241</v>
      </c>
      <c r="D8" s="14">
        <f>Netiesas_TZ2!D8+Netiesas_TZ2!D30+Netiesas_TZ2!D38+Netiesas_TZ2!D46</f>
        <v>110162867.71058245</v>
      </c>
      <c r="E8" s="14">
        <f>Netiesas_TZ2!E8+Netiesas_TZ2!E30+Netiesas_TZ2!E38+Netiesas_TZ2!E46</f>
        <v>103908595.19694489</v>
      </c>
      <c r="F8" s="15">
        <f>Netiesas_TZ2!F8+Netiesas_TZ2!F30+Netiesas_TZ2!F38+Netiesas_TZ2!F46</f>
        <v>102656138.98301274</v>
      </c>
    </row>
    <row r="9" spans="1:7" s="2" customFormat="1" x14ac:dyDescent="0.25">
      <c r="A9" s="7" t="s">
        <v>156</v>
      </c>
      <c r="B9" s="16">
        <f>SUM(B3:B8)</f>
        <v>215583959.72334629</v>
      </c>
      <c r="C9" s="16">
        <f t="shared" ref="C9:D9" si="0">SUM(C3:C8)</f>
        <v>216679181.15217936</v>
      </c>
      <c r="D9" s="16">
        <f t="shared" si="0"/>
        <v>227030964.90798205</v>
      </c>
      <c r="E9" s="64">
        <f t="shared" ref="E9:F9" si="1">SUM(E3:E8)</f>
        <v>223387668.38229156</v>
      </c>
      <c r="F9" s="64">
        <f t="shared" si="1"/>
        <v>209295752.59369016</v>
      </c>
      <c r="G9" s="98"/>
    </row>
    <row r="11" spans="1:7" x14ac:dyDescent="0.25">
      <c r="A11" t="s">
        <v>157</v>
      </c>
    </row>
    <row r="12" spans="1:7" x14ac:dyDescent="0.25">
      <c r="A12" t="s">
        <v>158</v>
      </c>
    </row>
    <row r="13" spans="1:7" x14ac:dyDescent="0.25">
      <c r="A13" t="s">
        <v>159</v>
      </c>
    </row>
    <row r="14" spans="1:7" x14ac:dyDescent="0.25">
      <c r="A14" t="s">
        <v>199</v>
      </c>
    </row>
    <row r="15" spans="1:7" x14ac:dyDescent="0.25">
      <c r="A15" t="s">
        <v>160</v>
      </c>
    </row>
    <row r="16" spans="1:7" x14ac:dyDescent="0.25">
      <c r="A16" t="s">
        <v>161</v>
      </c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07" t="s">
        <v>176</v>
      </c>
      <c r="B18" s="108"/>
      <c r="C18" s="108"/>
      <c r="D18" s="108"/>
      <c r="E18" s="108"/>
      <c r="F18" s="108"/>
    </row>
    <row r="19" spans="1:6" s="49" customFormat="1" x14ac:dyDescent="0.25">
      <c r="A19" s="56"/>
      <c r="B19" s="56">
        <v>2016</v>
      </c>
      <c r="C19" s="56">
        <v>2017</v>
      </c>
      <c r="D19" s="56">
        <v>2018</v>
      </c>
      <c r="E19" s="56">
        <v>2019</v>
      </c>
      <c r="F19" s="56">
        <v>2020</v>
      </c>
    </row>
    <row r="20" spans="1:6" x14ac:dyDescent="0.25">
      <c r="A20" s="48" t="s">
        <v>167</v>
      </c>
      <c r="B20" s="109">
        <f>Auto_TZ12!B6+Auto_TZ12!B14+Auto_TZ12!B21+Administr_TZ13!B10+Administr_TZ13!B38+Administr_TZ13!B44</f>
        <v>2043.9348633786647</v>
      </c>
      <c r="C20" s="109">
        <f>Auto_TZ12!C6+Auto_TZ12!C14+Auto_TZ12!C21+Administr_TZ13!C10+Administr_TZ13!C38+Administr_TZ13!C44</f>
        <v>2117.3582070298544</v>
      </c>
      <c r="D20" s="109">
        <f>Auto_TZ12!D6+Auto_TZ12!D14+Auto_TZ12!D21+Administr_TZ13!D10+Administr_TZ13!D38+Administr_TZ13!D44</f>
        <v>2178.4558852116579</v>
      </c>
      <c r="E20" s="109">
        <f>Auto_TZ12!E6+Auto_TZ12!E14+Auto_TZ12!E21+Administr_TZ13!E10+Administr_TZ13!E38+Administr_TZ13!E44</f>
        <v>2229.446014392599</v>
      </c>
      <c r="F20" s="110">
        <f>Auto_TZ12!F6+Auto_TZ12!F14+Auto_TZ12!F21+Administr_TZ13!F10+Administr_TZ13!F38+Administr_TZ13!F44</f>
        <v>2215.7825264660237</v>
      </c>
    </row>
    <row r="21" spans="1:6" x14ac:dyDescent="0.25">
      <c r="A21" s="48" t="s">
        <v>168</v>
      </c>
      <c r="B21" s="109">
        <f>Medic_TZ11!B27+Medic_TZ11!B34+Administr_TZ13!B18+Administr_TZ13!B44+Dzives_Kvalit_TZ14!B50+Netiesas_TZ2!B47</f>
        <v>2559.1838293966121</v>
      </c>
      <c r="C21" s="109">
        <f>Medic_TZ11!C27+Medic_TZ11!C34+Administr_TZ13!C18+Administr_TZ13!C44+Dzives_Kvalit_TZ14!C50+Netiesas_TZ2!C47</f>
        <v>2647.8302924957202</v>
      </c>
      <c r="D21" s="109">
        <f>Medic_TZ11!D27+Medic_TZ11!D34+Administr_TZ13!D18+Administr_TZ13!D44+Dzives_Kvalit_TZ14!D50+Netiesas_TZ2!D47</f>
        <v>2963.774254080211</v>
      </c>
      <c r="E21" s="109">
        <f>Medic_TZ11!E27+Medic_TZ11!E34+Administr_TZ13!E18+Administr_TZ13!E44+Dzives_Kvalit_TZ14!E50+Netiesas_TZ2!E47</f>
        <v>2986.4636381393311</v>
      </c>
      <c r="F21" s="110">
        <f>Medic_TZ11!F27+Medic_TZ11!F34+Administr_TZ13!F18+Administr_TZ13!F44+Dzives_Kvalit_TZ14!F50+Netiesas_TZ2!F47</f>
        <v>2988.2102985281085</v>
      </c>
    </row>
    <row r="22" spans="1:6" x14ac:dyDescent="0.25">
      <c r="A22" s="48" t="s">
        <v>169</v>
      </c>
      <c r="B22" s="109">
        <f>Medic_TZ11!B20+Medic_TZ11!B34+Administr_TZ13!B18+Administr_TZ13!B29+Dzives_Kvalit_TZ14!B12+Dzives_Kvalit_TZ14!B25+Dzives_Kvalit_TZ14!B34+Dzives_Kvalit_TZ14!B49-Dzives_Kvalit_TZ14!B50+Dzives_Kvalit_TZ14!B57+Netiesas_TZ2!B31+Netiesas_TZ2!B39</f>
        <v>14958.895517426306</v>
      </c>
      <c r="C22" s="109">
        <f>Medic_TZ11!C20+Medic_TZ11!C34+Administr_TZ13!C18+Administr_TZ13!C29+Dzives_Kvalit_TZ14!C12+Dzives_Kvalit_TZ14!C25+Dzives_Kvalit_TZ14!C34+Dzives_Kvalit_TZ14!C49-Dzives_Kvalit_TZ14!C50+Dzives_Kvalit_TZ14!C57+Netiesas_TZ2!C31+Netiesas_TZ2!C39</f>
        <v>15825.002667558299</v>
      </c>
      <c r="D22" s="109">
        <f>Medic_TZ11!D20+Medic_TZ11!D34+Administr_TZ13!D18+Administr_TZ13!D29+Dzives_Kvalit_TZ14!D12+Dzives_Kvalit_TZ14!D25+Dzives_Kvalit_TZ14!D34+Dzives_Kvalit_TZ14!D49-Dzives_Kvalit_TZ14!D50+Dzives_Kvalit_TZ14!D57+Netiesas_TZ2!D31+Netiesas_TZ2!D39</f>
        <v>16909.787359671926</v>
      </c>
      <c r="E22" s="109">
        <f>Medic_TZ11!E20+Medic_TZ11!E34+Administr_TZ13!E18+Administr_TZ13!E29+Dzives_Kvalit_TZ14!E12+Dzives_Kvalit_TZ14!E25+Dzives_Kvalit_TZ14!E34+Dzives_Kvalit_TZ14!E49-Dzives_Kvalit_TZ14!E50+Dzives_Kvalit_TZ14!E57+Netiesas_TZ2!E31+Netiesas_TZ2!E39</f>
        <v>17444.535070555175</v>
      </c>
      <c r="F22" s="110">
        <f>Medic_TZ11!F20+Medic_TZ11!F34+Administr_TZ13!F18+Administr_TZ13!F29+Dzives_Kvalit_TZ14!F12+Dzives_Kvalit_TZ14!F25+Dzives_Kvalit_TZ14!F34+Dzives_Kvalit_TZ14!F49-Dzives_Kvalit_TZ14!F50+Dzives_Kvalit_TZ14!F57+Netiesas_TZ2!F31+Netiesas_TZ2!F39</f>
        <v>17320.454808046095</v>
      </c>
    </row>
    <row r="23" spans="1:6" x14ac:dyDescent="0.25">
      <c r="A23" s="48" t="s">
        <v>170</v>
      </c>
      <c r="B23" s="109">
        <f>Medic_TZ11!B7+Medic_TZ11!B34+Administr_TZ13!B29+Administr_TZ13!B18+Dzives_Kvalit_TZ14!B64+Citas_TZ15!B6+Netiesas_TZ2!B9</f>
        <v>474957.28459871089</v>
      </c>
      <c r="C23" s="109">
        <f>Medic_TZ11!C7+Medic_TZ11!C34+Administr_TZ13!C29+Administr_TZ13!C18+Dzives_Kvalit_TZ14!C64+Citas_TZ15!C6+Netiesas_TZ2!C9</f>
        <v>473948.36345311563</v>
      </c>
      <c r="D23" s="109">
        <f>Medic_TZ11!D7+Medic_TZ11!D34+Administr_TZ13!D29+Administr_TZ13!D18+Dzives_Kvalit_TZ14!D64+Citas_TZ15!D6+Netiesas_TZ2!D9</f>
        <v>488673.96068205655</v>
      </c>
      <c r="E23" s="109">
        <f>Medic_TZ11!E7+Medic_TZ11!E34+Administr_TZ13!E29+Administr_TZ13!E18+Dzives_Kvalit_TZ14!E64+Citas_TZ15!E6+Netiesas_TZ2!E9</f>
        <v>502718.22865989059</v>
      </c>
      <c r="F23" s="110">
        <f>Medic_TZ11!F7+Medic_TZ11!F34+Administr_TZ13!F29+Administr_TZ13!F18+Dzives_Kvalit_TZ14!F64+Citas_TZ15!F6+Netiesas_TZ2!F9</f>
        <v>502935.81140159891</v>
      </c>
    </row>
    <row r="24" spans="1:6" x14ac:dyDescent="0.25">
      <c r="A24" s="48" t="s">
        <v>171</v>
      </c>
      <c r="B24" s="109">
        <f>(B3+Dati!C5/Dati!C4*(Administr_TZ13!B8+Administr_TZ13!B37)+Dati!C6/Dati!C3*(Kopsavilkums!B4+Administr_TZ13!B43)+Administr_TZ13!B17+Administr_TZ13!B27+Kopsavilkums!B6+Kopsavilkums!B7+Kopsavilkums!B8)/Dati!C5</f>
        <v>37400.95640411113</v>
      </c>
      <c r="C24" s="109">
        <f>(C3+Dati!D5/Dati!D4*(Administr_TZ13!C8+Administr_TZ13!C37)+Dati!D6/Dati!D3*(Kopsavilkums!C4+Administr_TZ13!C43)+Administr_TZ13!C17+Administr_TZ13!C27+Kopsavilkums!C6+Kopsavilkums!C7+Kopsavilkums!C8)/Dati!D5</f>
        <v>35333.019735272348</v>
      </c>
      <c r="D24" s="109">
        <f>(D3+Dati!E5/Dati!E4*(Administr_TZ13!D8+Administr_TZ13!D37)+Dati!E6/Dati!E3*(Kopsavilkums!D4+Administr_TZ13!D43)+Administr_TZ13!D17+Administr_TZ13!D27+Kopsavilkums!D6+Kopsavilkums!D7+Kopsavilkums!D8)/Dati!E5</f>
        <v>37787.709346121388</v>
      </c>
      <c r="E24" s="109">
        <f>(E3+Dati!F5/Dati!F4*(Administr_TZ13!E8+Administr_TZ13!E37)+Dati!F6/Dati!F3*(Kopsavilkums!E4+Administr_TZ13!E43)+Administr_TZ13!E17+Administr_TZ13!E27+Kopsavilkums!E6+Kopsavilkums!E7+Kopsavilkums!E8)/Dati!F5</f>
        <v>38083.450567618209</v>
      </c>
      <c r="F24" s="110">
        <f>(F3+Dati!G5/Dati!G4*(Administr_TZ13!F8+Administr_TZ13!F37)+Dati!G6/Dati!G3*(Kopsavilkums!F4+Administr_TZ13!F43)+Administr_TZ13!F17+Administr_TZ13!F27+Kopsavilkums!F6+Kopsavilkums!F7+Kopsavilkums!F8)/Dati!G5</f>
        <v>40457.293438695051</v>
      </c>
    </row>
    <row r="25" spans="1:6" x14ac:dyDescent="0.25">
      <c r="A25" s="108" t="s">
        <v>172</v>
      </c>
      <c r="B25" s="108"/>
      <c r="C25" s="108"/>
      <c r="D25" s="108"/>
      <c r="E25" s="108"/>
      <c r="F25" s="108"/>
    </row>
    <row r="26" spans="1:6" x14ac:dyDescent="0.25">
      <c r="A26" s="108" t="s">
        <v>173</v>
      </c>
      <c r="B26" s="108"/>
      <c r="C26" s="108"/>
      <c r="D26" s="108"/>
      <c r="E26" s="108"/>
      <c r="F26" s="108"/>
    </row>
    <row r="27" spans="1:6" x14ac:dyDescent="0.25">
      <c r="A27" s="108" t="s">
        <v>174</v>
      </c>
      <c r="B27" s="108"/>
      <c r="C27" s="108"/>
      <c r="D27" s="108"/>
      <c r="E27" s="108"/>
      <c r="F27" s="108"/>
    </row>
    <row r="28" spans="1:6" x14ac:dyDescent="0.25">
      <c r="A28" s="108" t="s">
        <v>175</v>
      </c>
      <c r="B28" s="108"/>
      <c r="C28" s="108"/>
      <c r="D28" s="108"/>
      <c r="E28" s="108"/>
      <c r="F28" s="108"/>
    </row>
    <row r="29" spans="1:6" x14ac:dyDescent="0.25">
      <c r="A29" s="108" t="s">
        <v>181</v>
      </c>
      <c r="B29" s="108"/>
      <c r="C29" s="108"/>
      <c r="D29" s="108"/>
      <c r="E29" s="108"/>
      <c r="F29" s="108"/>
    </row>
    <row r="30" spans="1:6" x14ac:dyDescent="0.25">
      <c r="A30" s="11"/>
      <c r="B30" s="11"/>
      <c r="C30" s="11"/>
      <c r="D30" s="11"/>
      <c r="E30" s="11"/>
      <c r="F3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5" workbookViewId="0">
      <selection activeCell="F30" sqref="F30:F34"/>
    </sheetView>
  </sheetViews>
  <sheetFormatPr defaultRowHeight="15" x14ac:dyDescent="0.25"/>
  <cols>
    <col min="1" max="1" width="67.42578125" customWidth="1"/>
    <col min="2" max="2" width="10.7109375" customWidth="1"/>
    <col min="3" max="3" width="11.85546875" customWidth="1"/>
    <col min="4" max="4" width="11.5703125" customWidth="1"/>
    <col min="5" max="6" width="11.5703125" style="39" customWidth="1"/>
  </cols>
  <sheetData>
    <row r="1" spans="1:6" ht="18.75" x14ac:dyDescent="0.35">
      <c r="A1" s="3" t="s">
        <v>15</v>
      </c>
    </row>
    <row r="2" spans="1:6" s="49" customFormat="1" ht="15.75" x14ac:dyDescent="0.25">
      <c r="A2" s="23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6" x14ac:dyDescent="0.25">
      <c r="A3" s="6" t="s">
        <v>16</v>
      </c>
      <c r="B3" s="24">
        <f>B5*0.091</f>
        <v>14.378</v>
      </c>
      <c r="C3" s="40">
        <f t="shared" ref="C3:D3" si="0">C5*0.091</f>
        <v>12.375999999999999</v>
      </c>
      <c r="D3" s="40">
        <f t="shared" si="0"/>
        <v>13.468</v>
      </c>
      <c r="E3" s="40">
        <f t="shared" ref="E3:F3" si="1">E5*0.091</f>
        <v>12.012</v>
      </c>
      <c r="F3" s="40">
        <f t="shared" si="1"/>
        <v>12.648999999999999</v>
      </c>
    </row>
    <row r="4" spans="1:6" ht="18" x14ac:dyDescent="0.35">
      <c r="A4" s="10" t="s">
        <v>17</v>
      </c>
      <c r="B4" s="6">
        <f>Dati!C30</f>
        <v>786.12</v>
      </c>
      <c r="C4" s="10">
        <f>Dati!D30</f>
        <v>808.91747999999995</v>
      </c>
      <c r="D4" s="10">
        <f>Dati!E30</f>
        <v>805.77299999999991</v>
      </c>
      <c r="E4" s="10">
        <f>Dati!F30</f>
        <v>808.13135999999997</v>
      </c>
      <c r="F4" s="10">
        <f>Dati!G30</f>
        <v>782.18939999999998</v>
      </c>
    </row>
    <row r="5" spans="1:6" ht="18" x14ac:dyDescent="0.35">
      <c r="A5" s="10" t="s">
        <v>18</v>
      </c>
      <c r="B5" s="8">
        <f>Dati!C9</f>
        <v>158</v>
      </c>
      <c r="C5" s="13">
        <f>Dati!D9</f>
        <v>136</v>
      </c>
      <c r="D5" s="13">
        <f>Dati!E9</f>
        <v>148</v>
      </c>
      <c r="E5" s="13">
        <f>Dati!F9</f>
        <v>132</v>
      </c>
      <c r="F5" s="13">
        <f>Dati!G9</f>
        <v>139</v>
      </c>
    </row>
    <row r="6" spans="1:6" ht="18" x14ac:dyDescent="0.35">
      <c r="A6" s="7" t="s">
        <v>28</v>
      </c>
      <c r="B6" s="7">
        <f>B3*B4</f>
        <v>11302.833360000001</v>
      </c>
      <c r="C6" s="7">
        <f t="shared" ref="C6:D6" si="2">C3*C4</f>
        <v>10011.162732479999</v>
      </c>
      <c r="D6" s="7">
        <f t="shared" si="2"/>
        <v>10852.150763999998</v>
      </c>
      <c r="E6" s="7">
        <f t="shared" ref="E6:F6" si="3">E3*E4</f>
        <v>9707.2738963200009</v>
      </c>
      <c r="F6" s="7">
        <f t="shared" si="3"/>
        <v>9893.9137205999996</v>
      </c>
    </row>
    <row r="7" spans="1:6" x14ac:dyDescent="0.25">
      <c r="A7" s="17" t="s">
        <v>114</v>
      </c>
      <c r="B7" s="25">
        <f>B6/B5</f>
        <v>71.536920000000009</v>
      </c>
      <c r="C7" s="25">
        <f t="shared" ref="C7:D7" si="4">C6/C5</f>
        <v>73.611490679999989</v>
      </c>
      <c r="D7" s="25">
        <f t="shared" si="4"/>
        <v>73.32534299999999</v>
      </c>
      <c r="E7" s="25">
        <f t="shared" ref="E7:F7" si="5">E6/E5</f>
        <v>73.539953760000003</v>
      </c>
      <c r="F7" s="25">
        <f t="shared" si="5"/>
        <v>71.179235399999996</v>
      </c>
    </row>
    <row r="9" spans="1:6" ht="18.75" x14ac:dyDescent="0.35">
      <c r="A9" s="3" t="s">
        <v>19</v>
      </c>
    </row>
    <row r="10" spans="1:6" s="49" customFormat="1" x14ac:dyDescent="0.25">
      <c r="A10" s="19"/>
      <c r="B10" s="19">
        <v>2016</v>
      </c>
      <c r="C10" s="19">
        <v>2017</v>
      </c>
      <c r="D10" s="19">
        <v>2018</v>
      </c>
      <c r="E10" s="19">
        <v>2019</v>
      </c>
      <c r="F10" s="19">
        <v>2020</v>
      </c>
    </row>
    <row r="11" spans="1:6" ht="18" x14ac:dyDescent="0.35">
      <c r="A11" s="10" t="s">
        <v>20</v>
      </c>
      <c r="B11" s="6">
        <f>Dati!C8</f>
        <v>525</v>
      </c>
      <c r="C11" s="10">
        <f>Dati!D8</f>
        <v>496</v>
      </c>
      <c r="D11" s="10">
        <f>Dati!E8</f>
        <v>542</v>
      </c>
      <c r="E11" s="10">
        <f>Dati!F8</f>
        <v>461</v>
      </c>
      <c r="F11" s="10">
        <f>Dati!G8</f>
        <v>491</v>
      </c>
    </row>
    <row r="12" spans="1:6" ht="18" x14ac:dyDescent="0.35">
      <c r="A12" s="10" t="s">
        <v>21</v>
      </c>
      <c r="B12" s="14">
        <f>B11*B14*B15+B11*B16*B17</f>
        <v>9111.2805000000008</v>
      </c>
      <c r="C12" s="15">
        <f t="shared" ref="C12:D12" si="6">C11*C14*C15+C11*C16*C17</f>
        <v>5217.0652432000006</v>
      </c>
      <c r="D12" s="15">
        <f t="shared" si="6"/>
        <v>8267.8966070828301</v>
      </c>
      <c r="E12" s="15">
        <f t="shared" ref="E12:F12" si="7">E11*E14*E15+E11*E16*E17</f>
        <v>2725.8653400000003</v>
      </c>
      <c r="F12" s="15">
        <f t="shared" si="7"/>
        <v>4057.3048500000004</v>
      </c>
    </row>
    <row r="13" spans="1:6" ht="18" x14ac:dyDescent="0.35">
      <c r="A13" s="10" t="s">
        <v>22</v>
      </c>
      <c r="B13" s="14">
        <f>Dati!C38</f>
        <v>1271</v>
      </c>
      <c r="C13" s="15">
        <f>Dati!D38</f>
        <v>1307.8589999999999</v>
      </c>
      <c r="D13" s="15">
        <f>Dati!E38</f>
        <v>1302.7749999999999</v>
      </c>
      <c r="E13" s="15">
        <f>Dati!F38</f>
        <v>1306.588</v>
      </c>
      <c r="F13" s="15">
        <f>Dati!G38</f>
        <v>1264.645</v>
      </c>
    </row>
    <row r="14" spans="1:6" ht="18" x14ac:dyDescent="0.35">
      <c r="A14" s="10" t="s">
        <v>23</v>
      </c>
      <c r="B14" s="14">
        <f>Dati!C17</f>
        <v>1024</v>
      </c>
      <c r="C14" s="15">
        <f>Dati!D17</f>
        <v>825.7116666666667</v>
      </c>
      <c r="D14" s="15">
        <f>Dati!E17</f>
        <v>1359.29421428571</v>
      </c>
      <c r="E14" s="15">
        <f>Dati!F17</f>
        <v>527</v>
      </c>
      <c r="F14" s="15">
        <f>Dati!G17</f>
        <v>463</v>
      </c>
    </row>
    <row r="15" spans="1:6" ht="18" x14ac:dyDescent="0.35">
      <c r="A15" s="10" t="s">
        <v>24</v>
      </c>
      <c r="B15" s="6">
        <v>1.1220000000000001E-2</v>
      </c>
      <c r="C15" s="10">
        <v>1.1220000000000001E-2</v>
      </c>
      <c r="D15" s="10">
        <v>1.1220000000000001E-2</v>
      </c>
      <c r="E15" s="10">
        <v>1.1220000000000001E-2</v>
      </c>
      <c r="F15" s="10">
        <v>1.1220000000000001E-2</v>
      </c>
    </row>
    <row r="16" spans="1:6" ht="18" x14ac:dyDescent="0.35">
      <c r="A16" s="10" t="s">
        <v>25</v>
      </c>
      <c r="B16" s="14">
        <f>Dati!C16</f>
        <v>6742</v>
      </c>
      <c r="C16" s="15">
        <f>Dati!D16</f>
        <v>1441.14</v>
      </c>
      <c r="D16" s="15">
        <f>Dati!E16</f>
        <v>3.61</v>
      </c>
      <c r="E16" s="15">
        <f>Dati!F16</f>
        <v>0</v>
      </c>
      <c r="F16" s="15">
        <f>Dati!G16</f>
        <v>3527</v>
      </c>
    </row>
    <row r="17" spans="1:6" ht="18" x14ac:dyDescent="0.35">
      <c r="A17" s="10" t="s">
        <v>26</v>
      </c>
      <c r="B17" s="6">
        <v>8.7000000000000001E-4</v>
      </c>
      <c r="C17" s="10">
        <v>8.7000000000000001E-4</v>
      </c>
      <c r="D17" s="10">
        <v>8.7000000000000001E-4</v>
      </c>
      <c r="E17" s="10">
        <v>8.7000000000000001E-4</v>
      </c>
      <c r="F17" s="10">
        <v>8.7000000000000001E-4</v>
      </c>
    </row>
    <row r="18" spans="1:6" ht="18" x14ac:dyDescent="0.35">
      <c r="A18" s="7" t="s">
        <v>110</v>
      </c>
      <c r="B18" s="16">
        <f>B11*B13+B12</f>
        <v>676386.28049999999</v>
      </c>
      <c r="C18" s="16">
        <f t="shared" ref="C18:D18" si="8">C11*C13+C12</f>
        <v>653915.12924320006</v>
      </c>
      <c r="D18" s="16">
        <f t="shared" si="8"/>
        <v>714371.94660708273</v>
      </c>
      <c r="E18" s="16">
        <f t="shared" ref="E18:F18" si="9">E11*E13+E12</f>
        <v>605062.93333999999</v>
      </c>
      <c r="F18" s="16">
        <f t="shared" si="9"/>
        <v>624997.99984999991</v>
      </c>
    </row>
    <row r="19" spans="1:6" ht="18" x14ac:dyDescent="0.35">
      <c r="A19" s="10" t="s">
        <v>27</v>
      </c>
      <c r="B19" s="16"/>
      <c r="C19" s="16"/>
      <c r="D19" s="16"/>
      <c r="E19" s="60"/>
      <c r="F19" s="60"/>
    </row>
    <row r="20" spans="1:6" s="11" customFormat="1" x14ac:dyDescent="0.25">
      <c r="A20" s="17" t="s">
        <v>113</v>
      </c>
      <c r="B20" s="27">
        <f>B18/B11</f>
        <v>1288.35482</v>
      </c>
      <c r="C20" s="27">
        <f t="shared" ref="C20:D20" si="10">C18/C11</f>
        <v>1318.3772767</v>
      </c>
      <c r="D20" s="27">
        <f t="shared" si="10"/>
        <v>1318.0294217842854</v>
      </c>
      <c r="E20" s="95">
        <f t="shared" ref="E20:F20" si="11">E18/E11</f>
        <v>1312.5009399999999</v>
      </c>
      <c r="F20" s="95">
        <f t="shared" si="11"/>
        <v>1272.9083499999997</v>
      </c>
    </row>
    <row r="21" spans="1:6" x14ac:dyDescent="0.25">
      <c r="A21" s="4"/>
    </row>
    <row r="22" spans="1:6" ht="18.75" x14ac:dyDescent="0.35">
      <c r="A22" s="3" t="s">
        <v>104</v>
      </c>
    </row>
    <row r="23" spans="1:6" s="49" customFormat="1" x14ac:dyDescent="0.25">
      <c r="A23" s="19"/>
      <c r="B23" s="19">
        <v>2016</v>
      </c>
      <c r="C23" s="19">
        <v>2017</v>
      </c>
      <c r="D23" s="19">
        <v>2018</v>
      </c>
      <c r="E23" s="19">
        <v>2019</v>
      </c>
      <c r="F23" s="19">
        <v>2020</v>
      </c>
    </row>
    <row r="24" spans="1:6" ht="18" x14ac:dyDescent="0.35">
      <c r="A24" s="10" t="s">
        <v>29</v>
      </c>
      <c r="B24" s="6">
        <f>Dati!C7</f>
        <v>4123</v>
      </c>
      <c r="C24" s="10">
        <f>Dati!D7</f>
        <v>4328</v>
      </c>
      <c r="D24" s="10">
        <f>Dati!E7</f>
        <v>4256</v>
      </c>
      <c r="E24" s="10">
        <f>Dati!F7</f>
        <v>4098</v>
      </c>
      <c r="F24" s="10">
        <f>Dati!G7</f>
        <v>3568</v>
      </c>
    </row>
    <row r="25" spans="1:6" ht="18" x14ac:dyDescent="0.35">
      <c r="A25" s="10" t="s">
        <v>30</v>
      </c>
      <c r="B25" s="28">
        <f>Dati!C31</f>
        <v>13.1807</v>
      </c>
      <c r="C25" s="29">
        <f>Dati!D31</f>
        <v>13.562940299999999</v>
      </c>
      <c r="D25" s="29">
        <f>Dati!E31</f>
        <v>13.5102175</v>
      </c>
      <c r="E25" s="29">
        <f>Dati!F31</f>
        <v>13.5497596</v>
      </c>
      <c r="F25" s="29">
        <f>Dati!G31</f>
        <v>13.114796500000001</v>
      </c>
    </row>
    <row r="26" spans="1:6" ht="18" x14ac:dyDescent="0.35">
      <c r="A26" s="7" t="s">
        <v>109</v>
      </c>
      <c r="B26" s="16">
        <f>B24*B25*4</f>
        <v>217376.10440000001</v>
      </c>
      <c r="C26" s="16">
        <f t="shared" ref="C26:D26" si="12">C24*C25*4</f>
        <v>234801.6224736</v>
      </c>
      <c r="D26" s="16">
        <f t="shared" si="12"/>
        <v>229997.94271999999</v>
      </c>
      <c r="E26" s="16">
        <f t="shared" ref="E26:F26" si="13">E24*E25*4</f>
        <v>222107.65936319999</v>
      </c>
      <c r="F26" s="16">
        <f t="shared" si="13"/>
        <v>187174.37564800002</v>
      </c>
    </row>
    <row r="27" spans="1:6" s="11" customFormat="1" x14ac:dyDescent="0.25">
      <c r="A27" s="17" t="s">
        <v>112</v>
      </c>
      <c r="B27" s="26">
        <f>B26/B24</f>
        <v>52.722799999999999</v>
      </c>
      <c r="C27" s="25">
        <f t="shared" ref="C27:D27" si="14">C26/C24</f>
        <v>54.251761199999997</v>
      </c>
      <c r="D27" s="25">
        <f t="shared" si="14"/>
        <v>54.040869999999998</v>
      </c>
      <c r="E27" s="25">
        <f t="shared" ref="E27:F27" si="15">E26/E24</f>
        <v>54.199038399999999</v>
      </c>
      <c r="F27" s="25">
        <f t="shared" si="15"/>
        <v>52.459186000000003</v>
      </c>
    </row>
    <row r="29" spans="1:6" ht="18.75" x14ac:dyDescent="0.35">
      <c r="A29" s="3" t="s">
        <v>31</v>
      </c>
    </row>
    <row r="30" spans="1:6" s="49" customFormat="1" x14ac:dyDescent="0.25">
      <c r="A30" s="19"/>
      <c r="B30" s="19">
        <v>2016</v>
      </c>
      <c r="C30" s="19">
        <v>2017</v>
      </c>
      <c r="D30" s="19">
        <v>2018</v>
      </c>
      <c r="E30" s="19">
        <v>2019</v>
      </c>
      <c r="F30" s="19">
        <v>2020</v>
      </c>
    </row>
    <row r="31" spans="1:6" ht="18" x14ac:dyDescent="0.35">
      <c r="A31" s="10" t="s">
        <v>32</v>
      </c>
      <c r="B31" s="6">
        <f>Dati!C5</f>
        <v>3792</v>
      </c>
      <c r="C31" s="10">
        <f>Dati!D5</f>
        <v>3875</v>
      </c>
      <c r="D31" s="10">
        <f>Dati!E5</f>
        <v>3975</v>
      </c>
      <c r="E31" s="10">
        <f>Dati!F5</f>
        <v>3729</v>
      </c>
      <c r="F31" s="10">
        <f>Dati!G5</f>
        <v>3403</v>
      </c>
    </row>
    <row r="32" spans="1:6" ht="18" x14ac:dyDescent="0.35">
      <c r="A32" s="10" t="s">
        <v>33</v>
      </c>
      <c r="B32" s="28">
        <f>Dati!C32</f>
        <v>116.214</v>
      </c>
      <c r="C32" s="29">
        <f>Dati!D32</f>
        <v>119.58420599999999</v>
      </c>
      <c r="D32" s="29">
        <f>Dati!E32</f>
        <v>119.11934999999998</v>
      </c>
      <c r="E32" s="29">
        <f>Dati!F32</f>
        <v>119.467992</v>
      </c>
      <c r="F32" s="29">
        <f>Dati!G32</f>
        <v>115.63293</v>
      </c>
    </row>
    <row r="33" spans="1:6" ht="18" x14ac:dyDescent="0.35">
      <c r="A33" s="7" t="s">
        <v>34</v>
      </c>
      <c r="B33" s="16">
        <f>B31*B32</f>
        <v>440683.48800000001</v>
      </c>
      <c r="C33" s="16">
        <f t="shared" ref="C33:D33" si="16">C31*C32</f>
        <v>463388.79824999999</v>
      </c>
      <c r="D33" s="16">
        <f t="shared" si="16"/>
        <v>473499.41624999995</v>
      </c>
      <c r="E33" s="16">
        <f t="shared" ref="E33:F33" si="17">E31*E32</f>
        <v>445496.14216799999</v>
      </c>
      <c r="F33" s="16">
        <f t="shared" si="17"/>
        <v>393498.86079000001</v>
      </c>
    </row>
    <row r="34" spans="1:6" s="11" customFormat="1" x14ac:dyDescent="0.25">
      <c r="A34" s="17" t="s">
        <v>111</v>
      </c>
      <c r="B34" s="26">
        <f>B33/B31</f>
        <v>116.214</v>
      </c>
      <c r="C34" s="26">
        <f t="shared" ref="C34:D34" si="18">C33/C31</f>
        <v>119.58420599999999</v>
      </c>
      <c r="D34" s="26">
        <f t="shared" si="18"/>
        <v>119.11934999999998</v>
      </c>
      <c r="E34" s="25">
        <f t="shared" ref="E34:F34" si="19">E33/E31</f>
        <v>119.467992</v>
      </c>
      <c r="F34" s="25">
        <f t="shared" si="19"/>
        <v>115.63293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M16" sqref="M16"/>
    </sheetView>
  </sheetViews>
  <sheetFormatPr defaultRowHeight="15" x14ac:dyDescent="0.25"/>
  <cols>
    <col min="1" max="1" width="88.140625" customWidth="1"/>
    <col min="2" max="4" width="13.42578125" customWidth="1"/>
    <col min="5" max="5" width="13.42578125" style="39" customWidth="1"/>
    <col min="6" max="6" width="13.42578125" style="4" customWidth="1"/>
  </cols>
  <sheetData>
    <row r="1" spans="1:6" ht="18.75" x14ac:dyDescent="0.35">
      <c r="A1" s="3" t="s">
        <v>35</v>
      </c>
    </row>
    <row r="2" spans="1:6" s="49" customFormat="1" x14ac:dyDescent="0.25">
      <c r="A2" s="19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6" ht="18" x14ac:dyDescent="0.35">
      <c r="A3" s="10" t="s">
        <v>36</v>
      </c>
      <c r="B3" s="10">
        <f>Dati!C10+Dati!C11*2</f>
        <v>79915</v>
      </c>
      <c r="C3" s="10">
        <f>Dati!D10+Dati!D11*2</f>
        <v>83141</v>
      </c>
      <c r="D3" s="10">
        <f>Dati!E10+Dati!E11*2</f>
        <v>78215</v>
      </c>
      <c r="E3" s="10">
        <f>Dati!F10+Dati!F11*2</f>
        <v>82650</v>
      </c>
      <c r="F3" s="10">
        <f>Dati!G10+Dati!G11*2</f>
        <v>74090</v>
      </c>
    </row>
    <row r="4" spans="1:6" ht="18" x14ac:dyDescent="0.35">
      <c r="A4" s="10" t="s">
        <v>37</v>
      </c>
      <c r="B4" s="29">
        <f>Dati!C33</f>
        <v>937.55</v>
      </c>
      <c r="C4" s="29">
        <f>Dati!D33</f>
        <v>964.73894999999982</v>
      </c>
      <c r="D4" s="29">
        <f>Dati!E33</f>
        <v>960.98874999999987</v>
      </c>
      <c r="E4" s="29">
        <f>Dati!F33</f>
        <v>963.80139999999994</v>
      </c>
      <c r="F4" s="29">
        <f>Dati!G33</f>
        <v>932.8622499999999</v>
      </c>
    </row>
    <row r="5" spans="1:6" ht="18" x14ac:dyDescent="0.35">
      <c r="A5" s="7" t="s">
        <v>38</v>
      </c>
      <c r="B5" s="16">
        <f>B3*B4</f>
        <v>74924308.25</v>
      </c>
      <c r="C5" s="16">
        <f t="shared" ref="C5:D5" si="0">C3*C4</f>
        <v>80209361.041949987</v>
      </c>
      <c r="D5" s="16">
        <f t="shared" si="0"/>
        <v>75163735.081249997</v>
      </c>
      <c r="E5" s="16">
        <f t="shared" ref="E5:F5" si="1">E3*E4</f>
        <v>79658185.709999993</v>
      </c>
      <c r="F5" s="16">
        <f t="shared" si="1"/>
        <v>69115764.102499992</v>
      </c>
    </row>
    <row r="6" spans="1:6" s="11" customFormat="1" x14ac:dyDescent="0.25">
      <c r="A6" s="50" t="s">
        <v>116</v>
      </c>
      <c r="B6" s="52">
        <f>B5/Dati!C3</f>
        <v>1728.4374884654424</v>
      </c>
      <c r="C6" s="52">
        <f>C5/Dati!D3</f>
        <v>1764.1613742565871</v>
      </c>
      <c r="D6" s="52">
        <f>D5/Dati!E3</f>
        <v>1740.304123205603</v>
      </c>
      <c r="E6" s="51">
        <f>E5/Dati!F3</f>
        <v>1812.6791605415858</v>
      </c>
      <c r="F6" s="51">
        <f>F5/Dati!G3</f>
        <v>1764.6427886358413</v>
      </c>
    </row>
    <row r="7" spans="1:6" x14ac:dyDescent="0.25">
      <c r="D7" s="1"/>
      <c r="E7" s="61"/>
      <c r="F7" s="104"/>
    </row>
    <row r="8" spans="1:6" ht="18.75" x14ac:dyDescent="0.35">
      <c r="A8" s="3" t="s">
        <v>39</v>
      </c>
    </row>
    <row r="9" spans="1:6" s="49" customFormat="1" x14ac:dyDescent="0.25">
      <c r="A9" s="19"/>
      <c r="B9" s="19">
        <v>2016</v>
      </c>
      <c r="C9" s="19">
        <v>2017</v>
      </c>
      <c r="D9" s="19">
        <v>2018</v>
      </c>
      <c r="E9" s="19">
        <v>2019</v>
      </c>
      <c r="F9" s="19">
        <v>2020</v>
      </c>
    </row>
    <row r="10" spans="1:6" ht="18" x14ac:dyDescent="0.35">
      <c r="A10" s="10" t="s">
        <v>36</v>
      </c>
      <c r="B10" s="10">
        <f>B3</f>
        <v>79915</v>
      </c>
      <c r="C10" s="10">
        <f t="shared" ref="C10:D10" si="2">C3</f>
        <v>83141</v>
      </c>
      <c r="D10" s="10">
        <f t="shared" si="2"/>
        <v>78215</v>
      </c>
      <c r="E10" s="10">
        <f t="shared" ref="E10:F10" si="3">E3</f>
        <v>82650</v>
      </c>
      <c r="F10" s="10">
        <f t="shared" si="3"/>
        <v>74090</v>
      </c>
    </row>
    <row r="11" spans="1:6" x14ac:dyDescent="0.25">
      <c r="A11" s="10" t="s">
        <v>40</v>
      </c>
      <c r="B11" s="10">
        <v>3.5999999999999997E-2</v>
      </c>
      <c r="C11" s="10">
        <v>3.5999999999999997E-2</v>
      </c>
      <c r="D11" s="10">
        <v>3.5999999999999997E-2</v>
      </c>
      <c r="E11" s="10">
        <v>3.5999999999999997E-2</v>
      </c>
      <c r="F11" s="10">
        <v>3.5999999999999997E-2</v>
      </c>
    </row>
    <row r="12" spans="1:6" ht="18" x14ac:dyDescent="0.35">
      <c r="A12" s="10" t="s">
        <v>41</v>
      </c>
      <c r="B12" s="29">
        <f>Dati!C13</f>
        <v>721</v>
      </c>
      <c r="C12" s="29">
        <f>Dati!D13</f>
        <v>925.06534090909088</v>
      </c>
      <c r="D12" s="29">
        <f>Dati!E13</f>
        <v>880.63656146179301</v>
      </c>
      <c r="E12" s="29">
        <f>Dati!F13</f>
        <v>910</v>
      </c>
      <c r="F12" s="29">
        <f>Dati!G13</f>
        <v>911</v>
      </c>
    </row>
    <row r="13" spans="1:6" ht="18" x14ac:dyDescent="0.35">
      <c r="A13" s="7" t="s">
        <v>42</v>
      </c>
      <c r="B13" s="16">
        <f>B10*B11*B12</f>
        <v>2074273.7399999998</v>
      </c>
      <c r="C13" s="16">
        <f t="shared" ref="C13:D13" si="4">C10*C11*C12</f>
        <v>2768790.8703068178</v>
      </c>
      <c r="D13" s="16">
        <f t="shared" si="4"/>
        <v>2479643.591570429</v>
      </c>
      <c r="E13" s="16">
        <f t="shared" ref="E13:F13" si="5">E10*E11*E12</f>
        <v>2707613.9999999995</v>
      </c>
      <c r="F13" s="16">
        <f t="shared" si="5"/>
        <v>2429855.6399999997</v>
      </c>
    </row>
    <row r="14" spans="1:6" s="11" customFormat="1" x14ac:dyDescent="0.25">
      <c r="A14" s="50" t="s">
        <v>115</v>
      </c>
      <c r="B14" s="51">
        <f>B13/Dati!C4</f>
        <v>106.22593025042248</v>
      </c>
      <c r="C14" s="51">
        <f>C13/Dati!D4</f>
        <v>132.29446558874375</v>
      </c>
      <c r="D14" s="51">
        <f>D13/Dati!E4</f>
        <v>120.94642432789138</v>
      </c>
      <c r="E14" s="51">
        <f>E13/Dati!F4</f>
        <v>129.78688524590163</v>
      </c>
      <c r="F14" s="51">
        <f>F13/Dati!G4</f>
        <v>132.53276099050942</v>
      </c>
    </row>
    <row r="16" spans="1:6" ht="18.75" x14ac:dyDescent="0.35">
      <c r="A16" s="3" t="s">
        <v>43</v>
      </c>
    </row>
    <row r="17" spans="1:6" s="49" customFormat="1" x14ac:dyDescent="0.25">
      <c r="A17" s="19"/>
      <c r="B17" s="19">
        <v>2016</v>
      </c>
      <c r="C17" s="19">
        <v>2017</v>
      </c>
      <c r="D17" s="19">
        <v>2018</v>
      </c>
      <c r="E17" s="19">
        <v>2019</v>
      </c>
      <c r="F17" s="19">
        <v>2020</v>
      </c>
    </row>
    <row r="18" spans="1:6" x14ac:dyDescent="0.25">
      <c r="A18" s="6" t="s">
        <v>11</v>
      </c>
      <c r="B18" s="8">
        <f>Dati!C14</f>
        <v>1433209</v>
      </c>
      <c r="C18" s="13">
        <f>Dati!D14</f>
        <v>1656689.01</v>
      </c>
      <c r="D18" s="13">
        <f>Dati!E14</f>
        <v>2948761</v>
      </c>
      <c r="E18" s="13">
        <f>Dati!F14</f>
        <v>2244002</v>
      </c>
      <c r="F18" s="13">
        <f>Dati!G14</f>
        <v>2303796</v>
      </c>
    </row>
    <row r="19" spans="1:6" x14ac:dyDescent="0.25">
      <c r="A19" s="6" t="s">
        <v>8</v>
      </c>
      <c r="B19" s="8">
        <f>Dati!C15</f>
        <v>109030</v>
      </c>
      <c r="C19" s="13">
        <f>Dati!D15</f>
        <v>119922.96</v>
      </c>
      <c r="D19" s="13">
        <f>Dati!E15</f>
        <v>39362.32</v>
      </c>
      <c r="E19" s="13">
        <f>Dati!F15</f>
        <v>102202</v>
      </c>
      <c r="F19" s="13">
        <f>Dati!G15</f>
        <v>67822</v>
      </c>
    </row>
    <row r="20" spans="1:6" ht="18" x14ac:dyDescent="0.35">
      <c r="A20" s="7" t="s">
        <v>44</v>
      </c>
      <c r="B20" s="12">
        <f>SUM(B18:B19)</f>
        <v>1542239</v>
      </c>
      <c r="C20" s="12">
        <f t="shared" ref="C20:D20" si="6">SUM(C18:C19)</f>
        <v>1776611.97</v>
      </c>
      <c r="D20" s="12">
        <f t="shared" si="6"/>
        <v>2988123.32</v>
      </c>
      <c r="E20" s="12">
        <f t="shared" ref="E20:F20" si="7">SUM(E18:E19)</f>
        <v>2346204</v>
      </c>
      <c r="F20" s="12">
        <f t="shared" si="7"/>
        <v>2371618</v>
      </c>
    </row>
    <row r="21" spans="1:6" s="11" customFormat="1" x14ac:dyDescent="0.25">
      <c r="A21" s="50" t="s">
        <v>115</v>
      </c>
      <c r="B21" s="58">
        <f>B20/Dati!C4</f>
        <v>78.979822809443334</v>
      </c>
      <c r="C21" s="58">
        <f>C20/Dati!D4</f>
        <v>84.88757083472693</v>
      </c>
      <c r="D21" s="58">
        <f>D20/Dati!E4</f>
        <v>145.74789386401326</v>
      </c>
      <c r="E21" s="97">
        <f>E20/Dati!F4</f>
        <v>112.46304285303422</v>
      </c>
      <c r="F21" s="97">
        <f>F20/Dati!G4</f>
        <v>129.35627795352897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2" workbookViewId="0">
      <selection activeCell="F44" sqref="F44"/>
    </sheetView>
  </sheetViews>
  <sheetFormatPr defaultRowHeight="15" x14ac:dyDescent="0.25"/>
  <cols>
    <col min="1" max="1" width="73.42578125" customWidth="1"/>
    <col min="2" max="2" width="13.5703125" customWidth="1"/>
    <col min="3" max="3" width="11.42578125" bestFit="1" customWidth="1"/>
    <col min="4" max="4" width="11.5703125" customWidth="1"/>
    <col min="5" max="5" width="11.5703125" style="39" customWidth="1"/>
    <col min="6" max="6" width="11.5703125" style="4" customWidth="1"/>
  </cols>
  <sheetData>
    <row r="1" spans="1:6" ht="18.75" x14ac:dyDescent="0.35">
      <c r="A1" s="3" t="s">
        <v>45</v>
      </c>
    </row>
    <row r="2" spans="1:6" s="49" customFormat="1" x14ac:dyDescent="0.25">
      <c r="A2" s="19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6" ht="18" x14ac:dyDescent="0.35">
      <c r="A3" s="10" t="s">
        <v>46</v>
      </c>
      <c r="B3" s="10">
        <f>Dati!C4</f>
        <v>19527</v>
      </c>
      <c r="C3" s="10">
        <f>Dati!D4</f>
        <v>20929</v>
      </c>
      <c r="D3" s="10">
        <f>Dati!E4</f>
        <v>20502</v>
      </c>
      <c r="E3" s="10">
        <f>Dati!F4</f>
        <v>20862</v>
      </c>
      <c r="F3" s="10">
        <f>Dati!G4</f>
        <v>18334</v>
      </c>
    </row>
    <row r="4" spans="1:6" ht="18" x14ac:dyDescent="0.35">
      <c r="A4" s="10" t="s">
        <v>47</v>
      </c>
      <c r="B4" s="29">
        <f>(2.07*B5+5.41*B6)/B3*2*B7</f>
        <v>49.685197056383466</v>
      </c>
      <c r="C4" s="29">
        <f t="shared" ref="C4:D4" si="0">(2.07*C5+5.41*C6)/C3*2*C7</f>
        <v>53.014727103832961</v>
      </c>
      <c r="D4" s="29">
        <f t="shared" si="0"/>
        <v>53.838298493696229</v>
      </c>
      <c r="E4" s="29">
        <f t="shared" ref="E4:F4" si="1">(2.07*E5+5.41*E6)/E3*2*E7</f>
        <v>52.251753646937011</v>
      </c>
      <c r="F4" s="29">
        <f t="shared" si="1"/>
        <v>52.209389121239219</v>
      </c>
    </row>
    <row r="5" spans="1:6" ht="18" x14ac:dyDescent="0.35">
      <c r="A5" s="10" t="s">
        <v>48</v>
      </c>
      <c r="B5" s="10">
        <f>B3-B6</f>
        <v>15735</v>
      </c>
      <c r="C5" s="10">
        <f t="shared" ref="C5:D5" si="2">C3-C6</f>
        <v>17054</v>
      </c>
      <c r="D5" s="10">
        <f t="shared" si="2"/>
        <v>16527</v>
      </c>
      <c r="E5" s="10">
        <f t="shared" ref="E5:F5" si="3">E3-E6</f>
        <v>17133</v>
      </c>
      <c r="F5" s="10">
        <f t="shared" si="3"/>
        <v>14931</v>
      </c>
    </row>
    <row r="6" spans="1:6" ht="18" x14ac:dyDescent="0.35">
      <c r="A6" s="10" t="s">
        <v>49</v>
      </c>
      <c r="B6" s="10">
        <f>Dati!C5</f>
        <v>3792</v>
      </c>
      <c r="C6" s="10">
        <f>Dati!D5</f>
        <v>3875</v>
      </c>
      <c r="D6" s="10">
        <f>Dati!E5</f>
        <v>3975</v>
      </c>
      <c r="E6" s="10">
        <f>Dati!F5</f>
        <v>3729</v>
      </c>
      <c r="F6" s="10">
        <f>Dati!G5</f>
        <v>3403</v>
      </c>
    </row>
    <row r="7" spans="1:6" ht="18" x14ac:dyDescent="0.35">
      <c r="A7" s="10" t="s">
        <v>51</v>
      </c>
      <c r="B7" s="28">
        <f>Dati!C34</f>
        <v>9.1379999999999999</v>
      </c>
      <c r="C7" s="29">
        <f>Dati!D34</f>
        <v>9.8599019999999999</v>
      </c>
      <c r="D7" s="29">
        <f>Dati!E34</f>
        <v>9.9055920000000004</v>
      </c>
      <c r="E7" s="29">
        <f>Dati!F34</f>
        <v>9.7959360000000011</v>
      </c>
      <c r="F7" s="29">
        <f>Dati!G34</f>
        <v>9.7045560000000002</v>
      </c>
    </row>
    <row r="8" spans="1:6" ht="18" x14ac:dyDescent="0.35">
      <c r="A8" s="7" t="s">
        <v>50</v>
      </c>
      <c r="B8" s="16">
        <f>B3*B4</f>
        <v>970202.84291999997</v>
      </c>
      <c r="C8" s="16">
        <f t="shared" ref="C8:D8" si="4">C3*C4</f>
        <v>1109545.2235561199</v>
      </c>
      <c r="D8" s="16">
        <f t="shared" si="4"/>
        <v>1103792.79571776</v>
      </c>
      <c r="E8" s="16">
        <f t="shared" ref="E8:F8" si="5">E3*E4</f>
        <v>1090076.0845824</v>
      </c>
      <c r="F8" s="16">
        <f t="shared" si="5"/>
        <v>957206.9401487998</v>
      </c>
    </row>
    <row r="9" spans="1:6" ht="18" x14ac:dyDescent="0.35">
      <c r="A9" s="10" t="s">
        <v>108</v>
      </c>
      <c r="B9" s="16"/>
      <c r="C9" s="16"/>
      <c r="D9" s="16"/>
      <c r="E9" s="16"/>
      <c r="F9" s="16"/>
    </row>
    <row r="10" spans="1:6" s="11" customFormat="1" x14ac:dyDescent="0.25">
      <c r="A10" s="17" t="s">
        <v>115</v>
      </c>
      <c r="B10" s="27">
        <f>B8/B3</f>
        <v>49.685197056383466</v>
      </c>
      <c r="C10" s="27">
        <f t="shared" ref="C10:D10" si="6">C8/C3</f>
        <v>53.014727103832954</v>
      </c>
      <c r="D10" s="27">
        <f t="shared" si="6"/>
        <v>53.838298493696222</v>
      </c>
      <c r="E10" s="95">
        <f t="shared" ref="E10:F10" si="7">E8/E3</f>
        <v>52.251753646937019</v>
      </c>
      <c r="F10" s="95">
        <f t="shared" si="7"/>
        <v>52.209389121239219</v>
      </c>
    </row>
    <row r="12" spans="1:6" ht="18.75" x14ac:dyDescent="0.35">
      <c r="A12" s="3" t="s">
        <v>52</v>
      </c>
    </row>
    <row r="13" spans="1:6" s="49" customFormat="1" x14ac:dyDescent="0.25">
      <c r="A13" s="19"/>
      <c r="B13" s="19">
        <v>2016</v>
      </c>
      <c r="C13" s="19">
        <v>2017</v>
      </c>
      <c r="D13" s="19">
        <v>2018</v>
      </c>
      <c r="E13" s="19">
        <v>2019</v>
      </c>
      <c r="F13" s="19">
        <v>2020</v>
      </c>
    </row>
    <row r="14" spans="1:6" ht="18" x14ac:dyDescent="0.35">
      <c r="A14" s="10" t="s">
        <v>32</v>
      </c>
      <c r="B14" s="6">
        <f>Dati!C5</f>
        <v>3792</v>
      </c>
      <c r="C14" s="10">
        <f>Dati!D5</f>
        <v>3875</v>
      </c>
      <c r="D14" s="10">
        <f>Dati!E5</f>
        <v>3975</v>
      </c>
      <c r="E14" s="10">
        <f>Dati!F5</f>
        <v>3729</v>
      </c>
      <c r="F14" s="10">
        <f>Dati!G5</f>
        <v>3403</v>
      </c>
    </row>
    <row r="15" spans="1:6" ht="18" x14ac:dyDescent="0.35">
      <c r="A15" s="10" t="s">
        <v>54</v>
      </c>
      <c r="B15" s="6">
        <f>Dati!C34</f>
        <v>9.1379999999999999</v>
      </c>
      <c r="C15" s="10">
        <f>Dati!D34</f>
        <v>9.8599019999999999</v>
      </c>
      <c r="D15" s="10">
        <f>Dati!E34</f>
        <v>9.9055920000000004</v>
      </c>
      <c r="E15" s="10">
        <f>Dati!F34</f>
        <v>9.7959360000000011</v>
      </c>
      <c r="F15" s="10">
        <f>Dati!G34</f>
        <v>9.7045560000000002</v>
      </c>
    </row>
    <row r="16" spans="1:6" ht="18" x14ac:dyDescent="0.35">
      <c r="A16" s="10" t="s">
        <v>55</v>
      </c>
      <c r="B16" s="6">
        <v>12</v>
      </c>
      <c r="C16" s="10">
        <v>12</v>
      </c>
      <c r="D16" s="10">
        <v>12</v>
      </c>
      <c r="E16" s="10">
        <v>12</v>
      </c>
      <c r="F16" s="10">
        <v>12</v>
      </c>
    </row>
    <row r="17" spans="1:6" ht="18" x14ac:dyDescent="0.35">
      <c r="A17" s="7" t="s">
        <v>118</v>
      </c>
      <c r="B17" s="16">
        <f>B14*B15*B16</f>
        <v>415815.55200000003</v>
      </c>
      <c r="C17" s="16">
        <f t="shared" ref="C17:D17" si="8">C14*C15*C16</f>
        <v>458485.44299999997</v>
      </c>
      <c r="D17" s="16">
        <f t="shared" si="8"/>
        <v>472496.73840000003</v>
      </c>
      <c r="E17" s="16">
        <f t="shared" ref="E17:F17" si="9">E14*E15*E16</f>
        <v>438348.54412800004</v>
      </c>
      <c r="F17" s="16">
        <f t="shared" si="9"/>
        <v>396295.24881600001</v>
      </c>
    </row>
    <row r="18" spans="1:6" s="11" customFormat="1" x14ac:dyDescent="0.25">
      <c r="A18" s="17" t="s">
        <v>129</v>
      </c>
      <c r="B18" s="27">
        <f>B17/(Dati!C6+Dati!C9)</f>
        <v>86.520089887640452</v>
      </c>
      <c r="C18" s="27">
        <f>C17/(Dati!D6+Dati!D9)</f>
        <v>92.436581249999989</v>
      </c>
      <c r="D18" s="27">
        <f>D17/(Dati!E6+Dati!E9)</f>
        <v>95.531083380509514</v>
      </c>
      <c r="E18" s="95">
        <f>E17/(Dati!F6+Dati!F9)</f>
        <v>93.444584124493716</v>
      </c>
      <c r="F18" s="95">
        <f>F17/(Dati!G6+Dati!G9)</f>
        <v>94.400964463077656</v>
      </c>
    </row>
    <row r="20" spans="1:6" ht="18.75" x14ac:dyDescent="0.35">
      <c r="A20" s="3" t="s">
        <v>53</v>
      </c>
    </row>
    <row r="21" spans="1:6" s="49" customFormat="1" x14ac:dyDescent="0.25">
      <c r="A21" s="19"/>
      <c r="B21" s="19">
        <v>2016</v>
      </c>
      <c r="C21" s="19">
        <v>2017</v>
      </c>
      <c r="D21" s="19">
        <v>2018</v>
      </c>
      <c r="E21" s="19">
        <v>2019</v>
      </c>
      <c r="F21" s="19">
        <v>2020</v>
      </c>
    </row>
    <row r="22" spans="1:6" ht="18" x14ac:dyDescent="0.35">
      <c r="A22" s="10" t="s">
        <v>56</v>
      </c>
      <c r="B22" s="15">
        <f>B23*B24</f>
        <v>1440.96</v>
      </c>
      <c r="C22" s="15">
        <f t="shared" ref="C22:D22" si="10">C23*C24</f>
        <v>1472.5</v>
      </c>
      <c r="D22" s="15">
        <f t="shared" si="10"/>
        <v>1510.5</v>
      </c>
      <c r="E22" s="15">
        <f t="shared" ref="E22:F22" si="11">E23*E24</f>
        <v>1417.02</v>
      </c>
      <c r="F22" s="15">
        <f t="shared" si="11"/>
        <v>1293.1400000000001</v>
      </c>
    </row>
    <row r="23" spans="1:6" ht="18" x14ac:dyDescent="0.35">
      <c r="A23" s="10" t="s">
        <v>32</v>
      </c>
      <c r="B23" s="13">
        <f>Dati!C5</f>
        <v>3792</v>
      </c>
      <c r="C23" s="13">
        <f>Dati!D5</f>
        <v>3875</v>
      </c>
      <c r="D23" s="13">
        <f>Dati!E5</f>
        <v>3975</v>
      </c>
      <c r="E23" s="13">
        <f>Dati!F5</f>
        <v>3729</v>
      </c>
      <c r="F23" s="13">
        <f>Dati!G5</f>
        <v>3403</v>
      </c>
    </row>
    <row r="24" spans="1:6" ht="18" x14ac:dyDescent="0.35">
      <c r="A24" s="10" t="s">
        <v>119</v>
      </c>
      <c r="B24" s="10">
        <v>0.38</v>
      </c>
      <c r="C24" s="10">
        <v>0.38</v>
      </c>
      <c r="D24" s="10">
        <v>0.38</v>
      </c>
      <c r="E24" s="10">
        <v>0.38</v>
      </c>
      <c r="F24" s="10">
        <v>0.38</v>
      </c>
    </row>
    <row r="25" spans="1:6" ht="18" x14ac:dyDescent="0.35">
      <c r="A25" s="10" t="s">
        <v>58</v>
      </c>
      <c r="B25" s="29">
        <f>Dati!C35</f>
        <v>6.05</v>
      </c>
      <c r="C25" s="29">
        <f>Dati!D35</f>
        <v>6.5279499999999997</v>
      </c>
      <c r="D25" s="29">
        <f>Dati!E35</f>
        <v>6.5582000000000003</v>
      </c>
      <c r="E25" s="29">
        <f>Dati!F35</f>
        <v>6.4855999999999998</v>
      </c>
      <c r="F25" s="29">
        <f>Dati!G35</f>
        <v>6.4251000000000005</v>
      </c>
    </row>
    <row r="26" spans="1:6" ht="18" x14ac:dyDescent="0.35">
      <c r="A26" s="10" t="s">
        <v>59</v>
      </c>
      <c r="B26" s="10">
        <v>16</v>
      </c>
      <c r="C26" s="10">
        <v>16</v>
      </c>
      <c r="D26" s="10">
        <v>16</v>
      </c>
      <c r="E26" s="10">
        <v>16</v>
      </c>
      <c r="F26" s="10">
        <v>16</v>
      </c>
    </row>
    <row r="27" spans="1:6" ht="18" x14ac:dyDescent="0.35">
      <c r="A27" s="7" t="s">
        <v>60</v>
      </c>
      <c r="B27" s="16">
        <f>B22*B25*B26</f>
        <v>139484.92799999999</v>
      </c>
      <c r="C27" s="16">
        <f t="shared" ref="C27:D27" si="12">C22*C25*C26</f>
        <v>153798.50199999998</v>
      </c>
      <c r="D27" s="16">
        <f t="shared" si="12"/>
        <v>158498.57760000002</v>
      </c>
      <c r="E27" s="16">
        <f t="shared" ref="E27:F27" si="13">E22*E25*E26</f>
        <v>147043.59859199999</v>
      </c>
      <c r="F27" s="16">
        <f t="shared" si="13"/>
        <v>132936.86102400001</v>
      </c>
    </row>
    <row r="28" spans="1:6" ht="18" x14ac:dyDescent="0.35">
      <c r="A28" s="10" t="s">
        <v>57</v>
      </c>
      <c r="B28" s="16"/>
      <c r="C28" s="16"/>
      <c r="D28" s="16"/>
      <c r="E28" s="16"/>
      <c r="F28" s="16"/>
    </row>
    <row r="29" spans="1:6" s="11" customFormat="1" x14ac:dyDescent="0.25">
      <c r="A29" s="17" t="s">
        <v>197</v>
      </c>
      <c r="B29" s="27">
        <f>B27/(Dati!C8+Dati!C9)</f>
        <v>204.22390629575401</v>
      </c>
      <c r="C29" s="27">
        <f>C27/(Dati!D8+Dati!D9)</f>
        <v>243.35206012658224</v>
      </c>
      <c r="D29" s="27">
        <f>D27/(Dati!E8+Dati!E9)</f>
        <v>229.7080834782609</v>
      </c>
      <c r="E29" s="95">
        <f>E27/(Dati!F8+Dati!F9)</f>
        <v>247.96559627655986</v>
      </c>
      <c r="F29" s="95">
        <f>F27/(Dati!G8+Dati!G9)</f>
        <v>211.01089051428573</v>
      </c>
    </row>
    <row r="31" spans="1:6" ht="18.75" x14ac:dyDescent="0.35">
      <c r="A31" s="3" t="s">
        <v>61</v>
      </c>
    </row>
    <row r="32" spans="1:6" s="49" customFormat="1" x14ac:dyDescent="0.25">
      <c r="A32" s="56"/>
      <c r="B32" s="56">
        <v>2016</v>
      </c>
      <c r="C32" s="56">
        <v>2017</v>
      </c>
      <c r="D32" s="56">
        <v>2018</v>
      </c>
      <c r="E32" s="56">
        <v>2019</v>
      </c>
      <c r="F32" s="56">
        <v>2020</v>
      </c>
    </row>
    <row r="33" spans="1:6" ht="18" x14ac:dyDescent="0.35">
      <c r="A33" s="10" t="s">
        <v>62</v>
      </c>
      <c r="B33" s="8">
        <f>Dati!C4</f>
        <v>19527</v>
      </c>
      <c r="C33" s="13">
        <f>Dati!D4</f>
        <v>20929</v>
      </c>
      <c r="D33" s="13">
        <f>Dati!E4</f>
        <v>20502</v>
      </c>
      <c r="E33" s="13">
        <f>Dati!F4</f>
        <v>20862</v>
      </c>
      <c r="F33" s="13">
        <f>Dati!G4</f>
        <v>18334</v>
      </c>
    </row>
    <row r="34" spans="1:6" ht="18" x14ac:dyDescent="0.35">
      <c r="A34" s="10" t="s">
        <v>63</v>
      </c>
      <c r="B34" s="28">
        <f>Dati!C36</f>
        <v>118.78</v>
      </c>
      <c r="C34" s="29">
        <f>Dati!D36</f>
        <v>122.22461999999999</v>
      </c>
      <c r="D34" s="29">
        <f>Dati!E36</f>
        <v>121.7495</v>
      </c>
      <c r="E34" s="29">
        <f>Dati!F36</f>
        <v>122.10584</v>
      </c>
      <c r="F34" s="29">
        <f>Dati!G36</f>
        <v>118.1861</v>
      </c>
    </row>
    <row r="35" spans="1:6" ht="18" x14ac:dyDescent="0.35">
      <c r="A35" s="10" t="s">
        <v>64</v>
      </c>
      <c r="B35" s="6">
        <v>4.5999999999999999E-2</v>
      </c>
      <c r="C35" s="10">
        <v>4.5999999999999999E-2</v>
      </c>
      <c r="D35" s="10">
        <v>4.5999999999999999E-2</v>
      </c>
      <c r="E35" s="10">
        <v>4.5999999999999999E-2</v>
      </c>
      <c r="F35" s="10">
        <v>4.5999999999999999E-2</v>
      </c>
    </row>
    <row r="36" spans="1:6" ht="18" x14ac:dyDescent="0.35">
      <c r="A36" s="10" t="s">
        <v>65</v>
      </c>
      <c r="B36" s="6">
        <v>1.04</v>
      </c>
      <c r="C36" s="10">
        <v>1.04</v>
      </c>
      <c r="D36" s="10">
        <v>1.04</v>
      </c>
      <c r="E36" s="10">
        <v>1.04</v>
      </c>
      <c r="F36" s="10">
        <v>1.04</v>
      </c>
    </row>
    <row r="37" spans="1:6" ht="18" x14ac:dyDescent="0.35">
      <c r="A37" s="7" t="s">
        <v>66</v>
      </c>
      <c r="B37" s="16">
        <f>B33*B35*B34*B36*2</f>
        <v>221921.82430080001</v>
      </c>
      <c r="C37" s="16">
        <f t="shared" ref="C37:D37" si="14">C33*C35*C34*C36*2</f>
        <v>244753.17840704639</v>
      </c>
      <c r="D37" s="16">
        <f t="shared" si="14"/>
        <v>238827.63726432002</v>
      </c>
      <c r="E37" s="16">
        <f t="shared" ref="E37:F37" si="15">E33*E35*E34*E36*2</f>
        <v>243732.55622077439</v>
      </c>
      <c r="F37" s="16">
        <f t="shared" si="15"/>
        <v>207321.71624403202</v>
      </c>
    </row>
    <row r="38" spans="1:6" s="11" customFormat="1" x14ac:dyDescent="0.25">
      <c r="A38" s="50" t="s">
        <v>115</v>
      </c>
      <c r="B38" s="52">
        <f>B37/B33</f>
        <v>11.364870400000001</v>
      </c>
      <c r="C38" s="52">
        <f t="shared" ref="C38:D38" si="16">C37/C33</f>
        <v>11.694451641599999</v>
      </c>
      <c r="D38" s="52">
        <f t="shared" si="16"/>
        <v>11.648992160000001</v>
      </c>
      <c r="E38" s="51">
        <f t="shared" ref="E38:F38" si="17">E37/E33</f>
        <v>11.683086771199999</v>
      </c>
      <c r="F38" s="51">
        <f t="shared" si="17"/>
        <v>11.308046048000001</v>
      </c>
    </row>
    <row r="40" spans="1:6" ht="18.75" x14ac:dyDescent="0.35">
      <c r="A40" s="3" t="s">
        <v>67</v>
      </c>
    </row>
    <row r="41" spans="1:6" s="49" customFormat="1" x14ac:dyDescent="0.25">
      <c r="A41" s="19"/>
      <c r="B41" s="19">
        <v>2016</v>
      </c>
      <c r="C41" s="19">
        <v>2017</v>
      </c>
      <c r="D41" s="19">
        <v>2018</v>
      </c>
      <c r="E41" s="19">
        <v>2019</v>
      </c>
      <c r="F41" s="19">
        <v>2020</v>
      </c>
    </row>
    <row r="42" spans="1:6" x14ac:dyDescent="0.25">
      <c r="A42" s="6" t="s">
        <v>120</v>
      </c>
      <c r="B42" s="8">
        <f>Dati!C18</f>
        <v>46176660</v>
      </c>
      <c r="C42" s="13">
        <f>Dati!D18</f>
        <v>49876634</v>
      </c>
      <c r="D42" s="13">
        <f>Dati!E18</f>
        <v>70413091</v>
      </c>
      <c r="E42" s="13">
        <f>Dati!F18</f>
        <v>74761996</v>
      </c>
      <c r="F42" s="13">
        <f>Dati!G18</f>
        <v>75762996</v>
      </c>
    </row>
    <row r="43" spans="1:6" ht="18" x14ac:dyDescent="0.35">
      <c r="A43" s="7" t="s">
        <v>121</v>
      </c>
      <c r="B43" s="16">
        <f>B42*0.065</f>
        <v>3001482.9</v>
      </c>
      <c r="C43" s="16">
        <f t="shared" ref="C43:D43" si="18">C42*0.065</f>
        <v>3241981.21</v>
      </c>
      <c r="D43" s="16">
        <f t="shared" si="18"/>
        <v>4576850.915</v>
      </c>
      <c r="E43" s="16">
        <f t="shared" ref="E43:F43" si="19">E42*0.065</f>
        <v>4859529.74</v>
      </c>
      <c r="F43" s="16">
        <f t="shared" si="19"/>
        <v>4924594.74</v>
      </c>
    </row>
    <row r="44" spans="1:6" s="11" customFormat="1" x14ac:dyDescent="0.25">
      <c r="A44" s="59" t="s">
        <v>107</v>
      </c>
      <c r="B44" s="52">
        <f>B43/Dati!C3</f>
        <v>69.241554396973328</v>
      </c>
      <c r="C44" s="52">
        <f>C43/Dati!D3</f>
        <v>71.305617604363704</v>
      </c>
      <c r="D44" s="52">
        <f>D43/Dati!E3</f>
        <v>105.9701531604538</v>
      </c>
      <c r="E44" s="51">
        <f>E43/Dati!F3</f>
        <v>110.58208533394016</v>
      </c>
      <c r="F44" s="51">
        <f>F43/Dati!G3</f>
        <v>125.73326371690455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2" workbookViewId="0">
      <selection activeCell="F1" sqref="F1:F1048576"/>
    </sheetView>
  </sheetViews>
  <sheetFormatPr defaultRowHeight="15" x14ac:dyDescent="0.25"/>
  <cols>
    <col min="1" max="1" width="80" customWidth="1"/>
    <col min="2" max="2" width="12.85546875" customWidth="1"/>
    <col min="3" max="3" width="12.42578125" bestFit="1" customWidth="1"/>
    <col min="4" max="4" width="12.7109375" customWidth="1"/>
    <col min="5" max="5" width="14.28515625" style="39" customWidth="1"/>
    <col min="6" max="6" width="14.28515625" style="4" customWidth="1"/>
  </cols>
  <sheetData>
    <row r="1" spans="1:6" ht="18.75" x14ac:dyDescent="0.35">
      <c r="A1" s="3" t="s">
        <v>68</v>
      </c>
    </row>
    <row r="2" spans="1:6" s="49" customFormat="1" x14ac:dyDescent="0.25">
      <c r="A2" s="19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6" ht="18" x14ac:dyDescent="0.35">
      <c r="A3" s="10" t="s">
        <v>125</v>
      </c>
      <c r="B3" s="10">
        <f>Dati!C6</f>
        <v>4648</v>
      </c>
      <c r="C3" s="43">
        <f>Dati!D6</f>
        <v>4824</v>
      </c>
      <c r="D3" s="43">
        <f>Dati!E6</f>
        <v>4798</v>
      </c>
      <c r="E3" s="43">
        <f>Dati!F6</f>
        <v>4559</v>
      </c>
      <c r="F3" s="43">
        <f>Dati!G6</f>
        <v>4059</v>
      </c>
    </row>
    <row r="4" spans="1:6" ht="18" x14ac:dyDescent="0.35">
      <c r="A4" s="10" t="s">
        <v>127</v>
      </c>
      <c r="B4" s="10">
        <v>5.1000000000000004E-3</v>
      </c>
      <c r="C4" s="43">
        <v>5.1000000000000004E-3</v>
      </c>
      <c r="D4" s="43">
        <v>5.1000000000000004E-3</v>
      </c>
      <c r="E4" s="43">
        <v>5.1000000000000004E-3</v>
      </c>
      <c r="F4" s="43">
        <v>5.1000000000000004E-3</v>
      </c>
    </row>
    <row r="5" spans="1:6" ht="18" x14ac:dyDescent="0.35">
      <c r="A5" s="10" t="s">
        <v>73</v>
      </c>
      <c r="B5" s="29">
        <f>0.45*B7+B8/B9*B7*0.1</f>
        <v>422.3416666666667</v>
      </c>
      <c r="C5" s="44">
        <f t="shared" ref="C5:D5" si="0">0.45*C7+C8/C9*C7*0.1</f>
        <v>455.2833333333333</v>
      </c>
      <c r="D5" s="44">
        <f t="shared" si="0"/>
        <v>493.63333333333333</v>
      </c>
      <c r="E5" s="44">
        <f t="shared" ref="E5:F5" si="1">0.45*E7+E8/E9*E7*0.1</f>
        <v>529.0333333333333</v>
      </c>
      <c r="F5" s="44">
        <f t="shared" si="1"/>
        <v>538.86666666666667</v>
      </c>
    </row>
    <row r="6" spans="1:6" ht="18" x14ac:dyDescent="0.35">
      <c r="A6" s="10" t="s">
        <v>75</v>
      </c>
      <c r="B6" s="10">
        <v>14.4</v>
      </c>
      <c r="C6" s="43">
        <v>14.4</v>
      </c>
      <c r="D6" s="43">
        <v>14.4</v>
      </c>
      <c r="E6" s="43">
        <v>14.4</v>
      </c>
      <c r="F6" s="43">
        <v>14.4</v>
      </c>
    </row>
    <row r="7" spans="1:6" x14ac:dyDescent="0.25">
      <c r="A7" s="10" t="s">
        <v>69</v>
      </c>
      <c r="B7" s="13">
        <f>Dati!C21</f>
        <v>859</v>
      </c>
      <c r="C7" s="45">
        <f>Dati!D21</f>
        <v>926</v>
      </c>
      <c r="D7" s="45">
        <f>Dati!E21</f>
        <v>1004</v>
      </c>
      <c r="E7" s="45">
        <f>Dati!F21</f>
        <v>1076</v>
      </c>
      <c r="F7" s="45">
        <f>Dati!G21</f>
        <v>1096</v>
      </c>
    </row>
    <row r="8" spans="1:6" x14ac:dyDescent="0.25">
      <c r="A8" s="10" t="s">
        <v>70</v>
      </c>
      <c r="B8" s="10">
        <v>20</v>
      </c>
      <c r="C8" s="43">
        <v>20</v>
      </c>
      <c r="D8" s="43">
        <v>20</v>
      </c>
      <c r="E8" s="43">
        <v>20</v>
      </c>
      <c r="F8" s="43">
        <v>20</v>
      </c>
    </row>
    <row r="9" spans="1:6" x14ac:dyDescent="0.25">
      <c r="A9" s="10" t="s">
        <v>71</v>
      </c>
      <c r="B9" s="10">
        <v>48</v>
      </c>
      <c r="C9" s="43">
        <v>48</v>
      </c>
      <c r="D9" s="43">
        <v>48</v>
      </c>
      <c r="E9" s="43">
        <v>48</v>
      </c>
      <c r="F9" s="43">
        <v>48</v>
      </c>
    </row>
    <row r="10" spans="1:6" ht="18" x14ac:dyDescent="0.35">
      <c r="A10" s="7" t="s">
        <v>126</v>
      </c>
      <c r="B10" s="16">
        <f>B3*B4*B5*B6*12</f>
        <v>1729991.4750720004</v>
      </c>
      <c r="C10" s="46">
        <f t="shared" ref="C10:D10" si="2">C3*C4*C5*C6*12</f>
        <v>1935543.6311040004</v>
      </c>
      <c r="D10" s="46">
        <f t="shared" si="2"/>
        <v>2087270.0248320003</v>
      </c>
      <c r="E10" s="46">
        <f t="shared" ref="E10:F10" si="3">E3*E4*E5*E6*12</f>
        <v>2125526.5952640004</v>
      </c>
      <c r="F10" s="46">
        <f t="shared" si="3"/>
        <v>1927588.3165440001</v>
      </c>
    </row>
    <row r="11" spans="1:6" ht="18" x14ac:dyDescent="0.35">
      <c r="A11" s="10" t="s">
        <v>74</v>
      </c>
      <c r="B11" s="16"/>
      <c r="C11" s="16"/>
      <c r="D11" s="16"/>
      <c r="E11" s="16"/>
      <c r="F11" s="16"/>
    </row>
    <row r="12" spans="1:6" s="11" customFormat="1" x14ac:dyDescent="0.25">
      <c r="A12" s="50" t="s">
        <v>129</v>
      </c>
      <c r="B12" s="52">
        <f>B10/B3</f>
        <v>372.20126400000009</v>
      </c>
      <c r="C12" s="52">
        <f t="shared" ref="C12:D12" si="4">C10/C3</f>
        <v>401.23209600000007</v>
      </c>
      <c r="D12" s="52">
        <f t="shared" si="4"/>
        <v>435.02918400000004</v>
      </c>
      <c r="E12" s="51">
        <f t="shared" ref="E12:F12" si="5">E10/E3</f>
        <v>466.22649600000005</v>
      </c>
      <c r="F12" s="51">
        <f t="shared" si="5"/>
        <v>474.89241600000003</v>
      </c>
    </row>
    <row r="14" spans="1:6" ht="18.75" x14ac:dyDescent="0.35">
      <c r="A14" s="3" t="s">
        <v>76</v>
      </c>
    </row>
    <row r="15" spans="1:6" s="49" customFormat="1" x14ac:dyDescent="0.25">
      <c r="A15" s="19"/>
      <c r="B15" s="19">
        <v>2016</v>
      </c>
      <c r="C15" s="19">
        <v>2017</v>
      </c>
      <c r="D15" s="19">
        <v>2018</v>
      </c>
      <c r="E15" s="19">
        <v>2019</v>
      </c>
      <c r="F15" s="19">
        <v>2020</v>
      </c>
    </row>
    <row r="16" spans="1:6" ht="18" x14ac:dyDescent="0.35">
      <c r="A16" s="10" t="s">
        <v>125</v>
      </c>
      <c r="B16" s="10">
        <f>Dati!C6</f>
        <v>4648</v>
      </c>
      <c r="C16" s="10">
        <f>Dati!D6</f>
        <v>4824</v>
      </c>
      <c r="D16" s="10">
        <f>Dati!E6</f>
        <v>4798</v>
      </c>
      <c r="E16" s="10">
        <f>Dati!F6</f>
        <v>4559</v>
      </c>
      <c r="F16" s="10">
        <f>Dati!G6</f>
        <v>4059</v>
      </c>
    </row>
    <row r="17" spans="1:6" ht="18" x14ac:dyDescent="0.35">
      <c r="A17" s="10" t="s">
        <v>130</v>
      </c>
      <c r="B17" s="10">
        <v>1.32E-2</v>
      </c>
      <c r="C17" s="10">
        <v>1.32E-2</v>
      </c>
      <c r="D17" s="10">
        <v>1.32E-2</v>
      </c>
      <c r="E17" s="10">
        <v>1.32E-2</v>
      </c>
      <c r="F17" s="10">
        <v>1.32E-2</v>
      </c>
    </row>
    <row r="18" spans="1:6" ht="18" x14ac:dyDescent="0.35">
      <c r="A18" s="10" t="s">
        <v>78</v>
      </c>
      <c r="B18" s="29">
        <f>0.4*B20+B21/B22*B20*0.1</f>
        <v>379.39166666666671</v>
      </c>
      <c r="C18" s="29">
        <f t="shared" ref="C18:D18" si="6">0.4*C20+C21/C22*C20*0.1</f>
        <v>408.98333333333335</v>
      </c>
      <c r="D18" s="29">
        <f t="shared" si="6"/>
        <v>443.43333333333339</v>
      </c>
      <c r="E18" s="29">
        <f t="shared" ref="E18:F18" si="7">0.4*E20+E21/E22*E20*0.1</f>
        <v>475.23333333333335</v>
      </c>
      <c r="F18" s="29">
        <f t="shared" si="7"/>
        <v>484.06666666666672</v>
      </c>
    </row>
    <row r="19" spans="1:6" ht="18" x14ac:dyDescent="0.35">
      <c r="A19" s="10" t="s">
        <v>133</v>
      </c>
      <c r="B19" s="10">
        <v>14</v>
      </c>
      <c r="C19" s="10">
        <v>14</v>
      </c>
      <c r="D19" s="10">
        <v>14</v>
      </c>
      <c r="E19" s="10">
        <v>14</v>
      </c>
      <c r="F19" s="10">
        <v>14</v>
      </c>
    </row>
    <row r="20" spans="1:6" x14ac:dyDescent="0.25">
      <c r="A20" s="10" t="s">
        <v>69</v>
      </c>
      <c r="B20" s="13">
        <f>Dati!C21</f>
        <v>859</v>
      </c>
      <c r="C20" s="13">
        <f>Dati!D21</f>
        <v>926</v>
      </c>
      <c r="D20" s="13">
        <f>Dati!E21</f>
        <v>1004</v>
      </c>
      <c r="E20" s="13">
        <f>Dati!F21</f>
        <v>1076</v>
      </c>
      <c r="F20" s="13">
        <f>Dati!G21</f>
        <v>1096</v>
      </c>
    </row>
    <row r="21" spans="1:6" x14ac:dyDescent="0.25">
      <c r="A21" s="10" t="s">
        <v>70</v>
      </c>
      <c r="B21" s="10">
        <v>20</v>
      </c>
      <c r="C21" s="10">
        <v>20</v>
      </c>
      <c r="D21" s="10">
        <v>20</v>
      </c>
      <c r="E21" s="10">
        <v>20</v>
      </c>
      <c r="F21" s="10">
        <v>20</v>
      </c>
    </row>
    <row r="22" spans="1:6" x14ac:dyDescent="0.25">
      <c r="A22" s="10" t="s">
        <v>71</v>
      </c>
      <c r="B22" s="10">
        <v>48</v>
      </c>
      <c r="C22" s="10">
        <v>48</v>
      </c>
      <c r="D22" s="10">
        <v>48</v>
      </c>
      <c r="E22" s="10">
        <v>48</v>
      </c>
      <c r="F22" s="10">
        <v>48</v>
      </c>
    </row>
    <row r="23" spans="1:6" ht="18" x14ac:dyDescent="0.35">
      <c r="A23" s="7" t="s">
        <v>128</v>
      </c>
      <c r="B23" s="16">
        <f>B16*B17*B18*B19*12</f>
        <v>3910543.4860800002</v>
      </c>
      <c r="C23" s="16">
        <f t="shared" ref="C23:D23" si="8">C16*C17*C18*C19*12</f>
        <v>4375181.9865600001</v>
      </c>
      <c r="D23" s="16">
        <f t="shared" si="8"/>
        <v>4718150.5324800005</v>
      </c>
      <c r="E23" s="16">
        <f t="shared" ref="E23:F23" si="9">E16*E17*E18*E19*12</f>
        <v>4804627.2489600005</v>
      </c>
      <c r="F23" s="16">
        <f t="shared" si="9"/>
        <v>4357199.4681600006</v>
      </c>
    </row>
    <row r="24" spans="1:6" ht="18" x14ac:dyDescent="0.35">
      <c r="A24" s="10" t="s">
        <v>79</v>
      </c>
      <c r="B24" s="16"/>
      <c r="C24" s="16"/>
      <c r="D24" s="16"/>
      <c r="E24" s="60"/>
      <c r="F24" s="16"/>
    </row>
    <row r="25" spans="1:6" s="11" customFormat="1" x14ac:dyDescent="0.25">
      <c r="A25" s="50" t="s">
        <v>129</v>
      </c>
      <c r="B25" s="52">
        <f>B23/B16</f>
        <v>841.33896000000004</v>
      </c>
      <c r="C25" s="52">
        <f t="shared" ref="C25:D25" si="10">C23/C16</f>
        <v>906.96144000000004</v>
      </c>
      <c r="D25" s="52">
        <f t="shared" si="10"/>
        <v>983.3577600000001</v>
      </c>
      <c r="E25" s="51">
        <f t="shared" ref="E25:F25" si="11">E23/E16</f>
        <v>1053.8774400000002</v>
      </c>
      <c r="F25" s="51">
        <f t="shared" si="11"/>
        <v>1073.4662400000002</v>
      </c>
    </row>
    <row r="27" spans="1:6" ht="18.75" x14ac:dyDescent="0.35">
      <c r="A27" s="3" t="s">
        <v>80</v>
      </c>
    </row>
    <row r="28" spans="1:6" s="49" customFormat="1" x14ac:dyDescent="0.25">
      <c r="A28" s="19"/>
      <c r="B28" s="19">
        <v>2016</v>
      </c>
      <c r="C28" s="19">
        <v>2017</v>
      </c>
      <c r="D28" s="19">
        <v>2018</v>
      </c>
      <c r="E28" s="19">
        <v>2019</v>
      </c>
      <c r="F28" s="19">
        <v>2020</v>
      </c>
    </row>
    <row r="29" spans="1:6" ht="18" x14ac:dyDescent="0.35">
      <c r="A29" s="10" t="s">
        <v>125</v>
      </c>
      <c r="B29" s="13">
        <f>Dati!C6</f>
        <v>4648</v>
      </c>
      <c r="C29" s="13">
        <f>Dati!D6</f>
        <v>4824</v>
      </c>
      <c r="D29" s="13">
        <f>Dati!E6</f>
        <v>4798</v>
      </c>
      <c r="E29" s="13">
        <f>Dati!F6</f>
        <v>4559</v>
      </c>
      <c r="F29" s="13">
        <f>Dati!G6</f>
        <v>4059</v>
      </c>
    </row>
    <row r="30" spans="1:6" ht="18" x14ac:dyDescent="0.35">
      <c r="A30" s="10" t="s">
        <v>131</v>
      </c>
      <c r="B30" s="10">
        <v>1.24E-2</v>
      </c>
      <c r="C30" s="10">
        <v>1.24E-2</v>
      </c>
      <c r="D30" s="10">
        <v>1.24E-2</v>
      </c>
      <c r="E30" s="10">
        <v>1.24E-2</v>
      </c>
      <c r="F30" s="10">
        <v>1.24E-2</v>
      </c>
    </row>
    <row r="31" spans="1:6" ht="18" x14ac:dyDescent="0.35">
      <c r="A31" s="10" t="s">
        <v>81</v>
      </c>
      <c r="B31" s="10">
        <f>Dati!C29</f>
        <v>64.03</v>
      </c>
      <c r="C31" s="10">
        <f>Dati!D29</f>
        <v>64.03</v>
      </c>
      <c r="D31" s="10">
        <f>Dati!E29</f>
        <v>64.03</v>
      </c>
      <c r="E31" s="10">
        <f>Dati!F29</f>
        <v>64.03</v>
      </c>
      <c r="F31" s="10">
        <f>Dati!G29</f>
        <v>64.03</v>
      </c>
    </row>
    <row r="32" spans="1:6" ht="18" x14ac:dyDescent="0.35">
      <c r="A32" s="10" t="s">
        <v>82</v>
      </c>
      <c r="B32" s="10">
        <v>12</v>
      </c>
      <c r="C32" s="10">
        <v>12</v>
      </c>
      <c r="D32" s="10">
        <v>12</v>
      </c>
      <c r="E32" s="10">
        <v>12</v>
      </c>
      <c r="F32" s="10">
        <v>12</v>
      </c>
    </row>
    <row r="33" spans="1:6" ht="18" x14ac:dyDescent="0.35">
      <c r="A33" s="7" t="s">
        <v>132</v>
      </c>
      <c r="B33" s="16">
        <f>B29*B30*B31*B32*12</f>
        <v>531414.987264</v>
      </c>
      <c r="C33" s="16">
        <f t="shared" ref="C33:D33" si="12">C29*C30*C31*C32*12</f>
        <v>551537.41363199998</v>
      </c>
      <c r="D33" s="16">
        <f t="shared" si="12"/>
        <v>548564.78246400005</v>
      </c>
      <c r="E33" s="16">
        <f t="shared" ref="E33:F33" si="13">E29*E30*E31*E32*12</f>
        <v>521239.44211199996</v>
      </c>
      <c r="F33" s="16">
        <f t="shared" si="13"/>
        <v>464073.45811200002</v>
      </c>
    </row>
    <row r="34" spans="1:6" s="11" customFormat="1" x14ac:dyDescent="0.25">
      <c r="A34" s="50" t="s">
        <v>129</v>
      </c>
      <c r="B34" s="51">
        <f>B33/B29</f>
        <v>114.331968</v>
      </c>
      <c r="C34" s="51">
        <f t="shared" ref="C34:D34" si="14">C33/C29</f>
        <v>114.33196799999999</v>
      </c>
      <c r="D34" s="51">
        <f t="shared" si="14"/>
        <v>114.331968</v>
      </c>
      <c r="E34" s="51">
        <f t="shared" ref="E34:F34" si="15">E33/E29</f>
        <v>114.33196799999999</v>
      </c>
      <c r="F34" s="51">
        <f t="shared" si="15"/>
        <v>114.331968</v>
      </c>
    </row>
    <row r="35" spans="1:6" x14ac:dyDescent="0.25">
      <c r="A35" s="4"/>
      <c r="B35" s="4"/>
    </row>
    <row r="36" spans="1:6" ht="18.75" x14ac:dyDescent="0.35">
      <c r="A36" s="3" t="s">
        <v>204</v>
      </c>
    </row>
    <row r="37" spans="1:6" s="49" customFormat="1" x14ac:dyDescent="0.25">
      <c r="A37" s="19"/>
      <c r="B37" s="19">
        <v>2016</v>
      </c>
      <c r="C37" s="19">
        <v>2017</v>
      </c>
      <c r="D37" s="19">
        <v>2018</v>
      </c>
      <c r="E37" s="19">
        <v>2019</v>
      </c>
      <c r="F37" s="19">
        <v>2020</v>
      </c>
    </row>
    <row r="38" spans="1:6" ht="18" x14ac:dyDescent="0.35">
      <c r="A38" s="10" t="s">
        <v>125</v>
      </c>
      <c r="B38" s="13">
        <f>Dati!C6</f>
        <v>4648</v>
      </c>
      <c r="C38" s="13">
        <f>Dati!D6</f>
        <v>4824</v>
      </c>
      <c r="D38" s="13">
        <f>Dati!E6</f>
        <v>4798</v>
      </c>
      <c r="E38" s="13">
        <f>Dati!F6</f>
        <v>4559</v>
      </c>
      <c r="F38" s="13">
        <f>Dati!G6</f>
        <v>4059</v>
      </c>
    </row>
    <row r="39" spans="1:6" ht="18" x14ac:dyDescent="0.35">
      <c r="A39" s="10" t="s">
        <v>127</v>
      </c>
      <c r="B39" s="31">
        <f>B4</f>
        <v>5.1000000000000004E-3</v>
      </c>
      <c r="C39" s="31">
        <f t="shared" ref="C39:D39" si="16">C4</f>
        <v>5.1000000000000004E-3</v>
      </c>
      <c r="D39" s="31">
        <f t="shared" si="16"/>
        <v>5.1000000000000004E-3</v>
      </c>
      <c r="E39" s="31">
        <f t="shared" ref="E39:F39" si="17">E4</f>
        <v>5.1000000000000004E-3</v>
      </c>
      <c r="F39" s="31">
        <f t="shared" si="17"/>
        <v>5.1000000000000004E-3</v>
      </c>
    </row>
    <row r="40" spans="1:6" ht="18" x14ac:dyDescent="0.35">
      <c r="A40" s="10" t="s">
        <v>130</v>
      </c>
      <c r="B40" s="31">
        <f>B17</f>
        <v>1.32E-2</v>
      </c>
      <c r="C40" s="31">
        <f t="shared" ref="C40:D40" si="18">C17</f>
        <v>1.32E-2</v>
      </c>
      <c r="D40" s="31">
        <f t="shared" si="18"/>
        <v>1.32E-2</v>
      </c>
      <c r="E40" s="31">
        <f t="shared" ref="E40:F40" si="19">E17</f>
        <v>1.32E-2</v>
      </c>
      <c r="F40" s="31">
        <f t="shared" si="19"/>
        <v>1.32E-2</v>
      </c>
    </row>
    <row r="41" spans="1:6" ht="18" x14ac:dyDescent="0.35">
      <c r="A41" s="10" t="s">
        <v>131</v>
      </c>
      <c r="B41" s="31">
        <f>B30</f>
        <v>1.24E-2</v>
      </c>
      <c r="C41" s="31">
        <f t="shared" ref="C41:D41" si="20">C30</f>
        <v>1.24E-2</v>
      </c>
      <c r="D41" s="31">
        <f t="shared" si="20"/>
        <v>1.24E-2</v>
      </c>
      <c r="E41" s="31">
        <f t="shared" ref="E41:F41" si="21">E30</f>
        <v>1.24E-2</v>
      </c>
      <c r="F41" s="31">
        <f t="shared" si="21"/>
        <v>1.24E-2</v>
      </c>
    </row>
    <row r="42" spans="1:6" ht="18" x14ac:dyDescent="0.35">
      <c r="A42" s="10" t="s">
        <v>20</v>
      </c>
      <c r="B42" s="32">
        <f>Dati!C8</f>
        <v>525</v>
      </c>
      <c r="C42" s="32">
        <f>Dati!D8</f>
        <v>496</v>
      </c>
      <c r="D42" s="32">
        <f>Dati!E8</f>
        <v>542</v>
      </c>
      <c r="E42" s="32">
        <f>Dati!F8</f>
        <v>461</v>
      </c>
      <c r="F42" s="32">
        <f>Dati!G8</f>
        <v>491</v>
      </c>
    </row>
    <row r="43" spans="1:6" ht="18" x14ac:dyDescent="0.35">
      <c r="A43" s="10" t="s">
        <v>29</v>
      </c>
      <c r="B43" s="13">
        <f>Dati!C7</f>
        <v>4123</v>
      </c>
      <c r="C43" s="13">
        <f>Dati!D7</f>
        <v>4328</v>
      </c>
      <c r="D43" s="13">
        <f>Dati!E7</f>
        <v>4256</v>
      </c>
      <c r="E43" s="13">
        <f>Dati!F7</f>
        <v>4098</v>
      </c>
      <c r="F43" s="13">
        <f>Dati!G7</f>
        <v>3568</v>
      </c>
    </row>
    <row r="44" spans="1:6" ht="18" x14ac:dyDescent="0.35">
      <c r="A44" s="10" t="s">
        <v>142</v>
      </c>
      <c r="B44" s="32">
        <f>Dati!C20</f>
        <v>370</v>
      </c>
      <c r="C44" s="32">
        <f>Dati!D20</f>
        <v>380</v>
      </c>
      <c r="D44" s="32">
        <f>Dati!E20</f>
        <v>430</v>
      </c>
      <c r="E44" s="32">
        <f>Dati!F20</f>
        <v>430</v>
      </c>
      <c r="F44" s="32">
        <f>Dati!G20</f>
        <v>430</v>
      </c>
    </row>
    <row r="45" spans="1:6" ht="18" x14ac:dyDescent="0.35">
      <c r="A45" s="10" t="s">
        <v>139</v>
      </c>
      <c r="B45" s="15">
        <f>B38*B39*B44*20</f>
        <v>175415.52000000002</v>
      </c>
      <c r="C45" s="15">
        <f t="shared" ref="C45:D45" si="22">C38*C39*C44*20</f>
        <v>186978.24</v>
      </c>
      <c r="D45" s="15">
        <f t="shared" si="22"/>
        <v>210440.28000000003</v>
      </c>
      <c r="E45" s="15">
        <f t="shared" ref="E45:F45" si="23">E38*E39*E44*20</f>
        <v>199957.74000000002</v>
      </c>
      <c r="F45" s="15">
        <f t="shared" si="23"/>
        <v>178027.74000000002</v>
      </c>
    </row>
    <row r="46" spans="1:6" ht="18" x14ac:dyDescent="0.35">
      <c r="A46" s="10" t="s">
        <v>140</v>
      </c>
      <c r="B46" s="15">
        <f>B42*B44*25+B43*B44*5</f>
        <v>12483800</v>
      </c>
      <c r="C46" s="15">
        <f t="shared" ref="C46:D46" si="24">C42*C44*25+C43*C44*5</f>
        <v>12935200</v>
      </c>
      <c r="D46" s="15">
        <f t="shared" si="24"/>
        <v>14976900</v>
      </c>
      <c r="E46" s="15">
        <f t="shared" ref="E46:F46" si="25">E42*E44*25+E43*E44*5</f>
        <v>13766450</v>
      </c>
      <c r="F46" s="15">
        <f t="shared" si="25"/>
        <v>12949450</v>
      </c>
    </row>
    <row r="47" spans="1:6" ht="18" x14ac:dyDescent="0.35">
      <c r="A47" s="10" t="s">
        <v>141</v>
      </c>
      <c r="B47" s="15">
        <f>B38*B39*B44*10+B38*B40*B44*5+B38*B41*B44*3</f>
        <v>265186.99199999997</v>
      </c>
      <c r="C47" s="15">
        <f t="shared" ref="C47:D47" si="26">C38*C39*C44*10+C38*C40*C44*5+C38*C41*C44*3</f>
        <v>282667.10399999999</v>
      </c>
      <c r="D47" s="15">
        <f t="shared" si="26"/>
        <v>318136.18799999997</v>
      </c>
      <c r="E47" s="15">
        <f t="shared" ref="E47:F47" si="27">E38*E39*E44*10+E38*E40*E44*5+E38*E41*E44*3</f>
        <v>302289.054</v>
      </c>
      <c r="F47" s="15">
        <f t="shared" si="27"/>
        <v>269136.054</v>
      </c>
    </row>
    <row r="48" spans="1:6" s="2" customFormat="1" ht="18" x14ac:dyDescent="0.35">
      <c r="A48" s="7" t="s">
        <v>138</v>
      </c>
      <c r="B48" s="33">
        <f>B45+B46+B47</f>
        <v>12924402.512</v>
      </c>
      <c r="C48" s="33">
        <f t="shared" ref="C48:D48" si="28">C45+C46+C47</f>
        <v>13404845.344000001</v>
      </c>
      <c r="D48" s="33">
        <f t="shared" si="28"/>
        <v>15505476.467999998</v>
      </c>
      <c r="E48" s="33">
        <f t="shared" ref="E48:F48" si="29">E45+E46+E47</f>
        <v>14268696.794</v>
      </c>
      <c r="F48" s="33">
        <f t="shared" si="29"/>
        <v>13396613.794</v>
      </c>
    </row>
    <row r="49" spans="1:6" s="11" customFormat="1" x14ac:dyDescent="0.25">
      <c r="A49" s="50" t="s">
        <v>129</v>
      </c>
      <c r="B49" s="51">
        <f>B48/B38</f>
        <v>2780.6373734939757</v>
      </c>
      <c r="C49" s="51">
        <f t="shared" ref="C49:D49" si="30">C48/C38</f>
        <v>2778.782202321725</v>
      </c>
      <c r="D49" s="51">
        <f t="shared" si="30"/>
        <v>3231.6541200500205</v>
      </c>
      <c r="E49" s="51">
        <f t="shared" ref="E49:F49" si="31">E48/E38</f>
        <v>3129.7865308181617</v>
      </c>
      <c r="F49" s="51">
        <f t="shared" si="31"/>
        <v>3300.4714939640303</v>
      </c>
    </row>
    <row r="50" spans="1:6" s="11" customFormat="1" x14ac:dyDescent="0.25">
      <c r="A50" s="50" t="s">
        <v>177</v>
      </c>
      <c r="B50" s="51">
        <f>B44*5</f>
        <v>1850</v>
      </c>
      <c r="C50" s="51">
        <f t="shared" ref="C50:D50" si="32">C44*5</f>
        <v>1900</v>
      </c>
      <c r="D50" s="51">
        <f t="shared" si="32"/>
        <v>2150</v>
      </c>
      <c r="E50" s="51">
        <f t="shared" ref="E50:F50" si="33">E44*5</f>
        <v>2150</v>
      </c>
      <c r="F50" s="51">
        <f t="shared" si="33"/>
        <v>2150</v>
      </c>
    </row>
    <row r="52" spans="1:6" ht="18.75" x14ac:dyDescent="0.35">
      <c r="A52" s="3" t="s">
        <v>83</v>
      </c>
    </row>
    <row r="53" spans="1:6" s="49" customFormat="1" x14ac:dyDescent="0.25">
      <c r="A53" s="19"/>
      <c r="B53" s="19">
        <v>2016</v>
      </c>
      <c r="C53" s="19">
        <v>2017</v>
      </c>
      <c r="D53" s="19">
        <v>2018</v>
      </c>
      <c r="E53" s="19">
        <v>2019</v>
      </c>
      <c r="F53" s="19">
        <v>2020</v>
      </c>
    </row>
    <row r="54" spans="1:6" ht="18" x14ac:dyDescent="0.35">
      <c r="A54" s="10" t="s">
        <v>125</v>
      </c>
      <c r="B54" s="8">
        <f>Dati!C6</f>
        <v>4648</v>
      </c>
      <c r="C54" s="13">
        <f>Dati!D6</f>
        <v>4824</v>
      </c>
      <c r="D54" s="13">
        <f>Dati!E6</f>
        <v>4798</v>
      </c>
      <c r="E54" s="13">
        <f>Dati!F6</f>
        <v>4559</v>
      </c>
      <c r="F54" s="13">
        <f>Dati!G6</f>
        <v>4059</v>
      </c>
    </row>
    <row r="55" spans="1:6" ht="18" x14ac:dyDescent="0.35">
      <c r="A55" s="10" t="s">
        <v>85</v>
      </c>
      <c r="B55" s="10">
        <f>Dati!C37</f>
        <v>613.64</v>
      </c>
      <c r="C55" s="29">
        <f>Dati!D37</f>
        <v>662.11755999999991</v>
      </c>
      <c r="D55" s="29">
        <f>Dati!E37</f>
        <v>665.18576000000007</v>
      </c>
      <c r="E55" s="29">
        <f>Dati!F37</f>
        <v>657.82208000000003</v>
      </c>
      <c r="F55" s="29">
        <f>Dati!G37</f>
        <v>651.68568000000005</v>
      </c>
    </row>
    <row r="56" spans="1:6" ht="18" x14ac:dyDescent="0.35">
      <c r="A56" s="7" t="s">
        <v>136</v>
      </c>
      <c r="B56" s="33">
        <f>B54*B55</f>
        <v>2852198.7199999997</v>
      </c>
      <c r="C56" s="33">
        <f t="shared" ref="C56:D56" si="34">C54*C55</f>
        <v>3194055.1094399998</v>
      </c>
      <c r="D56" s="33">
        <f t="shared" si="34"/>
        <v>3191561.2764800005</v>
      </c>
      <c r="E56" s="33">
        <f t="shared" ref="E56:F56" si="35">E54*E55</f>
        <v>2999010.8627200001</v>
      </c>
      <c r="F56" s="33">
        <f t="shared" si="35"/>
        <v>2645192.1751200003</v>
      </c>
    </row>
    <row r="57" spans="1:6" s="11" customFormat="1" x14ac:dyDescent="0.25">
      <c r="A57" s="50" t="s">
        <v>129</v>
      </c>
      <c r="B57" s="52">
        <f>B56/B54</f>
        <v>613.64</v>
      </c>
      <c r="C57" s="52">
        <f t="shared" ref="C57:D57" si="36">C56/C54</f>
        <v>662.11755999999991</v>
      </c>
      <c r="D57" s="52">
        <f t="shared" si="36"/>
        <v>665.18576000000007</v>
      </c>
      <c r="E57" s="51">
        <f t="shared" ref="E57:F57" si="37">E56/E54</f>
        <v>657.82208000000003</v>
      </c>
      <c r="F57" s="51">
        <f t="shared" si="37"/>
        <v>651.68568000000005</v>
      </c>
    </row>
    <row r="59" spans="1:6" ht="18.75" x14ac:dyDescent="0.35">
      <c r="A59" s="3" t="s">
        <v>205</v>
      </c>
    </row>
    <row r="60" spans="1:6" s="49" customFormat="1" x14ac:dyDescent="0.25">
      <c r="A60" s="19"/>
      <c r="B60" s="19">
        <v>2016</v>
      </c>
      <c r="C60" s="19">
        <v>2017</v>
      </c>
      <c r="D60" s="19">
        <v>2018</v>
      </c>
      <c r="E60" s="19">
        <v>2019</v>
      </c>
      <c r="F60" s="19">
        <v>2020</v>
      </c>
    </row>
    <row r="61" spans="1:6" ht="18" x14ac:dyDescent="0.35">
      <c r="A61" s="10" t="s">
        <v>87</v>
      </c>
      <c r="B61" s="6">
        <f>Dati!C9</f>
        <v>158</v>
      </c>
      <c r="C61" s="10">
        <f>Dati!D9</f>
        <v>136</v>
      </c>
      <c r="D61" s="10">
        <f>Dati!E9</f>
        <v>148</v>
      </c>
      <c r="E61" s="10">
        <f>Dati!F9</f>
        <v>132</v>
      </c>
      <c r="F61" s="10">
        <f>Dati!G9</f>
        <v>139</v>
      </c>
    </row>
    <row r="62" spans="1:6" ht="18" x14ac:dyDescent="0.35">
      <c r="A62" s="10" t="s">
        <v>142</v>
      </c>
      <c r="B62" s="6">
        <f>Dati!C20</f>
        <v>370</v>
      </c>
      <c r="C62" s="10">
        <f>Dati!D20</f>
        <v>380</v>
      </c>
      <c r="D62" s="10">
        <f>Dati!E20</f>
        <v>430</v>
      </c>
      <c r="E62" s="10">
        <f>Dati!F20</f>
        <v>430</v>
      </c>
      <c r="F62" s="10">
        <f>Dati!G20</f>
        <v>430</v>
      </c>
    </row>
    <row r="63" spans="1:6" s="2" customFormat="1" ht="18" x14ac:dyDescent="0.35">
      <c r="A63" s="7" t="s">
        <v>143</v>
      </c>
      <c r="B63" s="16">
        <f>B61*B62*30</f>
        <v>1753800</v>
      </c>
      <c r="C63" s="16">
        <f t="shared" ref="C63:D63" si="38">C61*C62*30</f>
        <v>1550400</v>
      </c>
      <c r="D63" s="16">
        <f t="shared" si="38"/>
        <v>1909200</v>
      </c>
      <c r="E63" s="16">
        <f t="shared" ref="E63:F63" si="39">E61*E62*30</f>
        <v>1702800</v>
      </c>
      <c r="F63" s="16">
        <f t="shared" si="39"/>
        <v>1793100</v>
      </c>
    </row>
    <row r="64" spans="1:6" s="11" customFormat="1" x14ac:dyDescent="0.25">
      <c r="A64" s="59" t="s">
        <v>166</v>
      </c>
      <c r="B64" s="52">
        <f>B63/B61</f>
        <v>11100</v>
      </c>
      <c r="C64" s="52">
        <f t="shared" ref="C64:D64" si="40">C63/C61</f>
        <v>11400</v>
      </c>
      <c r="D64" s="52">
        <f t="shared" si="40"/>
        <v>12900</v>
      </c>
      <c r="E64" s="51">
        <f t="shared" ref="E64:F64" si="41">E63/E61</f>
        <v>12900</v>
      </c>
      <c r="F64" s="51">
        <f t="shared" si="41"/>
        <v>12900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" sqref="F1:F1048576"/>
    </sheetView>
  </sheetViews>
  <sheetFormatPr defaultRowHeight="15" x14ac:dyDescent="0.25"/>
  <cols>
    <col min="1" max="1" width="71" customWidth="1"/>
    <col min="2" max="4" width="10" bestFit="1" customWidth="1"/>
    <col min="5" max="5" width="10" style="39" bestFit="1" customWidth="1"/>
    <col min="6" max="6" width="10" style="4" bestFit="1" customWidth="1"/>
  </cols>
  <sheetData>
    <row r="1" spans="1:6" ht="15.75" x14ac:dyDescent="0.25">
      <c r="A1" s="3" t="s">
        <v>144</v>
      </c>
    </row>
    <row r="2" spans="1:6" s="49" customFormat="1" x14ac:dyDescent="0.25">
      <c r="A2" s="19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6" ht="18" x14ac:dyDescent="0.35">
      <c r="A3" s="10" t="s">
        <v>87</v>
      </c>
      <c r="B3" s="6">
        <f>Dati!C9</f>
        <v>158</v>
      </c>
      <c r="C3" s="10">
        <f>Dati!D9</f>
        <v>136</v>
      </c>
      <c r="D3" s="10">
        <f>Dati!E9</f>
        <v>148</v>
      </c>
      <c r="E3" s="10">
        <f>Dati!F9</f>
        <v>132</v>
      </c>
      <c r="F3" s="10">
        <f>Dati!G9</f>
        <v>139</v>
      </c>
    </row>
    <row r="4" spans="1:6" x14ac:dyDescent="0.25">
      <c r="A4" s="10" t="s">
        <v>86</v>
      </c>
      <c r="B4" s="14">
        <f>Dati!C21</f>
        <v>859</v>
      </c>
      <c r="C4" s="15">
        <f>Dati!D21</f>
        <v>926</v>
      </c>
      <c r="D4" s="15">
        <f>Dati!E21</f>
        <v>1004</v>
      </c>
      <c r="E4" s="15">
        <f>Dati!F21</f>
        <v>1076</v>
      </c>
      <c r="F4" s="15">
        <f>Dati!G21</f>
        <v>1096</v>
      </c>
    </row>
    <row r="5" spans="1:6" ht="18" x14ac:dyDescent="0.35">
      <c r="A5" s="7" t="s">
        <v>145</v>
      </c>
      <c r="B5" s="16">
        <f>B3*B4*2</f>
        <v>271444</v>
      </c>
      <c r="C5" s="16">
        <f t="shared" ref="C5:D5" si="0">C3*C4*2</f>
        <v>251872</v>
      </c>
      <c r="D5" s="16">
        <f t="shared" si="0"/>
        <v>297184</v>
      </c>
      <c r="E5" s="16">
        <f t="shared" ref="E5:F5" si="1">E3*E4*2</f>
        <v>284064</v>
      </c>
      <c r="F5" s="16">
        <f t="shared" si="1"/>
        <v>304688</v>
      </c>
    </row>
    <row r="6" spans="1:6" s="11" customFormat="1" x14ac:dyDescent="0.25">
      <c r="A6" s="18" t="s">
        <v>114</v>
      </c>
      <c r="B6" s="27">
        <f>B5/B3</f>
        <v>1718</v>
      </c>
      <c r="C6" s="27">
        <f t="shared" ref="C6:D6" si="2">C5/C3</f>
        <v>1852</v>
      </c>
      <c r="D6" s="27">
        <f t="shared" si="2"/>
        <v>2008</v>
      </c>
      <c r="E6" s="95">
        <f t="shared" ref="E6:F6" si="3">E5/E3</f>
        <v>2152</v>
      </c>
      <c r="F6" s="95">
        <f t="shared" si="3"/>
        <v>2192</v>
      </c>
    </row>
    <row r="8" spans="1:6" x14ac:dyDescent="0.25">
      <c r="A8" s="2"/>
    </row>
    <row r="10" spans="1:6" x14ac:dyDescent="0.25">
      <c r="A10" s="2"/>
      <c r="B10" s="2"/>
    </row>
    <row r="11" spans="1:6" x14ac:dyDescent="0.25">
      <c r="A11" s="11"/>
      <c r="B11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O20" sqref="O20"/>
    </sheetView>
  </sheetViews>
  <sheetFormatPr defaultRowHeight="15" x14ac:dyDescent="0.25"/>
  <cols>
    <col min="1" max="1" width="54.140625" customWidth="1"/>
    <col min="2" max="2" width="13.140625" customWidth="1"/>
    <col min="3" max="3" width="12.42578125" bestFit="1" customWidth="1"/>
    <col min="4" max="4" width="13.140625" customWidth="1"/>
    <col min="5" max="5" width="13.140625" style="39" customWidth="1"/>
    <col min="6" max="6" width="13.140625" style="4" customWidth="1"/>
    <col min="14" max="14" width="13.85546875" customWidth="1"/>
  </cols>
  <sheetData>
    <row r="1" spans="1:14" ht="15.75" x14ac:dyDescent="0.25">
      <c r="A1" s="3" t="s">
        <v>200</v>
      </c>
    </row>
    <row r="2" spans="1:14" x14ac:dyDescent="0.25">
      <c r="A2" s="19"/>
      <c r="B2" s="19">
        <v>2016</v>
      </c>
      <c r="C2" s="19">
        <v>2017</v>
      </c>
      <c r="D2" s="19">
        <v>2018</v>
      </c>
      <c r="E2" s="19">
        <v>2019</v>
      </c>
      <c r="F2" s="19">
        <v>2020</v>
      </c>
    </row>
    <row r="3" spans="1:14" x14ac:dyDescent="0.25">
      <c r="A3" s="10" t="s">
        <v>180</v>
      </c>
      <c r="B3" s="13">
        <f>Dati!C22/Dati!C25</f>
        <v>28067.433113175866</v>
      </c>
      <c r="C3" s="13">
        <f>Dati!D22/Dati!D25</f>
        <v>29948.405230219043</v>
      </c>
      <c r="D3" s="13">
        <f>Dati!E22/Dati!E25</f>
        <v>32055.234220365077</v>
      </c>
      <c r="E3" s="13">
        <f>Dati!F22/Dati!F25</f>
        <v>33490.205494505492</v>
      </c>
      <c r="F3" s="13">
        <f>Dati!G22/Dati!G25</f>
        <v>32848.82866741321</v>
      </c>
    </row>
    <row r="4" spans="1:14" x14ac:dyDescent="0.25">
      <c r="A4" s="10" t="s">
        <v>88</v>
      </c>
      <c r="B4" s="42">
        <f>Dati!C24</f>
        <v>0.04</v>
      </c>
      <c r="C4" s="42">
        <f>Dati!D24</f>
        <v>0.04</v>
      </c>
      <c r="D4" s="42">
        <f>Dati!E24</f>
        <v>0.04</v>
      </c>
      <c r="E4" s="42">
        <f>Dati!F24</f>
        <v>0.04</v>
      </c>
      <c r="F4" s="42">
        <f>Dati!G24</f>
        <v>0.04</v>
      </c>
    </row>
    <row r="5" spans="1:14" x14ac:dyDescent="0.25">
      <c r="A5" s="10" t="s">
        <v>89</v>
      </c>
      <c r="B5" s="42">
        <f>Dati!C23</f>
        <v>0.03</v>
      </c>
      <c r="C5" s="42">
        <f>Dati!D23</f>
        <v>0.03</v>
      </c>
      <c r="D5" s="42">
        <f>Dati!E23</f>
        <v>0.03</v>
      </c>
      <c r="E5" s="42">
        <f>Dati!F23</f>
        <v>0.03</v>
      </c>
      <c r="F5" s="42">
        <f>Dati!G23</f>
        <v>0.03</v>
      </c>
    </row>
    <row r="6" spans="1:14" ht="18" x14ac:dyDescent="0.35">
      <c r="A6" s="53"/>
      <c r="B6" s="53"/>
      <c r="C6" s="53"/>
      <c r="D6" s="53"/>
      <c r="E6" s="62"/>
      <c r="F6" s="105"/>
      <c r="H6" s="10" t="s">
        <v>93</v>
      </c>
      <c r="I6" s="54"/>
      <c r="J6" s="54"/>
      <c r="K6" s="54"/>
      <c r="L6" s="54"/>
      <c r="M6" s="54"/>
      <c r="N6" s="55"/>
    </row>
    <row r="7" spans="1:14" ht="18" x14ac:dyDescent="0.35">
      <c r="H7" s="10" t="s">
        <v>94</v>
      </c>
      <c r="I7" s="54"/>
      <c r="J7" s="54"/>
      <c r="K7" s="54"/>
      <c r="L7" s="54"/>
      <c r="M7" s="54"/>
      <c r="N7" s="55"/>
    </row>
    <row r="8" spans="1:14" ht="15" customHeight="1" x14ac:dyDescent="0.35">
      <c r="A8" s="7" t="s">
        <v>165</v>
      </c>
      <c r="B8" s="7">
        <v>72942404.769839346</v>
      </c>
      <c r="C8" s="7">
        <v>62582763.55964803</v>
      </c>
      <c r="D8" s="7">
        <v>70040744.969685271</v>
      </c>
      <c r="E8" s="96">
        <v>64301398.990452304</v>
      </c>
      <c r="F8" s="96">
        <v>67741870.645989791</v>
      </c>
      <c r="I8" s="99" t="s">
        <v>90</v>
      </c>
      <c r="J8" s="100"/>
      <c r="K8" s="101" t="s">
        <v>96</v>
      </c>
      <c r="L8" s="35"/>
      <c r="M8" s="22"/>
      <c r="N8" s="20">
        <v>2020</v>
      </c>
    </row>
    <row r="9" spans="1:14" ht="18" x14ac:dyDescent="0.35">
      <c r="A9" s="18" t="s">
        <v>114</v>
      </c>
      <c r="B9" s="27">
        <f>B8/Dati!C9</f>
        <v>461660.78968252748</v>
      </c>
      <c r="C9" s="27">
        <f>C8/Dati!D9</f>
        <v>460167.37911505904</v>
      </c>
      <c r="D9" s="27">
        <f>D8/Dati!E9</f>
        <v>473248.27682219777</v>
      </c>
      <c r="E9" s="95">
        <f>E8/Dati!F9</f>
        <v>487131.81053372956</v>
      </c>
      <c r="F9" s="95">
        <f>F8/Dati!G9</f>
        <v>487351.58738122153</v>
      </c>
      <c r="I9" s="41" t="s">
        <v>91</v>
      </c>
      <c r="J9" s="41" t="s">
        <v>92</v>
      </c>
      <c r="K9" s="102"/>
      <c r="L9" s="30" t="s">
        <v>97</v>
      </c>
      <c r="M9" s="30" t="s">
        <v>98</v>
      </c>
      <c r="N9" s="22" t="s">
        <v>99</v>
      </c>
    </row>
    <row r="10" spans="1:14" x14ac:dyDescent="0.25">
      <c r="I10" s="6">
        <v>0</v>
      </c>
      <c r="J10" s="6">
        <v>17</v>
      </c>
      <c r="K10" s="6">
        <v>15</v>
      </c>
      <c r="L10" s="10">
        <f t="shared" ref="L10:L16" si="0">63-K10</f>
        <v>48</v>
      </c>
      <c r="M10" s="10">
        <v>8</v>
      </c>
      <c r="N10" s="15">
        <f t="shared" ref="N10:N17" si="1">$E$3/($E$4-$E$5)*(1-((1+$E$5)/(1+$E$4))^L10)*M10</f>
        <v>9942381.9124120455</v>
      </c>
    </row>
    <row r="11" spans="1:14" ht="15.75" x14ac:dyDescent="0.25">
      <c r="A11" s="3" t="s">
        <v>201</v>
      </c>
      <c r="I11" s="6">
        <v>18</v>
      </c>
      <c r="J11" s="6">
        <v>20</v>
      </c>
      <c r="K11" s="6">
        <f t="shared" ref="K11:K16" si="2">(I11+J11)/2</f>
        <v>19</v>
      </c>
      <c r="L11" s="10">
        <f t="shared" si="0"/>
        <v>44</v>
      </c>
      <c r="M11" s="10">
        <v>5</v>
      </c>
      <c r="N11" s="15">
        <f t="shared" si="1"/>
        <v>5799018.797840666</v>
      </c>
    </row>
    <row r="12" spans="1:14" ht="15.75" x14ac:dyDescent="0.25">
      <c r="A12" s="36"/>
      <c r="B12" s="19">
        <v>2016</v>
      </c>
      <c r="C12" s="19">
        <v>2017</v>
      </c>
      <c r="D12" s="19">
        <v>2018</v>
      </c>
      <c r="E12" s="19">
        <v>2019</v>
      </c>
      <c r="F12" s="19">
        <v>2020</v>
      </c>
      <c r="I12" s="6">
        <v>21</v>
      </c>
      <c r="J12" s="6">
        <v>24</v>
      </c>
      <c r="K12" s="6">
        <f t="shared" si="2"/>
        <v>22.5</v>
      </c>
      <c r="L12" s="10">
        <f t="shared" si="0"/>
        <v>40.5</v>
      </c>
      <c r="M12" s="10">
        <v>11</v>
      </c>
      <c r="N12" s="15">
        <f t="shared" si="1"/>
        <v>11929562.790300678</v>
      </c>
    </row>
    <row r="13" spans="1:14" x14ac:dyDescent="0.25">
      <c r="A13" s="7" t="s">
        <v>102</v>
      </c>
      <c r="B13" s="6"/>
      <c r="C13" s="6"/>
      <c r="D13" s="6"/>
      <c r="E13" s="10"/>
      <c r="F13" s="10"/>
      <c r="I13" s="6">
        <v>25</v>
      </c>
      <c r="J13" s="6">
        <v>34</v>
      </c>
      <c r="K13" s="6">
        <f t="shared" si="2"/>
        <v>29.5</v>
      </c>
      <c r="L13" s="10">
        <f t="shared" si="0"/>
        <v>33.5</v>
      </c>
      <c r="M13" s="10">
        <v>19</v>
      </c>
      <c r="N13" s="15">
        <f t="shared" si="1"/>
        <v>17594967.168532662</v>
      </c>
    </row>
    <row r="14" spans="1:14" x14ac:dyDescent="0.25">
      <c r="A14" s="10" t="s">
        <v>180</v>
      </c>
      <c r="B14" s="8">
        <f>Dati!C22/Dati!C25</f>
        <v>28067.433113175866</v>
      </c>
      <c r="C14" s="13">
        <f>Dati!D22/Dati!D25</f>
        <v>29948.405230219043</v>
      </c>
      <c r="D14" s="13">
        <f>Dati!E22/Dati!E25</f>
        <v>32055.234220365077</v>
      </c>
      <c r="E14" s="13">
        <f>Dati!F22/Dati!F25</f>
        <v>33490.205494505492</v>
      </c>
      <c r="F14" s="13">
        <f>Dati!G22/Dati!G25</f>
        <v>32848.82866741321</v>
      </c>
      <c r="I14" s="6">
        <v>35</v>
      </c>
      <c r="J14" s="6">
        <v>44</v>
      </c>
      <c r="K14" s="6">
        <f t="shared" si="2"/>
        <v>39.5</v>
      </c>
      <c r="L14" s="10">
        <f t="shared" si="0"/>
        <v>23.5</v>
      </c>
      <c r="M14" s="10">
        <v>18</v>
      </c>
      <c r="N14" s="15">
        <f t="shared" si="1"/>
        <v>12244734.166273437</v>
      </c>
    </row>
    <row r="15" spans="1:14" x14ac:dyDescent="0.25">
      <c r="A15" s="10" t="s">
        <v>88</v>
      </c>
      <c r="B15" s="9">
        <f>Dati!C24</f>
        <v>0.04</v>
      </c>
      <c r="C15" s="42">
        <f>Dati!D24</f>
        <v>0.04</v>
      </c>
      <c r="D15" s="42">
        <f>Dati!E24</f>
        <v>0.04</v>
      </c>
      <c r="E15" s="42">
        <f>Dati!F24</f>
        <v>0.04</v>
      </c>
      <c r="F15" s="42">
        <f>Dati!G24</f>
        <v>0.04</v>
      </c>
      <c r="I15" s="6">
        <v>45</v>
      </c>
      <c r="J15" s="6">
        <v>54</v>
      </c>
      <c r="K15" s="6">
        <f t="shared" si="2"/>
        <v>49.5</v>
      </c>
      <c r="L15" s="10">
        <f t="shared" si="0"/>
        <v>13.5</v>
      </c>
      <c r="M15" s="10">
        <v>19</v>
      </c>
      <c r="N15" s="15">
        <f t="shared" si="1"/>
        <v>7781301.8540174691</v>
      </c>
    </row>
    <row r="16" spans="1:14" x14ac:dyDescent="0.25">
      <c r="A16" s="10" t="s">
        <v>89</v>
      </c>
      <c r="B16" s="9">
        <f>Dati!C23</f>
        <v>0.03</v>
      </c>
      <c r="C16" s="42">
        <f>Dati!D23</f>
        <v>0.03</v>
      </c>
      <c r="D16" s="42">
        <f>Dati!E23</f>
        <v>0.03</v>
      </c>
      <c r="E16" s="42">
        <f>Dati!F23</f>
        <v>0.03</v>
      </c>
      <c r="F16" s="42">
        <f>Dati!G23</f>
        <v>0.03</v>
      </c>
      <c r="I16" s="6">
        <v>55</v>
      </c>
      <c r="J16" s="6">
        <v>64</v>
      </c>
      <c r="K16" s="6">
        <f t="shared" si="2"/>
        <v>59.5</v>
      </c>
      <c r="L16" s="10">
        <f t="shared" si="0"/>
        <v>3.5</v>
      </c>
      <c r="M16" s="10">
        <v>22</v>
      </c>
      <c r="N16" s="15">
        <f t="shared" si="1"/>
        <v>2449903.9566128273</v>
      </c>
    </row>
    <row r="17" spans="1:14" ht="18" x14ac:dyDescent="0.35">
      <c r="A17" s="10" t="s">
        <v>125</v>
      </c>
      <c r="B17" s="8">
        <f>Dati!C6</f>
        <v>4648</v>
      </c>
      <c r="C17" s="13">
        <f>Dati!D6</f>
        <v>4824</v>
      </c>
      <c r="D17" s="13">
        <f>Dati!E6</f>
        <v>4798</v>
      </c>
      <c r="E17" s="13">
        <f>Dati!F6</f>
        <v>4559</v>
      </c>
      <c r="F17" s="13">
        <f>Dati!G6</f>
        <v>4059</v>
      </c>
      <c r="I17" s="6">
        <v>65</v>
      </c>
      <c r="J17" s="34" t="s">
        <v>95</v>
      </c>
      <c r="K17" s="6"/>
      <c r="L17" s="10">
        <v>0</v>
      </c>
      <c r="M17" s="10">
        <v>29</v>
      </c>
      <c r="N17" s="15">
        <f t="shared" si="1"/>
        <v>0</v>
      </c>
    </row>
    <row r="18" spans="1:14" ht="18" x14ac:dyDescent="0.35">
      <c r="A18" s="10" t="s">
        <v>100</v>
      </c>
      <c r="B18" s="6">
        <f>Dzives_Kvalit_TZ14!B6</f>
        <v>14.4</v>
      </c>
      <c r="C18" s="10">
        <f>Dzives_Kvalit_TZ14!C6</f>
        <v>14.4</v>
      </c>
      <c r="D18" s="10">
        <f>Dzives_Kvalit_TZ14!D6</f>
        <v>14.4</v>
      </c>
      <c r="E18" s="10">
        <f>Dzives_Kvalit_TZ14!E6</f>
        <v>14.4</v>
      </c>
      <c r="F18" s="10">
        <f>Dzives_Kvalit_TZ14!F6</f>
        <v>14.4</v>
      </c>
      <c r="G18" s="39"/>
      <c r="L18" s="7"/>
      <c r="M18" s="7"/>
      <c r="N18" s="16">
        <f>SUM(N10:N17)</f>
        <v>67741870.645989791</v>
      </c>
    </row>
    <row r="19" spans="1:14" ht="18" x14ac:dyDescent="0.35">
      <c r="A19" s="10" t="s">
        <v>72</v>
      </c>
      <c r="B19" s="6">
        <f>Dzives_Kvalit_TZ14!B4</f>
        <v>5.1000000000000004E-3</v>
      </c>
      <c r="C19" s="10">
        <f>Dzives_Kvalit_TZ14!C4</f>
        <v>5.1000000000000004E-3</v>
      </c>
      <c r="D19" s="10">
        <f>Dzives_Kvalit_TZ14!D4</f>
        <v>5.1000000000000004E-3</v>
      </c>
      <c r="E19" s="10">
        <f>Dzives_Kvalit_TZ14!E4</f>
        <v>5.1000000000000004E-3</v>
      </c>
      <c r="F19" s="10">
        <f>Dzives_Kvalit_TZ14!F4</f>
        <v>5.1000000000000004E-3</v>
      </c>
    </row>
    <row r="20" spans="1:14" ht="18" x14ac:dyDescent="0.35">
      <c r="A20" s="7" t="s">
        <v>164</v>
      </c>
      <c r="B20" s="16">
        <f>B14/(B15-B16)*(1-((1+B16)/(1+B15))^B18)*B17*B19</f>
        <v>8641770.2937215008</v>
      </c>
      <c r="C20" s="16">
        <f t="shared" ref="C20:D20" si="3">C14/(C15-C16)*(1-((1+C16)/(1+C15))^C18)*C17*C19</f>
        <v>9570065.3295600321</v>
      </c>
      <c r="D20" s="16">
        <f t="shared" si="3"/>
        <v>10188097.689611925</v>
      </c>
      <c r="E20" s="16">
        <f t="shared" ref="E20:F20" si="4">E14/(E15-E16)*(1-((1+E16)/(1+E15))^E18)*E17*E19</f>
        <v>10113961.753616674</v>
      </c>
      <c r="F20" s="16">
        <f t="shared" si="4"/>
        <v>8832280.2678290773</v>
      </c>
    </row>
    <row r="21" spans="1:14" x14ac:dyDescent="0.25">
      <c r="A21" s="48"/>
      <c r="B21" s="48"/>
      <c r="C21" s="48"/>
      <c r="D21" s="48"/>
      <c r="E21" s="63"/>
      <c r="F21" s="106"/>
    </row>
    <row r="22" spans="1:14" s="47" customFormat="1" x14ac:dyDescent="0.25">
      <c r="A22" s="20" t="s">
        <v>146</v>
      </c>
      <c r="B22" s="21"/>
      <c r="C22" s="21"/>
      <c r="D22" s="21"/>
      <c r="E22" s="38"/>
      <c r="F22" s="22"/>
    </row>
    <row r="23" spans="1:14" x14ac:dyDescent="0.25">
      <c r="A23" s="10" t="s">
        <v>180</v>
      </c>
      <c r="B23" s="8">
        <f>Dati!C22/Dati!C25</f>
        <v>28067.433113175866</v>
      </c>
      <c r="C23" s="13">
        <f>Dati!D22/Dati!D25</f>
        <v>29948.405230219043</v>
      </c>
      <c r="D23" s="13">
        <f>Dati!E22/Dati!E25</f>
        <v>32055.234220365077</v>
      </c>
      <c r="E23" s="13">
        <f>Dati!F22/Dati!F25</f>
        <v>33490.205494505492</v>
      </c>
      <c r="F23" s="13">
        <f>Dati!G22/Dati!G25</f>
        <v>32848.82866741321</v>
      </c>
    </row>
    <row r="24" spans="1:14" x14ac:dyDescent="0.25">
      <c r="A24" s="10" t="s">
        <v>88</v>
      </c>
      <c r="B24" s="9">
        <f>Dati!C24</f>
        <v>0.04</v>
      </c>
      <c r="C24" s="42">
        <f>Dati!D24</f>
        <v>0.04</v>
      </c>
      <c r="D24" s="42">
        <f>Dati!E24</f>
        <v>0.04</v>
      </c>
      <c r="E24" s="42">
        <f>Dati!F24</f>
        <v>0.04</v>
      </c>
      <c r="F24" s="42">
        <f>Dati!G24</f>
        <v>0.04</v>
      </c>
    </row>
    <row r="25" spans="1:14" x14ac:dyDescent="0.25">
      <c r="A25" s="10" t="s">
        <v>89</v>
      </c>
      <c r="B25" s="9">
        <f>Dati!C23</f>
        <v>0.03</v>
      </c>
      <c r="C25" s="42">
        <f>Dati!D23</f>
        <v>0.03</v>
      </c>
      <c r="D25" s="42">
        <f>Dati!E23</f>
        <v>0.03</v>
      </c>
      <c r="E25" s="42">
        <f>Dati!F23</f>
        <v>0.03</v>
      </c>
      <c r="F25" s="42">
        <f>Dati!G23</f>
        <v>0.03</v>
      </c>
    </row>
    <row r="26" spans="1:14" ht="18" x14ac:dyDescent="0.35">
      <c r="A26" s="10" t="s">
        <v>125</v>
      </c>
      <c r="B26" s="6">
        <f>Dati!C6</f>
        <v>4648</v>
      </c>
      <c r="C26" s="10">
        <f>Dati!D6</f>
        <v>4824</v>
      </c>
      <c r="D26" s="10">
        <f>Dati!E6</f>
        <v>4798</v>
      </c>
      <c r="E26" s="10">
        <f>Dati!F6</f>
        <v>4559</v>
      </c>
      <c r="F26" s="10">
        <f>Dati!G6</f>
        <v>4059</v>
      </c>
    </row>
    <row r="27" spans="1:14" ht="18" x14ac:dyDescent="0.35">
      <c r="A27" s="10" t="s">
        <v>101</v>
      </c>
      <c r="B27" s="6">
        <f>Dzives_Kvalit_TZ14!B19</f>
        <v>14</v>
      </c>
      <c r="C27" s="10">
        <f>Dzives_Kvalit_TZ14!C19</f>
        <v>14</v>
      </c>
      <c r="D27" s="10">
        <f>Dzives_Kvalit_TZ14!D19</f>
        <v>14</v>
      </c>
      <c r="E27" s="10">
        <f>Dzives_Kvalit_TZ14!E19</f>
        <v>14</v>
      </c>
      <c r="F27" s="10">
        <f>Dzives_Kvalit_TZ14!F19</f>
        <v>14</v>
      </c>
    </row>
    <row r="28" spans="1:14" ht="18" x14ac:dyDescent="0.35">
      <c r="A28" s="10" t="s">
        <v>77</v>
      </c>
      <c r="B28" s="6">
        <f>Dzives_Kvalit_TZ14!B17</f>
        <v>1.32E-2</v>
      </c>
      <c r="C28" s="10">
        <f>Dzives_Kvalit_TZ14!C17</f>
        <v>1.32E-2</v>
      </c>
      <c r="D28" s="10">
        <f>Dzives_Kvalit_TZ14!D17</f>
        <v>1.32E-2</v>
      </c>
      <c r="E28" s="10">
        <f>Dzives_Kvalit_TZ14!E17</f>
        <v>1.32E-2</v>
      </c>
      <c r="F28" s="10">
        <f>Dzives_Kvalit_TZ14!F17</f>
        <v>1.32E-2</v>
      </c>
    </row>
    <row r="29" spans="1:14" ht="18" x14ac:dyDescent="0.35">
      <c r="A29" s="7" t="s">
        <v>163</v>
      </c>
      <c r="B29" s="16">
        <f>B23/(B24-B25)*(1-((1+B25)/(1+B24))^B27)*B26*B28</f>
        <v>21786730.221233882</v>
      </c>
      <c r="C29" s="16">
        <f t="shared" ref="C29:D29" si="5">C23/(C24-C25)*(1-((1+C25)/(1+C24))^C27)*C26*C28</f>
        <v>24127050.875928719</v>
      </c>
      <c r="D29" s="16">
        <f t="shared" si="5"/>
        <v>25685169.622295503</v>
      </c>
      <c r="E29" s="16">
        <f t="shared" ref="E29:F29" si="6">E23/(E24-E25)*(1-((1+E25)/(1+E24))^E27)*E26*E28</f>
        <v>25498265.830325857</v>
      </c>
      <c r="F29" s="16">
        <f t="shared" si="6"/>
        <v>22267024.10423046</v>
      </c>
    </row>
    <row r="30" spans="1:14" ht="18" x14ac:dyDescent="0.35">
      <c r="A30" s="7" t="s">
        <v>147</v>
      </c>
      <c r="B30" s="16">
        <f>B29+B20</f>
        <v>30428500.514955383</v>
      </c>
      <c r="C30" s="16">
        <f t="shared" ref="C30:D30" si="7">C29+C20</f>
        <v>33697116.205488749</v>
      </c>
      <c r="D30" s="16">
        <f t="shared" si="7"/>
        <v>35873267.311907426</v>
      </c>
      <c r="E30" s="16">
        <f t="shared" ref="E30:F30" si="8">E29+E20</f>
        <v>35612227.583942533</v>
      </c>
      <c r="F30" s="16">
        <f t="shared" si="8"/>
        <v>31099304.372059539</v>
      </c>
    </row>
    <row r="31" spans="1:14" x14ac:dyDescent="0.25">
      <c r="A31" s="50" t="s">
        <v>129</v>
      </c>
      <c r="B31" s="51">
        <f>B30/B26</f>
        <v>6546.5792846289551</v>
      </c>
      <c r="C31" s="51">
        <f t="shared" ref="C31:D31" si="9">C30/C26</f>
        <v>6985.3060127464241</v>
      </c>
      <c r="D31" s="51">
        <f t="shared" si="9"/>
        <v>7476.7126535863745</v>
      </c>
      <c r="E31" s="51">
        <f t="shared" ref="E31:F31" si="10">E30/E26</f>
        <v>7811.4120605269864</v>
      </c>
      <c r="F31" s="51">
        <f t="shared" si="10"/>
        <v>7661.8143316234391</v>
      </c>
    </row>
    <row r="33" spans="1:6" ht="15.75" x14ac:dyDescent="0.25">
      <c r="A33" s="3" t="s">
        <v>202</v>
      </c>
    </row>
    <row r="34" spans="1:6" x14ac:dyDescent="0.25">
      <c r="A34" s="19"/>
      <c r="B34" s="19">
        <v>2016</v>
      </c>
      <c r="C34" s="19">
        <v>2017</v>
      </c>
      <c r="D34" s="19">
        <v>2018</v>
      </c>
      <c r="E34" s="19">
        <v>2019</v>
      </c>
      <c r="F34" s="19">
        <v>2020</v>
      </c>
    </row>
    <row r="35" spans="1:6" x14ac:dyDescent="0.25">
      <c r="A35" s="10" t="s">
        <v>180</v>
      </c>
      <c r="B35" s="8">
        <f>Dati!C22/Dati!C25</f>
        <v>28067.433113175866</v>
      </c>
      <c r="C35" s="13">
        <f>Dati!D22/Dati!D25</f>
        <v>29948.405230219043</v>
      </c>
      <c r="D35" s="13">
        <f>Dati!E22/Dati!E25</f>
        <v>32055.234220365077</v>
      </c>
      <c r="E35" s="13">
        <f>Dati!F22/Dati!F25</f>
        <v>33490.205494505492</v>
      </c>
      <c r="F35" s="13">
        <f>Dati!G22/Dati!G25</f>
        <v>32848.82866741321</v>
      </c>
    </row>
    <row r="36" spans="1:6" ht="18" x14ac:dyDescent="0.35">
      <c r="A36" s="10" t="s">
        <v>84</v>
      </c>
      <c r="B36" s="6">
        <f>Dati!C8</f>
        <v>525</v>
      </c>
      <c r="C36" s="10">
        <f>Dati!D8</f>
        <v>496</v>
      </c>
      <c r="D36" s="10">
        <f>Dati!E8</f>
        <v>542</v>
      </c>
      <c r="E36" s="10">
        <f>Dati!F8</f>
        <v>461</v>
      </c>
      <c r="F36" s="10">
        <f>Dati!G8</f>
        <v>491</v>
      </c>
    </row>
    <row r="37" spans="1:6" ht="18" x14ac:dyDescent="0.35">
      <c r="A37" s="10" t="s">
        <v>103</v>
      </c>
      <c r="B37" s="6">
        <v>50</v>
      </c>
      <c r="C37" s="10">
        <v>50</v>
      </c>
      <c r="D37" s="10">
        <v>50</v>
      </c>
      <c r="E37" s="10">
        <v>50</v>
      </c>
      <c r="F37" s="10">
        <v>50</v>
      </c>
    </row>
    <row r="38" spans="1:6" ht="18" x14ac:dyDescent="0.35">
      <c r="A38" s="7" t="s">
        <v>162</v>
      </c>
      <c r="B38" s="16">
        <f>B35/365*B36*B37</f>
        <v>2018548.2718379903</v>
      </c>
      <c r="C38" s="16">
        <f t="shared" ref="C38:D38" si="11">C35/365*C36*C37</f>
        <v>2034850.5471491294</v>
      </c>
      <c r="D38" s="16">
        <f t="shared" si="11"/>
        <v>2379991.3626627219</v>
      </c>
      <c r="E38" s="16">
        <f t="shared" ref="E38:F38" si="12">E35/365*E36*E37</f>
        <v>2114929.4154749359</v>
      </c>
      <c r="F38" s="16">
        <f t="shared" si="12"/>
        <v>2209421.2158492994</v>
      </c>
    </row>
    <row r="39" spans="1:6" x14ac:dyDescent="0.25">
      <c r="A39" s="50" t="s">
        <v>148</v>
      </c>
      <c r="B39" s="52">
        <f>B38/B36</f>
        <v>3844.8538511199813</v>
      </c>
      <c r="C39" s="52">
        <f t="shared" ref="C39:D39" si="13">C38/C36</f>
        <v>4102.5212644135672</v>
      </c>
      <c r="D39" s="52">
        <f t="shared" si="13"/>
        <v>4391.1279753924755</v>
      </c>
      <c r="E39" s="51">
        <f t="shared" ref="E39:F39" si="14">E38/E36</f>
        <v>4587.6993828089717</v>
      </c>
      <c r="F39" s="51">
        <f t="shared" si="14"/>
        <v>4499.8395434812619</v>
      </c>
    </row>
    <row r="40" spans="1:6" s="2" customFormat="1" x14ac:dyDescent="0.25">
      <c r="A40"/>
      <c r="B40"/>
      <c r="C40"/>
      <c r="D40"/>
      <c r="E40" s="39"/>
      <c r="F40" s="4"/>
    </row>
    <row r="41" spans="1:6" s="37" customFormat="1" ht="15.75" x14ac:dyDescent="0.25">
      <c r="A41" s="3" t="s">
        <v>203</v>
      </c>
      <c r="B41"/>
      <c r="C41"/>
      <c r="D41"/>
      <c r="E41" s="39"/>
      <c r="F41" s="4"/>
    </row>
    <row r="42" spans="1:6" x14ac:dyDescent="0.25">
      <c r="A42" s="19"/>
      <c r="B42" s="19">
        <v>2016</v>
      </c>
      <c r="C42" s="19">
        <v>2017</v>
      </c>
      <c r="D42" s="19">
        <v>2018</v>
      </c>
      <c r="E42" s="19">
        <v>2019</v>
      </c>
      <c r="F42" s="19">
        <v>2020</v>
      </c>
    </row>
    <row r="43" spans="1:6" x14ac:dyDescent="0.25">
      <c r="A43" s="10" t="s">
        <v>180</v>
      </c>
      <c r="B43" s="8">
        <f>Dati!C22/Dati!C25</f>
        <v>28067.433113175866</v>
      </c>
      <c r="C43" s="13">
        <f>Dati!D22/Dati!D25</f>
        <v>29948.405230219043</v>
      </c>
      <c r="D43" s="13">
        <f>Dati!E22/Dati!E25</f>
        <v>32055.234220365077</v>
      </c>
      <c r="E43" s="13">
        <f>Dati!F22/Dati!F25</f>
        <v>33490.205494505492</v>
      </c>
      <c r="F43" s="13">
        <f>Dati!G22/Dati!G25</f>
        <v>32848.82866741321</v>
      </c>
    </row>
    <row r="44" spans="1:6" s="49" customFormat="1" ht="18" x14ac:dyDescent="0.35">
      <c r="A44" s="10" t="s">
        <v>29</v>
      </c>
      <c r="B44" s="8">
        <f>Dati!C7</f>
        <v>4123</v>
      </c>
      <c r="C44" s="13">
        <f>Dati!D7</f>
        <v>4328</v>
      </c>
      <c r="D44" s="13">
        <f>Dati!E7</f>
        <v>4256</v>
      </c>
      <c r="E44" s="13">
        <f>Dati!F7</f>
        <v>4098</v>
      </c>
      <c r="F44" s="13">
        <f>Dati!G7</f>
        <v>3568</v>
      </c>
    </row>
    <row r="45" spans="1:6" ht="18" x14ac:dyDescent="0.35">
      <c r="A45" s="10" t="s">
        <v>103</v>
      </c>
      <c r="B45" s="6">
        <v>5</v>
      </c>
      <c r="C45" s="10">
        <v>5</v>
      </c>
      <c r="D45" s="10">
        <v>5</v>
      </c>
      <c r="E45" s="10">
        <v>5</v>
      </c>
      <c r="F45" s="10">
        <v>5</v>
      </c>
    </row>
    <row r="46" spans="1:6" ht="18" x14ac:dyDescent="0.35">
      <c r="A46" s="7" t="s">
        <v>196</v>
      </c>
      <c r="B46" s="16">
        <f>B43/365*B44*B45</f>
        <v>1585233.2428167686</v>
      </c>
      <c r="C46" s="16">
        <f t="shared" ref="C46:D46" si="15">C43/365*C44*C45</f>
        <v>1775571.2032381922</v>
      </c>
      <c r="D46" s="16">
        <f t="shared" si="15"/>
        <v>1868864.0663270378</v>
      </c>
      <c r="E46" s="16">
        <f t="shared" ref="E46:F46" si="16">E43/365*E44*E45</f>
        <v>1880039.2070751167</v>
      </c>
      <c r="F46" s="16">
        <f t="shared" si="16"/>
        <v>1605542.7491141139</v>
      </c>
    </row>
    <row r="47" spans="1:6" x14ac:dyDescent="0.25">
      <c r="A47" s="50" t="s">
        <v>112</v>
      </c>
      <c r="B47" s="52">
        <f>B46/B44</f>
        <v>384.4853851119982</v>
      </c>
      <c r="C47" s="52">
        <f t="shared" ref="C47:D47" si="17">C46/C44</f>
        <v>410.25212644135678</v>
      </c>
      <c r="D47" s="52">
        <f t="shared" si="17"/>
        <v>439.11279753924759</v>
      </c>
      <c r="E47" s="51">
        <f t="shared" ref="E47:F47" si="18">E46/E44</f>
        <v>458.76993828089718</v>
      </c>
      <c r="F47" s="51">
        <f t="shared" si="18"/>
        <v>449.98395434812608</v>
      </c>
    </row>
    <row r="49" spans="1:6" s="11" customFormat="1" x14ac:dyDescent="0.25">
      <c r="A49"/>
      <c r="B49"/>
      <c r="C49"/>
      <c r="D49"/>
      <c r="E49" s="39"/>
      <c r="F49" s="4"/>
    </row>
    <row r="52" spans="1:6" s="11" customFormat="1" x14ac:dyDescent="0.25">
      <c r="A52"/>
      <c r="B52"/>
      <c r="C52"/>
      <c r="D52"/>
      <c r="E52" s="39"/>
      <c r="F52" s="4"/>
    </row>
    <row r="57" spans="1:6" s="11" customFormat="1" x14ac:dyDescent="0.25">
      <c r="A57"/>
      <c r="B57"/>
      <c r="C57"/>
      <c r="D57"/>
      <c r="E57" s="39"/>
      <c r="F57" s="4"/>
    </row>
  </sheetData>
  <mergeCells count="2">
    <mergeCell ref="I8:J8"/>
    <mergeCell ref="K8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Dati</vt:lpstr>
      <vt:lpstr>Kopsavilkums</vt:lpstr>
      <vt:lpstr>Medic_TZ11</vt:lpstr>
      <vt:lpstr>Auto_TZ12</vt:lpstr>
      <vt:lpstr>Administr_TZ13</vt:lpstr>
      <vt:lpstr>Dzives_Kvalit_TZ14</vt:lpstr>
      <vt:lpstr>Citas_TZ15</vt:lpstr>
      <vt:lpstr>Netiesas_TZ2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Aldis.Lama</cp:lastModifiedBy>
  <dcterms:created xsi:type="dcterms:W3CDTF">2017-12-08T18:07:37Z</dcterms:created>
  <dcterms:modified xsi:type="dcterms:W3CDTF">2021-04-22T09:19:24Z</dcterms:modified>
</cp:coreProperties>
</file>